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defaultThemeVersion="164011"/>
  <mc:AlternateContent xmlns:mc="http://schemas.openxmlformats.org/markup-compatibility/2006">
    <mc:Choice Requires="x15">
      <x15ac:absPath xmlns:x15ac="http://schemas.microsoft.com/office/spreadsheetml/2010/11/ac" url="C:\Users\259378F\OneDrive - Curtin\Enrolment Planners Working Folder\"/>
    </mc:Choice>
  </mc:AlternateContent>
  <workbookProtection workbookAlgorithmName="SHA-512" workbookHashValue="TfnOJYQx8nFNPeBYG2kZ7+PgKywReSL6eBHag9rb7QzJ6fUDW0h5MIfuskjn4KYC4EDGTdHzgXenMy2Udms7mQ==" workbookSaltValue="X5XWPY0ByW15pP1IWrW7wg==" workbookSpinCount="100000" lockStructure="1"/>
  <bookViews>
    <workbookView xWindow="0" yWindow="0" windowWidth="28800" windowHeight="13800"/>
  </bookViews>
  <sheets>
    <sheet name="Urb &amp; Reg Planning " sheetId="5" r:id="rId1"/>
    <sheet name="UG Certificate" sheetId="10" state="hidden" r:id="rId2"/>
    <sheet name="Unitsets" sheetId="2" state="hidden" r:id="rId3"/>
    <sheet name="Handbook" sheetId="3" state="hidden" r:id="rId4"/>
    <sheet name="Structures" sheetId="8" state="hidden" r:id="rId5"/>
    <sheet name="Availabilities" sheetId="9" state="hidden" r:id="rId6"/>
  </sheets>
  <definedNames>
    <definedName name="_xlnm._FilterDatabase" localSheetId="3" hidden="1">Handbook!$A$2:$I$2</definedName>
    <definedName name="_xlnm.Print_Area" localSheetId="1">'UG Certificate'!$A$3:$L$23</definedName>
    <definedName name="_xlnm.Print_Area" localSheetId="0">'Urb &amp; Reg Planning '!$A$3:$L$64</definedName>
    <definedName name="RangeSpecSets">Unitsets!$K$40:$T$51</definedName>
    <definedName name="RangeUGCertUnitSets">Unitsets!$K$54:$R$62</definedName>
    <definedName name="RangeUnitsets">Unitsets!$K$3:$V$35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4" i="10" l="1"/>
  <c r="A9" i="10" s="1"/>
  <c r="G6" i="10"/>
  <c r="G5" i="10"/>
  <c r="G21" i="3"/>
  <c r="G30" i="3"/>
  <c r="G29" i="3"/>
  <c r="G24" i="3"/>
  <c r="H21" i="3"/>
  <c r="H30" i="3"/>
  <c r="H29" i="3"/>
  <c r="H24" i="3"/>
  <c r="I21" i="3"/>
  <c r="I30" i="3"/>
  <c r="I29" i="3"/>
  <c r="I24" i="3"/>
  <c r="J21" i="3"/>
  <c r="J30" i="3"/>
  <c r="J29" i="3"/>
  <c r="J24" i="3"/>
  <c r="L21" i="3"/>
  <c r="L30" i="3"/>
  <c r="L29" i="3"/>
  <c r="L24" i="3"/>
  <c r="M21" i="3"/>
  <c r="M30" i="3"/>
  <c r="M29" i="3"/>
  <c r="M24" i="3"/>
  <c r="N21" i="3"/>
  <c r="N30" i="3"/>
  <c r="N29" i="3"/>
  <c r="N24" i="3"/>
  <c r="O21" i="3"/>
  <c r="O30" i="3"/>
  <c r="O29" i="3"/>
  <c r="O24" i="3"/>
  <c r="P21" i="3"/>
  <c r="P30" i="3"/>
  <c r="P29" i="3"/>
  <c r="P24" i="3"/>
  <c r="Q21" i="3"/>
  <c r="Q30" i="3"/>
  <c r="Q29" i="3"/>
  <c r="Q24" i="3"/>
  <c r="R21" i="3"/>
  <c r="R30" i="3"/>
  <c r="R29" i="3"/>
  <c r="R24" i="3"/>
  <c r="S21" i="3"/>
  <c r="S30" i="3"/>
  <c r="S29" i="3"/>
  <c r="S24" i="3"/>
  <c r="T21" i="3"/>
  <c r="T30" i="3"/>
  <c r="T29" i="3"/>
  <c r="T24" i="3"/>
  <c r="U21" i="3"/>
  <c r="U30" i="3"/>
  <c r="U29" i="3"/>
  <c r="U24" i="3"/>
  <c r="A16" i="10" l="1"/>
  <c r="A17" i="10"/>
  <c r="A18" i="10"/>
  <c r="A19" i="10"/>
  <c r="A10" i="10"/>
  <c r="A11" i="10"/>
  <c r="A12" i="10"/>
  <c r="U63" i="3"/>
  <c r="E108" i="8"/>
  <c r="D108" i="8"/>
  <c r="B108" i="8"/>
  <c r="A108" i="8"/>
  <c r="E107" i="8"/>
  <c r="D107" i="8"/>
  <c r="B107" i="8"/>
  <c r="A107" i="8"/>
  <c r="E106" i="8"/>
  <c r="D106" i="8"/>
  <c r="B106" i="8"/>
  <c r="A106" i="8"/>
  <c r="E105" i="8"/>
  <c r="D105" i="8"/>
  <c r="B105" i="8"/>
  <c r="A105" i="8"/>
  <c r="U4" i="3" s="1"/>
  <c r="A101" i="8"/>
  <c r="B101" i="8"/>
  <c r="D101" i="8"/>
  <c r="E101" i="8"/>
  <c r="B17" i="10" l="1"/>
  <c r="C17" i="10"/>
  <c r="G17" i="10"/>
  <c r="F17" i="10"/>
  <c r="D17" i="10"/>
  <c r="E9" i="10"/>
  <c r="D9" i="10"/>
  <c r="K9" i="10"/>
  <c r="C9" i="10"/>
  <c r="J9" i="10"/>
  <c r="F9" i="10"/>
  <c r="B9" i="10"/>
  <c r="I9" i="10"/>
  <c r="H9" i="10"/>
  <c r="G9" i="10"/>
  <c r="G18" i="10"/>
  <c r="F18" i="10"/>
  <c r="D18" i="10"/>
  <c r="C18" i="10"/>
  <c r="B18" i="10"/>
  <c r="G19" i="10"/>
  <c r="F19" i="10"/>
  <c r="D19" i="10"/>
  <c r="H19" i="10"/>
  <c r="C19" i="10"/>
  <c r="K19" i="10"/>
  <c r="B19" i="10"/>
  <c r="J19" i="10"/>
  <c r="I19" i="10"/>
  <c r="G11" i="10"/>
  <c r="F11" i="10"/>
  <c r="D11" i="10"/>
  <c r="C11" i="10"/>
  <c r="B11" i="10"/>
  <c r="D12" i="10"/>
  <c r="K12" i="10"/>
  <c r="C12" i="10"/>
  <c r="J12" i="10"/>
  <c r="B12" i="10"/>
  <c r="I12" i="10"/>
  <c r="H12" i="10"/>
  <c r="G12" i="10"/>
  <c r="F12" i="10"/>
  <c r="J10" i="10"/>
  <c r="B10" i="10"/>
  <c r="I10" i="10"/>
  <c r="H10" i="10"/>
  <c r="G10" i="10"/>
  <c r="K10" i="10"/>
  <c r="F10" i="10"/>
  <c r="E10" i="10"/>
  <c r="E11" i="10" s="1"/>
  <c r="E12" i="10" s="1"/>
  <c r="D10" i="10"/>
  <c r="C10" i="10"/>
  <c r="D16" i="10"/>
  <c r="C16" i="10"/>
  <c r="K16" i="10"/>
  <c r="B16" i="10"/>
  <c r="J16" i="10"/>
  <c r="I16" i="10"/>
  <c r="F16" i="10"/>
  <c r="H16" i="10"/>
  <c r="G16" i="10"/>
  <c r="U70" i="3"/>
  <c r="U54" i="3"/>
  <c r="U38" i="3"/>
  <c r="U31" i="3"/>
  <c r="U18" i="3"/>
  <c r="U62" i="3"/>
  <c r="U28" i="3"/>
  <c r="U55" i="3"/>
  <c r="U19" i="3"/>
  <c r="U47" i="3"/>
  <c r="U11" i="3"/>
  <c r="U46" i="3"/>
  <c r="U10" i="3"/>
  <c r="U71" i="3"/>
  <c r="U39" i="3"/>
  <c r="U69" i="3"/>
  <c r="U61" i="3"/>
  <c r="U53" i="3"/>
  <c r="U45" i="3"/>
  <c r="U37" i="3"/>
  <c r="U27" i="3"/>
  <c r="U17" i="3"/>
  <c r="U9" i="3"/>
  <c r="U68" i="3"/>
  <c r="U60" i="3"/>
  <c r="U52" i="3"/>
  <c r="U44" i="3"/>
  <c r="U36" i="3"/>
  <c r="U26" i="3"/>
  <c r="U16" i="3"/>
  <c r="U8" i="3"/>
  <c r="U67" i="3"/>
  <c r="U59" i="3"/>
  <c r="U51" i="3"/>
  <c r="U43" i="3"/>
  <c r="U35" i="3"/>
  <c r="U25" i="3"/>
  <c r="U15" i="3"/>
  <c r="U7" i="3"/>
  <c r="U66" i="3"/>
  <c r="U58" i="3"/>
  <c r="U50" i="3"/>
  <c r="U42" i="3"/>
  <c r="U34" i="3"/>
  <c r="U23" i="3"/>
  <c r="U14" i="3"/>
  <c r="U6" i="3"/>
  <c r="U65" i="3"/>
  <c r="U57" i="3"/>
  <c r="U49" i="3"/>
  <c r="U41" i="3"/>
  <c r="U33" i="3"/>
  <c r="U22" i="3"/>
  <c r="U13" i="3"/>
  <c r="U5" i="3"/>
  <c r="U72" i="3"/>
  <c r="U64" i="3"/>
  <c r="U56" i="3"/>
  <c r="U48" i="3"/>
  <c r="U40" i="3"/>
  <c r="U32" i="3"/>
  <c r="U20" i="3"/>
  <c r="U12" i="3"/>
  <c r="E100" i="8" l="1"/>
  <c r="D100" i="8"/>
  <c r="B100" i="8"/>
  <c r="A100" i="8"/>
  <c r="E99" i="8"/>
  <c r="D99" i="8"/>
  <c r="B99" i="8"/>
  <c r="A99" i="8"/>
  <c r="E98" i="8"/>
  <c r="D98" i="8"/>
  <c r="B98" i="8"/>
  <c r="A98" i="8"/>
  <c r="E97" i="8"/>
  <c r="D97" i="8"/>
  <c r="B97" i="8"/>
  <c r="A97" i="8"/>
  <c r="E96" i="8"/>
  <c r="D96" i="8"/>
  <c r="B96" i="8"/>
  <c r="A96" i="8"/>
  <c r="E95" i="8"/>
  <c r="D95" i="8"/>
  <c r="B95" i="8"/>
  <c r="A95" i="8"/>
  <c r="T5" i="3" l="1"/>
  <c r="T13" i="3"/>
  <c r="T22" i="3"/>
  <c r="T33" i="3"/>
  <c r="T41" i="3"/>
  <c r="T49" i="3"/>
  <c r="T57" i="3"/>
  <c r="T65" i="3"/>
  <c r="T56" i="3"/>
  <c r="T6" i="3"/>
  <c r="T14" i="3"/>
  <c r="T23" i="3"/>
  <c r="T34" i="3"/>
  <c r="T42" i="3"/>
  <c r="T50" i="3"/>
  <c r="T58" i="3"/>
  <c r="T66" i="3"/>
  <c r="T38" i="3"/>
  <c r="T70" i="3"/>
  <c r="T7" i="3"/>
  <c r="T15" i="3"/>
  <c r="T25" i="3"/>
  <c r="T35" i="3"/>
  <c r="T43" i="3"/>
  <c r="T51" i="3"/>
  <c r="T59" i="3"/>
  <c r="T67" i="3"/>
  <c r="T62" i="3"/>
  <c r="T64" i="3"/>
  <c r="T8" i="3"/>
  <c r="T16" i="3"/>
  <c r="T26" i="3"/>
  <c r="T36" i="3"/>
  <c r="T44" i="3"/>
  <c r="T52" i="3"/>
  <c r="T60" i="3"/>
  <c r="T68" i="3"/>
  <c r="T18" i="3"/>
  <c r="T46" i="3"/>
  <c r="T9" i="3"/>
  <c r="T17" i="3"/>
  <c r="T27" i="3"/>
  <c r="T37" i="3"/>
  <c r="T45" i="3"/>
  <c r="T53" i="3"/>
  <c r="T61" i="3"/>
  <c r="T69" i="3"/>
  <c r="T10" i="3"/>
  <c r="T28" i="3"/>
  <c r="T54" i="3"/>
  <c r="T11" i="3"/>
  <c r="T19" i="3"/>
  <c r="T31" i="3"/>
  <c r="T39" i="3"/>
  <c r="T47" i="3"/>
  <c r="T55" i="3"/>
  <c r="T63" i="3"/>
  <c r="T71" i="3"/>
  <c r="T4" i="3"/>
  <c r="T12" i="3"/>
  <c r="T20" i="3"/>
  <c r="T32" i="3"/>
  <c r="T40" i="3"/>
  <c r="T48" i="3"/>
  <c r="T72" i="3"/>
  <c r="J33" i="3"/>
  <c r="I33" i="3"/>
  <c r="H33" i="3"/>
  <c r="G33" i="3"/>
  <c r="J72" i="3" l="1"/>
  <c r="I72" i="3"/>
  <c r="H72" i="3"/>
  <c r="G72" i="3"/>
  <c r="J71" i="3"/>
  <c r="I71" i="3"/>
  <c r="H71" i="3"/>
  <c r="G71" i="3"/>
  <c r="J70" i="3"/>
  <c r="I70" i="3"/>
  <c r="H70" i="3"/>
  <c r="G70" i="3"/>
  <c r="J69" i="3"/>
  <c r="I69" i="3"/>
  <c r="H69" i="3"/>
  <c r="G69" i="3"/>
  <c r="J68" i="3"/>
  <c r="I68" i="3"/>
  <c r="H68" i="3"/>
  <c r="G68" i="3"/>
  <c r="J67" i="3"/>
  <c r="I67" i="3"/>
  <c r="H67" i="3"/>
  <c r="G67" i="3"/>
  <c r="J66" i="3"/>
  <c r="I66" i="3"/>
  <c r="H66" i="3"/>
  <c r="G66" i="3"/>
  <c r="J65" i="3"/>
  <c r="I65" i="3"/>
  <c r="H65" i="3"/>
  <c r="G65" i="3"/>
  <c r="J64" i="3"/>
  <c r="I64" i="3"/>
  <c r="H64" i="3"/>
  <c r="G64" i="3"/>
  <c r="J63" i="3"/>
  <c r="I63" i="3"/>
  <c r="H63" i="3"/>
  <c r="G63" i="3"/>
  <c r="J62" i="3"/>
  <c r="I62" i="3"/>
  <c r="H62" i="3"/>
  <c r="G62" i="3"/>
  <c r="J61" i="3"/>
  <c r="I61" i="3"/>
  <c r="H61" i="3"/>
  <c r="G61" i="3"/>
  <c r="J60" i="3"/>
  <c r="I60" i="3"/>
  <c r="H60" i="3"/>
  <c r="G60" i="3"/>
  <c r="J59" i="3"/>
  <c r="I59" i="3"/>
  <c r="H59" i="3"/>
  <c r="G59" i="3"/>
  <c r="J58" i="3"/>
  <c r="I58" i="3"/>
  <c r="H58" i="3"/>
  <c r="G58" i="3"/>
  <c r="J57" i="3"/>
  <c r="I57" i="3"/>
  <c r="H57" i="3"/>
  <c r="G57" i="3"/>
  <c r="J56" i="3"/>
  <c r="I56" i="3"/>
  <c r="H56" i="3"/>
  <c r="G56" i="3"/>
  <c r="J55" i="3"/>
  <c r="I55" i="3"/>
  <c r="H55" i="3"/>
  <c r="G55" i="3"/>
  <c r="J54" i="3"/>
  <c r="I54" i="3"/>
  <c r="H54" i="3"/>
  <c r="G54" i="3"/>
  <c r="J53" i="3"/>
  <c r="I53" i="3"/>
  <c r="H53" i="3"/>
  <c r="G53" i="3"/>
  <c r="J52" i="3"/>
  <c r="I52" i="3"/>
  <c r="H52" i="3"/>
  <c r="G52" i="3"/>
  <c r="J51" i="3"/>
  <c r="I51" i="3"/>
  <c r="H51" i="3"/>
  <c r="G51" i="3"/>
  <c r="J50" i="3"/>
  <c r="I50" i="3"/>
  <c r="H50" i="3"/>
  <c r="G50" i="3"/>
  <c r="J49" i="3"/>
  <c r="I49" i="3"/>
  <c r="H49" i="3"/>
  <c r="G49" i="3"/>
  <c r="J48" i="3"/>
  <c r="I48" i="3"/>
  <c r="H48" i="3"/>
  <c r="G48" i="3"/>
  <c r="J47" i="3"/>
  <c r="I47" i="3"/>
  <c r="H47" i="3"/>
  <c r="G47" i="3"/>
  <c r="J46" i="3"/>
  <c r="I46" i="3"/>
  <c r="H46" i="3"/>
  <c r="G46" i="3"/>
  <c r="J45" i="3"/>
  <c r="I45" i="3"/>
  <c r="H45" i="3"/>
  <c r="G45" i="3"/>
  <c r="J44" i="3"/>
  <c r="I44" i="3"/>
  <c r="H44" i="3"/>
  <c r="G44" i="3"/>
  <c r="J43" i="3"/>
  <c r="I43" i="3"/>
  <c r="H43" i="3"/>
  <c r="G43" i="3"/>
  <c r="J42" i="3"/>
  <c r="I42" i="3"/>
  <c r="H42" i="3"/>
  <c r="G42" i="3"/>
  <c r="J41" i="3"/>
  <c r="I41" i="3"/>
  <c r="H41" i="3"/>
  <c r="G41" i="3"/>
  <c r="J40" i="3"/>
  <c r="I40" i="3"/>
  <c r="H40" i="3"/>
  <c r="G40" i="3"/>
  <c r="J39" i="3"/>
  <c r="I39" i="3"/>
  <c r="H39" i="3"/>
  <c r="G39" i="3"/>
  <c r="J38" i="3"/>
  <c r="I38" i="3"/>
  <c r="H38" i="3"/>
  <c r="G38" i="3"/>
  <c r="J37" i="3"/>
  <c r="I37" i="3"/>
  <c r="H37" i="3"/>
  <c r="G37" i="3"/>
  <c r="J36" i="3"/>
  <c r="I36" i="3"/>
  <c r="H36" i="3"/>
  <c r="G36" i="3"/>
  <c r="J35" i="3"/>
  <c r="I35" i="3"/>
  <c r="H35" i="3"/>
  <c r="G35" i="3"/>
  <c r="J34" i="3"/>
  <c r="I34" i="3"/>
  <c r="H34" i="3"/>
  <c r="G34" i="3"/>
  <c r="J32" i="3"/>
  <c r="I32" i="3"/>
  <c r="H32" i="3"/>
  <c r="G32" i="3"/>
  <c r="J31" i="3"/>
  <c r="K11" i="10" s="1"/>
  <c r="I31" i="3"/>
  <c r="J11" i="10" s="1"/>
  <c r="H31" i="3"/>
  <c r="I11" i="10" s="1"/>
  <c r="G31" i="3"/>
  <c r="H11" i="10" s="1"/>
  <c r="J28" i="3"/>
  <c r="I28" i="3"/>
  <c r="H28" i="3"/>
  <c r="G28" i="3"/>
  <c r="J27" i="3"/>
  <c r="I27" i="3"/>
  <c r="H27" i="3"/>
  <c r="G27" i="3"/>
  <c r="J26" i="3"/>
  <c r="I26" i="3"/>
  <c r="H26" i="3"/>
  <c r="G26" i="3"/>
  <c r="J25" i="3"/>
  <c r="I25" i="3"/>
  <c r="H25" i="3"/>
  <c r="G25" i="3"/>
  <c r="J23" i="3"/>
  <c r="K18" i="10" s="1"/>
  <c r="I23" i="3"/>
  <c r="J18" i="10" s="1"/>
  <c r="H23" i="3"/>
  <c r="I18" i="10" s="1"/>
  <c r="G23" i="3"/>
  <c r="H18" i="10" s="1"/>
  <c r="J22" i="3"/>
  <c r="K17" i="10" s="1"/>
  <c r="I22" i="3"/>
  <c r="J17" i="10" s="1"/>
  <c r="H22" i="3"/>
  <c r="I17" i="10" s="1"/>
  <c r="G22" i="3"/>
  <c r="H17" i="10" s="1"/>
  <c r="J20" i="3"/>
  <c r="I20" i="3"/>
  <c r="H20" i="3"/>
  <c r="G20" i="3"/>
  <c r="J19" i="3"/>
  <c r="I19" i="3"/>
  <c r="H19" i="3"/>
  <c r="G19" i="3"/>
  <c r="J18" i="3"/>
  <c r="I18" i="3"/>
  <c r="H18" i="3"/>
  <c r="G18" i="3"/>
  <c r="J17" i="3"/>
  <c r="I17" i="3"/>
  <c r="H17" i="3"/>
  <c r="G17" i="3"/>
  <c r="J16" i="3"/>
  <c r="I16" i="3"/>
  <c r="H16" i="3"/>
  <c r="G16" i="3"/>
  <c r="J15" i="3"/>
  <c r="I15" i="3"/>
  <c r="H15" i="3"/>
  <c r="G15" i="3"/>
  <c r="J14" i="3"/>
  <c r="I14" i="3"/>
  <c r="H14" i="3"/>
  <c r="G14" i="3"/>
  <c r="J13" i="3"/>
  <c r="I13" i="3"/>
  <c r="H13" i="3"/>
  <c r="G13" i="3"/>
  <c r="J11" i="3"/>
  <c r="I11" i="3"/>
  <c r="H11" i="3"/>
  <c r="G11" i="3"/>
  <c r="J10" i="3"/>
  <c r="I10" i="3"/>
  <c r="H10" i="3"/>
  <c r="G10" i="3"/>
  <c r="J9" i="3"/>
  <c r="I9" i="3"/>
  <c r="H9" i="3"/>
  <c r="G9" i="3"/>
  <c r="J8" i="3"/>
  <c r="I8" i="3"/>
  <c r="H8" i="3"/>
  <c r="G8" i="3"/>
  <c r="J7" i="3"/>
  <c r="I7" i="3"/>
  <c r="H7" i="3"/>
  <c r="G7" i="3"/>
  <c r="J6" i="3"/>
  <c r="I6" i="3"/>
  <c r="H6" i="3"/>
  <c r="G6" i="3"/>
  <c r="J12" i="3"/>
  <c r="I12" i="3"/>
  <c r="H12" i="3"/>
  <c r="G12" i="3"/>
  <c r="J5" i="3"/>
  <c r="I5" i="3"/>
  <c r="H5" i="3"/>
  <c r="G5" i="3"/>
  <c r="J4" i="3"/>
  <c r="I4" i="3"/>
  <c r="H4" i="3"/>
  <c r="G4" i="3"/>
  <c r="A50" i="5" l="1"/>
  <c r="V27" i="2" l="1"/>
  <c r="V26" i="2"/>
  <c r="V25" i="2"/>
  <c r="V24" i="2"/>
  <c r="V23" i="2"/>
  <c r="V22" i="2"/>
  <c r="V21" i="2"/>
  <c r="V20" i="2"/>
  <c r="V19" i="2"/>
  <c r="V18" i="2"/>
  <c r="V17" i="2"/>
  <c r="V16" i="2"/>
  <c r="V15" i="2"/>
  <c r="V14" i="2"/>
  <c r="V13" i="2"/>
  <c r="V12" i="2"/>
  <c r="V11" i="2"/>
  <c r="V10" i="2"/>
  <c r="V9" i="2"/>
  <c r="V8" i="2"/>
  <c r="V7" i="2"/>
  <c r="V6" i="2"/>
  <c r="V5" i="2"/>
  <c r="V4" i="2"/>
  <c r="T27" i="2"/>
  <c r="T26" i="2"/>
  <c r="T25" i="2"/>
  <c r="T24" i="2"/>
  <c r="T23" i="2"/>
  <c r="T22" i="2"/>
  <c r="T21" i="2"/>
  <c r="T20" i="2"/>
  <c r="T19" i="2"/>
  <c r="T18" i="2"/>
  <c r="T17" i="2"/>
  <c r="T16" i="2"/>
  <c r="T15" i="2"/>
  <c r="T14" i="2"/>
  <c r="T13" i="2"/>
  <c r="T12" i="2"/>
  <c r="T11" i="2"/>
  <c r="T10" i="2"/>
  <c r="T9" i="2"/>
  <c r="T8" i="2"/>
  <c r="T7" i="2"/>
  <c r="T6" i="2"/>
  <c r="T5" i="2"/>
  <c r="T4" i="2"/>
  <c r="R27" i="2"/>
  <c r="R26" i="2"/>
  <c r="R25" i="2"/>
  <c r="R24" i="2"/>
  <c r="R23" i="2"/>
  <c r="R22" i="2"/>
  <c r="R21" i="2"/>
  <c r="R20" i="2"/>
  <c r="R19" i="2"/>
  <c r="R18" i="2"/>
  <c r="R17" i="2"/>
  <c r="R16" i="2"/>
  <c r="R15" i="2"/>
  <c r="R14" i="2"/>
  <c r="R13" i="2"/>
  <c r="R12" i="2"/>
  <c r="R11" i="2"/>
  <c r="R10" i="2"/>
  <c r="R9" i="2"/>
  <c r="R8" i="2"/>
  <c r="R7" i="2"/>
  <c r="R6" i="2"/>
  <c r="R5" i="2"/>
  <c r="R4" i="2"/>
  <c r="P27" i="2"/>
  <c r="P26" i="2"/>
  <c r="P25" i="2"/>
  <c r="P24" i="2"/>
  <c r="P23" i="2"/>
  <c r="P22" i="2"/>
  <c r="P21" i="2"/>
  <c r="P20" i="2"/>
  <c r="P19" i="2"/>
  <c r="P18" i="2"/>
  <c r="P17" i="2"/>
  <c r="P16" i="2"/>
  <c r="P15" i="2"/>
  <c r="P14" i="2"/>
  <c r="P13" i="2"/>
  <c r="P12" i="2"/>
  <c r="P11" i="2"/>
  <c r="P10" i="2"/>
  <c r="P9" i="2"/>
  <c r="P8" i="2"/>
  <c r="P7" i="2"/>
  <c r="P6" i="2"/>
  <c r="P5" i="2"/>
  <c r="P4" i="2"/>
  <c r="L6" i="5" l="1"/>
  <c r="A59" i="5" s="1"/>
  <c r="K59" i="5" l="1"/>
  <c r="J59" i="5"/>
  <c r="I59" i="5"/>
  <c r="H59" i="5"/>
  <c r="A61" i="5"/>
  <c r="A56" i="5"/>
  <c r="A57" i="5"/>
  <c r="A60" i="5"/>
  <c r="A58" i="5"/>
  <c r="J57" i="5" l="1"/>
  <c r="H57" i="5"/>
  <c r="I57" i="5"/>
  <c r="K57" i="5"/>
  <c r="I60" i="5"/>
  <c r="K60" i="5"/>
  <c r="H60" i="5"/>
  <c r="J60" i="5"/>
  <c r="I56" i="5"/>
  <c r="H56" i="5"/>
  <c r="K56" i="5"/>
  <c r="J56" i="5"/>
  <c r="K61" i="5"/>
  <c r="J61" i="5"/>
  <c r="I61" i="5"/>
  <c r="H61" i="5"/>
  <c r="K58" i="5"/>
  <c r="I58" i="5"/>
  <c r="J58" i="5"/>
  <c r="H58" i="5"/>
  <c r="G6" i="5"/>
  <c r="G5" i="5"/>
  <c r="E49" i="8" l="1"/>
  <c r="D49" i="8"/>
  <c r="B49" i="8"/>
  <c r="A49" i="8"/>
  <c r="E48" i="8"/>
  <c r="D48" i="8"/>
  <c r="B48" i="8"/>
  <c r="A48" i="8"/>
  <c r="E47" i="8"/>
  <c r="D47" i="8"/>
  <c r="B47" i="8"/>
  <c r="A47" i="8"/>
  <c r="E46" i="8"/>
  <c r="D46" i="8"/>
  <c r="B46" i="8"/>
  <c r="A46" i="8"/>
  <c r="E45" i="8"/>
  <c r="D45" i="8"/>
  <c r="B45" i="8"/>
  <c r="A45" i="8"/>
  <c r="E44" i="8"/>
  <c r="D44" i="8"/>
  <c r="B44" i="8"/>
  <c r="A44" i="8"/>
  <c r="E43" i="8"/>
  <c r="D43" i="8"/>
  <c r="B43" i="8"/>
  <c r="A43" i="8"/>
  <c r="A40" i="8"/>
  <c r="B40" i="8"/>
  <c r="D40" i="8"/>
  <c r="E40" i="8"/>
  <c r="E39" i="8"/>
  <c r="D39" i="8"/>
  <c r="B39" i="8"/>
  <c r="A39" i="8"/>
  <c r="E38" i="8"/>
  <c r="D38" i="8"/>
  <c r="B38" i="8"/>
  <c r="A38" i="8"/>
  <c r="E37" i="8"/>
  <c r="D37" i="8"/>
  <c r="B37" i="8"/>
  <c r="A37" i="8"/>
  <c r="E36" i="8"/>
  <c r="D36" i="8"/>
  <c r="B36" i="8"/>
  <c r="A36" i="8"/>
  <c r="E35" i="8"/>
  <c r="D35" i="8"/>
  <c r="B35" i="8"/>
  <c r="A35" i="8"/>
  <c r="E34" i="8"/>
  <c r="D34" i="8"/>
  <c r="B34" i="8"/>
  <c r="A34" i="8"/>
  <c r="M33" i="3" s="1"/>
  <c r="A53" i="8"/>
  <c r="N33" i="3" l="1"/>
  <c r="M34" i="3"/>
  <c r="M16" i="3"/>
  <c r="M47" i="3"/>
  <c r="M48" i="3"/>
  <c r="M45" i="3"/>
  <c r="M46" i="3"/>
  <c r="M49" i="3"/>
  <c r="M44" i="3"/>
  <c r="M50" i="3"/>
  <c r="M57" i="3"/>
  <c r="M51" i="3"/>
  <c r="M53" i="3"/>
  <c r="M54" i="3"/>
  <c r="M56" i="3"/>
  <c r="M52" i="3"/>
  <c r="M55" i="3"/>
  <c r="M64" i="3"/>
  <c r="M63" i="3"/>
  <c r="M59" i="3"/>
  <c r="M62" i="3"/>
  <c r="M58" i="3"/>
  <c r="M20" i="3"/>
  <c r="M41" i="3"/>
  <c r="M42" i="3"/>
  <c r="M35" i="3"/>
  <c r="M36" i="3"/>
  <c r="M37" i="3"/>
  <c r="M38" i="3"/>
  <c r="M39" i="3"/>
  <c r="M40" i="3"/>
  <c r="M65" i="3"/>
  <c r="M68" i="3"/>
  <c r="M72" i="3"/>
  <c r="M66" i="3"/>
  <c r="M70" i="3"/>
  <c r="M67" i="3"/>
  <c r="M71" i="3"/>
  <c r="M17" i="3"/>
  <c r="M69" i="3"/>
  <c r="M18" i="3"/>
  <c r="M12" i="3"/>
  <c r="M19" i="3"/>
  <c r="M6" i="3"/>
  <c r="M15" i="3"/>
  <c r="M61" i="3"/>
  <c r="M26" i="3"/>
  <c r="M27" i="3"/>
  <c r="M28" i="3"/>
  <c r="M7" i="3"/>
  <c r="M23" i="3"/>
  <c r="M22" i="3"/>
  <c r="M25" i="3"/>
  <c r="M8" i="3"/>
  <c r="M32" i="3"/>
  <c r="M60" i="3"/>
  <c r="M9" i="3"/>
  <c r="M31" i="3"/>
  <c r="M10" i="3"/>
  <c r="M13" i="3"/>
  <c r="M14" i="3"/>
  <c r="M43" i="3"/>
  <c r="M11" i="3"/>
  <c r="N34" i="3"/>
  <c r="N65" i="3"/>
  <c r="N72" i="3"/>
  <c r="N66" i="3"/>
  <c r="N44" i="3"/>
  <c r="N28" i="3"/>
  <c r="N20" i="3"/>
  <c r="N50" i="3"/>
  <c r="N64" i="3"/>
  <c r="N35" i="3"/>
  <c r="N12" i="3"/>
  <c r="N7" i="3"/>
  <c r="N31" i="3"/>
  <c r="N59" i="3"/>
  <c r="N70" i="3"/>
  <c r="N6" i="3"/>
  <c r="N26" i="3"/>
  <c r="N16" i="3"/>
  <c r="N57" i="3"/>
  <c r="N63" i="3"/>
  <c r="N36" i="3"/>
  <c r="N19" i="3"/>
  <c r="N23" i="3"/>
  <c r="N10" i="3"/>
  <c r="N51" i="3"/>
  <c r="N37" i="3"/>
  <c r="N13" i="3"/>
  <c r="N17" i="3"/>
  <c r="N47" i="3"/>
  <c r="N22" i="3"/>
  <c r="N46" i="3"/>
  <c r="N48" i="3"/>
  <c r="N53" i="3"/>
  <c r="N62" i="3"/>
  <c r="N38" i="3"/>
  <c r="N67" i="3"/>
  <c r="N15" i="3"/>
  <c r="N25" i="3"/>
  <c r="N14" i="3"/>
  <c r="N45" i="3"/>
  <c r="N54" i="3"/>
  <c r="N58" i="3"/>
  <c r="N39" i="3"/>
  <c r="N71" i="3"/>
  <c r="N61" i="3"/>
  <c r="N8" i="3"/>
  <c r="N43" i="3"/>
  <c r="N40" i="3"/>
  <c r="N11" i="3"/>
  <c r="N49" i="3"/>
  <c r="N52" i="3"/>
  <c r="N41" i="3"/>
  <c r="N69" i="3"/>
  <c r="N27" i="3"/>
  <c r="N60" i="3"/>
  <c r="N55" i="3"/>
  <c r="N42" i="3"/>
  <c r="N68" i="3"/>
  <c r="N18" i="3"/>
  <c r="N9" i="3"/>
  <c r="N56" i="3"/>
  <c r="N32" i="3"/>
  <c r="M5" i="3"/>
  <c r="M4" i="3"/>
  <c r="N5" i="3"/>
  <c r="N4" i="3"/>
  <c r="A87" i="8"/>
  <c r="A88" i="8"/>
  <c r="B87" i="8"/>
  <c r="B88" i="8"/>
  <c r="D87" i="8"/>
  <c r="D88" i="8"/>
  <c r="E87" i="8"/>
  <c r="E88" i="8"/>
  <c r="A80" i="8" l="1"/>
  <c r="A81" i="8"/>
  <c r="A82" i="8"/>
  <c r="A83" i="8"/>
  <c r="B80" i="8"/>
  <c r="B81" i="8"/>
  <c r="B82" i="8"/>
  <c r="B83" i="8"/>
  <c r="D80" i="8"/>
  <c r="D81" i="8"/>
  <c r="D82" i="8"/>
  <c r="D83" i="8"/>
  <c r="E80" i="8"/>
  <c r="E81" i="8"/>
  <c r="E82" i="8"/>
  <c r="E83" i="8"/>
  <c r="A73" i="8" l="1"/>
  <c r="B73" i="8"/>
  <c r="D73" i="8"/>
  <c r="E73" i="8"/>
  <c r="A72" i="8" l="1"/>
  <c r="B72" i="8"/>
  <c r="D72" i="8"/>
  <c r="E72" i="8"/>
  <c r="A61" i="8" l="1"/>
  <c r="A64" i="8"/>
  <c r="A65" i="8"/>
  <c r="B64" i="8"/>
  <c r="B65" i="8"/>
  <c r="D64" i="8"/>
  <c r="D65" i="8"/>
  <c r="E64" i="8"/>
  <c r="E65" i="8"/>
  <c r="L4" i="5" l="1"/>
  <c r="A37" i="5" l="1"/>
  <c r="A27" i="5"/>
  <c r="A26" i="5"/>
  <c r="A32" i="5"/>
  <c r="A30" i="5"/>
  <c r="A36" i="5"/>
  <c r="A31" i="5"/>
  <c r="A35" i="5"/>
  <c r="A25" i="5"/>
  <c r="A33" i="5"/>
  <c r="A23" i="5"/>
  <c r="A28" i="5"/>
  <c r="A38" i="5"/>
  <c r="A15" i="5"/>
  <c r="A13" i="5"/>
  <c r="A17" i="5"/>
  <c r="A16" i="5"/>
  <c r="A18" i="5"/>
  <c r="A40" i="5"/>
  <c r="A42" i="5"/>
  <c r="A45" i="5"/>
  <c r="A41" i="5"/>
  <c r="A43" i="5"/>
  <c r="A46" i="5"/>
  <c r="A47" i="5"/>
  <c r="A48" i="5"/>
  <c r="A20" i="5"/>
  <c r="A21" i="5"/>
  <c r="A12" i="5"/>
  <c r="A10" i="5"/>
  <c r="A22" i="5"/>
  <c r="A11" i="5"/>
  <c r="J35" i="5" l="1"/>
  <c r="I35" i="5"/>
  <c r="H35" i="5"/>
  <c r="K35" i="5"/>
  <c r="J10" i="5"/>
  <c r="I10" i="5"/>
  <c r="H10" i="5"/>
  <c r="K10" i="5"/>
  <c r="I41" i="5"/>
  <c r="K41" i="5"/>
  <c r="J41" i="5"/>
  <c r="H41" i="5"/>
  <c r="K15" i="5"/>
  <c r="J15" i="5"/>
  <c r="I15" i="5"/>
  <c r="H15" i="5"/>
  <c r="J36" i="5"/>
  <c r="I36" i="5"/>
  <c r="H36" i="5"/>
  <c r="K36" i="5"/>
  <c r="K46" i="5"/>
  <c r="J46" i="5"/>
  <c r="I46" i="5"/>
  <c r="H46" i="5"/>
  <c r="I13" i="5"/>
  <c r="K13" i="5"/>
  <c r="J13" i="5"/>
  <c r="H13" i="5"/>
  <c r="J12" i="5"/>
  <c r="I12" i="5"/>
  <c r="H12" i="5"/>
  <c r="K12" i="5"/>
  <c r="K45" i="5"/>
  <c r="J45" i="5"/>
  <c r="I45" i="5"/>
  <c r="H45" i="5"/>
  <c r="H38" i="5"/>
  <c r="J38" i="5"/>
  <c r="K38" i="5"/>
  <c r="I38" i="5"/>
  <c r="J30" i="5"/>
  <c r="I30" i="5"/>
  <c r="H30" i="5"/>
  <c r="K30" i="5"/>
  <c r="J43" i="5"/>
  <c r="I43" i="5"/>
  <c r="H43" i="5"/>
  <c r="K43" i="5"/>
  <c r="K21" i="5"/>
  <c r="J21" i="5"/>
  <c r="I21" i="5"/>
  <c r="H21" i="5"/>
  <c r="J42" i="5"/>
  <c r="I42" i="5"/>
  <c r="H42" i="5"/>
  <c r="K42" i="5"/>
  <c r="K28" i="5"/>
  <c r="J28" i="5"/>
  <c r="I28" i="5"/>
  <c r="H28" i="5"/>
  <c r="I32" i="5"/>
  <c r="H32" i="5"/>
  <c r="K32" i="5"/>
  <c r="J32" i="5"/>
  <c r="J11" i="5"/>
  <c r="I11" i="5"/>
  <c r="H11" i="5"/>
  <c r="K11" i="5"/>
  <c r="K31" i="5"/>
  <c r="J31" i="5"/>
  <c r="I31" i="5"/>
  <c r="H31" i="5"/>
  <c r="I20" i="5"/>
  <c r="H20" i="5"/>
  <c r="K20" i="5"/>
  <c r="J20" i="5"/>
  <c r="J40" i="5"/>
  <c r="I40" i="5"/>
  <c r="H40" i="5"/>
  <c r="K40" i="5"/>
  <c r="K23" i="5"/>
  <c r="H23" i="5"/>
  <c r="J23" i="5"/>
  <c r="I23" i="5"/>
  <c r="J26" i="5"/>
  <c r="I26" i="5"/>
  <c r="H26" i="5"/>
  <c r="K26" i="5"/>
  <c r="J22" i="5"/>
  <c r="I22" i="5"/>
  <c r="H22" i="5"/>
  <c r="K22" i="5"/>
  <c r="H48" i="5"/>
  <c r="I48" i="5"/>
  <c r="K48" i="5"/>
  <c r="J48" i="5"/>
  <c r="J18" i="5"/>
  <c r="I18" i="5"/>
  <c r="H18" i="5"/>
  <c r="K18" i="5"/>
  <c r="J33" i="5"/>
  <c r="K33" i="5"/>
  <c r="H33" i="5"/>
  <c r="I33" i="5"/>
  <c r="J27" i="5"/>
  <c r="I27" i="5"/>
  <c r="H27" i="5"/>
  <c r="K27" i="5"/>
  <c r="H17" i="5"/>
  <c r="K17" i="5"/>
  <c r="J17" i="5"/>
  <c r="I17" i="5"/>
  <c r="H47" i="5"/>
  <c r="K47" i="5"/>
  <c r="J47" i="5"/>
  <c r="I47" i="5"/>
  <c r="J16" i="5"/>
  <c r="I16" i="5"/>
  <c r="H16" i="5"/>
  <c r="K16" i="5"/>
  <c r="J25" i="5"/>
  <c r="I25" i="5"/>
  <c r="H25" i="5"/>
  <c r="K25" i="5"/>
  <c r="H37" i="5"/>
  <c r="K37" i="5"/>
  <c r="J37" i="5"/>
  <c r="I37" i="5"/>
  <c r="E35" i="5"/>
  <c r="E36" i="5" s="1"/>
  <c r="E37" i="5" s="1"/>
  <c r="E38" i="5" s="1"/>
  <c r="E15" i="5"/>
  <c r="E16" i="5" s="1"/>
  <c r="E17" i="5" s="1"/>
  <c r="E18" i="5" s="1"/>
  <c r="E10" i="5"/>
  <c r="E11" i="5" s="1"/>
  <c r="E12" i="5" s="1"/>
  <c r="E13" i="5" s="1"/>
  <c r="E45" i="5"/>
  <c r="E46" i="5" s="1"/>
  <c r="E47" i="5" s="1"/>
  <c r="E48" i="5" s="1"/>
  <c r="E30" i="5"/>
  <c r="E31" i="5" s="1"/>
  <c r="E32" i="5" s="1"/>
  <c r="E33" i="5" s="1"/>
  <c r="E20" i="5"/>
  <c r="E21" i="5" s="1"/>
  <c r="E22" i="5" s="1"/>
  <c r="E23" i="5" s="1"/>
  <c r="E40" i="5"/>
  <c r="E41" i="5" s="1"/>
  <c r="E42" i="5" s="1"/>
  <c r="E43" i="5" s="1"/>
  <c r="E25" i="5"/>
  <c r="E26" i="5" s="1"/>
  <c r="E27" i="5" s="1"/>
  <c r="E28" i="5" s="1"/>
  <c r="E71" i="8" l="1"/>
  <c r="D71" i="8"/>
  <c r="B71" i="8"/>
  <c r="A71" i="8"/>
  <c r="E70" i="8"/>
  <c r="D70" i="8"/>
  <c r="B70" i="8"/>
  <c r="A70" i="8"/>
  <c r="E69" i="8"/>
  <c r="D69" i="8"/>
  <c r="B69" i="8"/>
  <c r="A69" i="8"/>
  <c r="E68" i="8"/>
  <c r="D68" i="8"/>
  <c r="B68" i="8"/>
  <c r="A68" i="8"/>
  <c r="Q33" i="3" s="1"/>
  <c r="A31" i="8"/>
  <c r="B31" i="8"/>
  <c r="D31" i="8"/>
  <c r="E31" i="8"/>
  <c r="Q34" i="3" l="1"/>
  <c r="Q16" i="3"/>
  <c r="Q47" i="3"/>
  <c r="Q48" i="3"/>
  <c r="Q45" i="3"/>
  <c r="Q46" i="3"/>
  <c r="Q49" i="3"/>
  <c r="Q44" i="3"/>
  <c r="Q50" i="3"/>
  <c r="Q57" i="3"/>
  <c r="Q51" i="3"/>
  <c r="Q53" i="3"/>
  <c r="Q54" i="3"/>
  <c r="Q56" i="3"/>
  <c r="Q52" i="3"/>
  <c r="Q55" i="3"/>
  <c r="Q64" i="3"/>
  <c r="Q63" i="3"/>
  <c r="Q59" i="3"/>
  <c r="Q62" i="3"/>
  <c r="Q58" i="3"/>
  <c r="Q20" i="3"/>
  <c r="Q41" i="3"/>
  <c r="Q42" i="3"/>
  <c r="Q35" i="3"/>
  <c r="Q36" i="3"/>
  <c r="Q37" i="3"/>
  <c r="Q38" i="3"/>
  <c r="Q39" i="3"/>
  <c r="Q40" i="3"/>
  <c r="Q65" i="3"/>
  <c r="Q68" i="3"/>
  <c r="Q72" i="3"/>
  <c r="Q66" i="3"/>
  <c r="Q70" i="3"/>
  <c r="Q67" i="3"/>
  <c r="Q71" i="3"/>
  <c r="Q17" i="3"/>
  <c r="Q69" i="3"/>
  <c r="Q18" i="3"/>
  <c r="Q12" i="3"/>
  <c r="Q19" i="3"/>
  <c r="Q6" i="3"/>
  <c r="Q15" i="3"/>
  <c r="Q61" i="3"/>
  <c r="Q26" i="3"/>
  <c r="Q27" i="3"/>
  <c r="Q28" i="3"/>
  <c r="Q7" i="3"/>
  <c r="Q23" i="3"/>
  <c r="Q22" i="3"/>
  <c r="Q25" i="3"/>
  <c r="Q8" i="3"/>
  <c r="Q32" i="3"/>
  <c r="Q60" i="3"/>
  <c r="Q9" i="3"/>
  <c r="Q31" i="3"/>
  <c r="Q10" i="3"/>
  <c r="Q13" i="3"/>
  <c r="Q14" i="3"/>
  <c r="Q43" i="3"/>
  <c r="Q11" i="3"/>
  <c r="Q5" i="3"/>
  <c r="Q4" i="3"/>
  <c r="A30" i="8"/>
  <c r="B30" i="8"/>
  <c r="D30" i="8"/>
  <c r="E30" i="8"/>
  <c r="A52" i="5" l="1"/>
  <c r="A55" i="5"/>
  <c r="A54" i="5"/>
  <c r="A53" i="5"/>
  <c r="K53" i="5" l="1"/>
  <c r="J53" i="5"/>
  <c r="H53" i="5"/>
  <c r="I53" i="5"/>
  <c r="J54" i="5"/>
  <c r="I54" i="5"/>
  <c r="H54" i="5"/>
  <c r="K54" i="5"/>
  <c r="J55" i="5"/>
  <c r="K55" i="5"/>
  <c r="I55" i="5"/>
  <c r="H55" i="5"/>
  <c r="J52" i="5"/>
  <c r="I52" i="5"/>
  <c r="K52" i="5"/>
  <c r="H52" i="5"/>
  <c r="C58" i="5"/>
  <c r="D58" i="5"/>
  <c r="B58" i="5"/>
  <c r="F58" i="5"/>
  <c r="G58" i="5"/>
  <c r="F57" i="5"/>
  <c r="C57" i="5"/>
  <c r="D57" i="5"/>
  <c r="G57" i="5"/>
  <c r="B57" i="5"/>
  <c r="C60" i="5"/>
  <c r="F60" i="5"/>
  <c r="G60" i="5"/>
  <c r="B60" i="5"/>
  <c r="D60" i="5"/>
  <c r="D59" i="5"/>
  <c r="F59" i="5"/>
  <c r="C59" i="5"/>
  <c r="G59" i="5"/>
  <c r="B59" i="5"/>
  <c r="D56" i="5"/>
  <c r="F56" i="5"/>
  <c r="G56" i="5"/>
  <c r="B56" i="5"/>
  <c r="C56" i="5"/>
  <c r="B61" i="5"/>
  <c r="C61" i="5"/>
  <c r="D61" i="5"/>
  <c r="F61" i="5"/>
  <c r="G61" i="5"/>
  <c r="C42" i="5"/>
  <c r="F42" i="5"/>
  <c r="B42" i="5"/>
  <c r="G42" i="5"/>
  <c r="D42" i="5"/>
  <c r="G45" i="5"/>
  <c r="F45" i="5"/>
  <c r="D45" i="5"/>
  <c r="B45" i="5"/>
  <c r="C45" i="5"/>
  <c r="D41" i="5"/>
  <c r="C41" i="5"/>
  <c r="G41" i="5"/>
  <c r="B41" i="5"/>
  <c r="F41" i="5"/>
  <c r="D47" i="5"/>
  <c r="C47" i="5"/>
  <c r="G47" i="5"/>
  <c r="F47" i="5"/>
  <c r="B47" i="5"/>
  <c r="G43" i="5"/>
  <c r="F43" i="5"/>
  <c r="B43" i="5"/>
  <c r="C43" i="5"/>
  <c r="D43" i="5"/>
  <c r="D46" i="5"/>
  <c r="C46" i="5"/>
  <c r="B46" i="5"/>
  <c r="G46" i="5"/>
  <c r="F46" i="5"/>
  <c r="G40" i="5"/>
  <c r="C40" i="5"/>
  <c r="D40" i="5"/>
  <c r="F40" i="5"/>
  <c r="B40" i="5"/>
  <c r="G48" i="5"/>
  <c r="B48" i="5"/>
  <c r="C48" i="5"/>
  <c r="D48" i="5"/>
  <c r="F48" i="5"/>
  <c r="G52" i="5"/>
  <c r="F54" i="5" l="1"/>
  <c r="D55" i="5"/>
  <c r="C52" i="5"/>
  <c r="D52" i="5"/>
  <c r="F52" i="5"/>
  <c r="B52" i="5"/>
  <c r="D53" i="5" l="1"/>
  <c r="B54" i="5"/>
  <c r="C55" i="5"/>
  <c r="G55" i="5"/>
  <c r="B55" i="5"/>
  <c r="F53" i="5"/>
  <c r="B53" i="5"/>
  <c r="G53" i="5"/>
  <c r="F55" i="5"/>
  <c r="D54" i="5"/>
  <c r="G54" i="5"/>
  <c r="C54" i="5"/>
  <c r="C53" i="5"/>
  <c r="E91" i="8" l="1"/>
  <c r="D91" i="8"/>
  <c r="B91" i="8"/>
  <c r="A91" i="8"/>
  <c r="E90" i="8"/>
  <c r="D90" i="8"/>
  <c r="B90" i="8"/>
  <c r="A90" i="8"/>
  <c r="E89" i="8"/>
  <c r="D89" i="8"/>
  <c r="B89" i="8"/>
  <c r="A89" i="8"/>
  <c r="E86" i="8"/>
  <c r="D86" i="8"/>
  <c r="B86" i="8"/>
  <c r="A86" i="8"/>
  <c r="S33" i="3" l="1"/>
  <c r="S34" i="3"/>
  <c r="S16" i="3"/>
  <c r="S47" i="3"/>
  <c r="S48" i="3"/>
  <c r="S45" i="3"/>
  <c r="S46" i="3"/>
  <c r="S49" i="3"/>
  <c r="S44" i="3"/>
  <c r="S50" i="3"/>
  <c r="S57" i="3"/>
  <c r="S51" i="3"/>
  <c r="S53" i="3"/>
  <c r="S54" i="3"/>
  <c r="S56" i="3"/>
  <c r="S52" i="3"/>
  <c r="S55" i="3"/>
  <c r="S64" i="3"/>
  <c r="S63" i="3"/>
  <c r="S59" i="3"/>
  <c r="S62" i="3"/>
  <c r="S58" i="3"/>
  <c r="S20" i="3"/>
  <c r="S41" i="3"/>
  <c r="S42" i="3"/>
  <c r="S35" i="3"/>
  <c r="S36" i="3"/>
  <c r="S37" i="3"/>
  <c r="S38" i="3"/>
  <c r="S39" i="3"/>
  <c r="S40" i="3"/>
  <c r="S65" i="3"/>
  <c r="S68" i="3"/>
  <c r="S72" i="3"/>
  <c r="S66" i="3"/>
  <c r="S70" i="3"/>
  <c r="S67" i="3"/>
  <c r="S71" i="3"/>
  <c r="S17" i="3"/>
  <c r="S69" i="3"/>
  <c r="S18" i="3"/>
  <c r="S12" i="3"/>
  <c r="S19" i="3"/>
  <c r="S6" i="3"/>
  <c r="S15" i="3"/>
  <c r="S61" i="3"/>
  <c r="S26" i="3"/>
  <c r="S27" i="3"/>
  <c r="S28" i="3"/>
  <c r="S7" i="3"/>
  <c r="S23" i="3"/>
  <c r="S22" i="3"/>
  <c r="S25" i="3"/>
  <c r="S8" i="3"/>
  <c r="S32" i="3"/>
  <c r="S60" i="3"/>
  <c r="S9" i="3"/>
  <c r="S31" i="3"/>
  <c r="S10" i="3"/>
  <c r="S13" i="3"/>
  <c r="S14" i="3"/>
  <c r="S43" i="3"/>
  <c r="S11" i="3"/>
  <c r="S5" i="3"/>
  <c r="S4" i="3"/>
  <c r="E79" i="8"/>
  <c r="D79" i="8"/>
  <c r="B79" i="8"/>
  <c r="A79" i="8"/>
  <c r="E78" i="8"/>
  <c r="D78" i="8"/>
  <c r="B78" i="8"/>
  <c r="A78" i="8"/>
  <c r="E77" i="8"/>
  <c r="D77" i="8"/>
  <c r="B77" i="8"/>
  <c r="A77" i="8"/>
  <c r="E76" i="8"/>
  <c r="D76" i="8"/>
  <c r="B76" i="8"/>
  <c r="A76" i="8"/>
  <c r="R33" i="3" l="1"/>
  <c r="R34" i="3"/>
  <c r="R16" i="3"/>
  <c r="R47" i="3"/>
  <c r="R48" i="3"/>
  <c r="R45" i="3"/>
  <c r="R46" i="3"/>
  <c r="R49" i="3"/>
  <c r="R44" i="3"/>
  <c r="R50" i="3"/>
  <c r="R57" i="3"/>
  <c r="R51" i="3"/>
  <c r="R53" i="3"/>
  <c r="R54" i="3"/>
  <c r="R56" i="3"/>
  <c r="R52" i="3"/>
  <c r="R55" i="3"/>
  <c r="R64" i="3"/>
  <c r="R63" i="3"/>
  <c r="R59" i="3"/>
  <c r="R62" i="3"/>
  <c r="R58" i="3"/>
  <c r="R20" i="3"/>
  <c r="R41" i="3"/>
  <c r="R42" i="3"/>
  <c r="R35" i="3"/>
  <c r="R36" i="3"/>
  <c r="R37" i="3"/>
  <c r="R38" i="3"/>
  <c r="R39" i="3"/>
  <c r="R40" i="3"/>
  <c r="R65" i="3"/>
  <c r="R68" i="3"/>
  <c r="R72" i="3"/>
  <c r="R66" i="3"/>
  <c r="R70" i="3"/>
  <c r="R67" i="3"/>
  <c r="R71" i="3"/>
  <c r="R17" i="3"/>
  <c r="R69" i="3"/>
  <c r="R18" i="3"/>
  <c r="R12" i="3"/>
  <c r="R19" i="3"/>
  <c r="R6" i="3"/>
  <c r="R15" i="3"/>
  <c r="R61" i="3"/>
  <c r="R26" i="3"/>
  <c r="R27" i="3"/>
  <c r="R28" i="3"/>
  <c r="R7" i="3"/>
  <c r="R23" i="3"/>
  <c r="R22" i="3"/>
  <c r="R25" i="3"/>
  <c r="R8" i="3"/>
  <c r="R32" i="3"/>
  <c r="R60" i="3"/>
  <c r="R9" i="3"/>
  <c r="R31" i="3"/>
  <c r="R10" i="3"/>
  <c r="R13" i="3"/>
  <c r="R14" i="3"/>
  <c r="R43" i="3"/>
  <c r="R11" i="3"/>
  <c r="R5" i="3"/>
  <c r="R4" i="3"/>
  <c r="E61" i="8"/>
  <c r="D61" i="8"/>
  <c r="B61" i="8"/>
  <c r="E62" i="8"/>
  <c r="D62" i="8"/>
  <c r="B62" i="8"/>
  <c r="A62" i="8"/>
  <c r="E60" i="8"/>
  <c r="D60" i="8"/>
  <c r="B60" i="8"/>
  <c r="A60" i="8"/>
  <c r="E63" i="8"/>
  <c r="D63" i="8"/>
  <c r="B63" i="8"/>
  <c r="A63" i="8"/>
  <c r="P33" i="3" l="1"/>
  <c r="P34" i="3"/>
  <c r="P16" i="3"/>
  <c r="P47" i="3"/>
  <c r="P48" i="3"/>
  <c r="P45" i="3"/>
  <c r="P46" i="3"/>
  <c r="P49" i="3"/>
  <c r="P44" i="3"/>
  <c r="P50" i="3"/>
  <c r="P57" i="3"/>
  <c r="P51" i="3"/>
  <c r="P53" i="3"/>
  <c r="P54" i="3"/>
  <c r="P56" i="3"/>
  <c r="P52" i="3"/>
  <c r="P55" i="3"/>
  <c r="P64" i="3"/>
  <c r="P63" i="3"/>
  <c r="P59" i="3"/>
  <c r="P62" i="3"/>
  <c r="P58" i="3"/>
  <c r="P20" i="3"/>
  <c r="P41" i="3"/>
  <c r="P42" i="3"/>
  <c r="P35" i="3"/>
  <c r="P36" i="3"/>
  <c r="P37" i="3"/>
  <c r="P38" i="3"/>
  <c r="P39" i="3"/>
  <c r="P40" i="3"/>
  <c r="P65" i="3"/>
  <c r="P68" i="3"/>
  <c r="P72" i="3"/>
  <c r="P66" i="3"/>
  <c r="P70" i="3"/>
  <c r="P67" i="3"/>
  <c r="P71" i="3"/>
  <c r="P17" i="3"/>
  <c r="P69" i="3"/>
  <c r="P18" i="3"/>
  <c r="P12" i="3"/>
  <c r="P19" i="3"/>
  <c r="P6" i="3"/>
  <c r="P15" i="3"/>
  <c r="P61" i="3"/>
  <c r="P26" i="3"/>
  <c r="P27" i="3"/>
  <c r="P28" i="3"/>
  <c r="P7" i="3"/>
  <c r="P23" i="3"/>
  <c r="P22" i="3"/>
  <c r="P25" i="3"/>
  <c r="P8" i="3"/>
  <c r="P32" i="3"/>
  <c r="P60" i="3"/>
  <c r="P9" i="3"/>
  <c r="P31" i="3"/>
  <c r="P10" i="3"/>
  <c r="P13" i="3"/>
  <c r="P14" i="3"/>
  <c r="P43" i="3"/>
  <c r="P11" i="3"/>
  <c r="P5" i="3"/>
  <c r="P4" i="3"/>
  <c r="A25" i="8"/>
  <c r="A26" i="8"/>
  <c r="A27" i="8"/>
  <c r="A28" i="8"/>
  <c r="A29" i="8"/>
  <c r="B25" i="8"/>
  <c r="B26" i="8"/>
  <c r="B27" i="8"/>
  <c r="B28" i="8"/>
  <c r="B29" i="8"/>
  <c r="D25" i="8"/>
  <c r="D26" i="8"/>
  <c r="D27" i="8"/>
  <c r="D28" i="8"/>
  <c r="D29" i="8"/>
  <c r="E25" i="8"/>
  <c r="E26" i="8"/>
  <c r="E27" i="8"/>
  <c r="E28" i="8"/>
  <c r="E29" i="8"/>
  <c r="A24" i="8"/>
  <c r="B24" i="8"/>
  <c r="D24" i="8"/>
  <c r="E24" i="8"/>
  <c r="A3" i="8" l="1"/>
  <c r="A7" i="8"/>
  <c r="A8" i="8"/>
  <c r="A9" i="8"/>
  <c r="A10" i="8"/>
  <c r="A11" i="8"/>
  <c r="A12" i="8"/>
  <c r="A13" i="8"/>
  <c r="A14" i="8"/>
  <c r="A15" i="8"/>
  <c r="A16" i="8"/>
  <c r="A17" i="8"/>
  <c r="A18" i="8"/>
  <c r="A19" i="8"/>
  <c r="A20" i="8"/>
  <c r="A21" i="8"/>
  <c r="A22" i="8"/>
  <c r="A23" i="8"/>
  <c r="B7" i="8"/>
  <c r="B8" i="8"/>
  <c r="B9" i="8"/>
  <c r="B10" i="8"/>
  <c r="B11" i="8"/>
  <c r="B12" i="8"/>
  <c r="B13" i="8"/>
  <c r="B14" i="8"/>
  <c r="B15" i="8"/>
  <c r="B16" i="8"/>
  <c r="B17" i="8"/>
  <c r="B18" i="8"/>
  <c r="B19" i="8"/>
  <c r="B20" i="8"/>
  <c r="B21" i="8"/>
  <c r="B22" i="8"/>
  <c r="B23" i="8"/>
  <c r="D7" i="8"/>
  <c r="D8" i="8"/>
  <c r="D9" i="8"/>
  <c r="D10" i="8"/>
  <c r="D11" i="8"/>
  <c r="D12" i="8"/>
  <c r="D13" i="8"/>
  <c r="D14" i="8"/>
  <c r="D15" i="8"/>
  <c r="D16" i="8"/>
  <c r="D17" i="8"/>
  <c r="D18" i="8"/>
  <c r="D19" i="8"/>
  <c r="D20" i="8"/>
  <c r="D21" i="8"/>
  <c r="D22" i="8"/>
  <c r="D23" i="8"/>
  <c r="E7" i="8"/>
  <c r="E8" i="8"/>
  <c r="E9" i="8"/>
  <c r="E10" i="8"/>
  <c r="E11" i="8"/>
  <c r="E12" i="8"/>
  <c r="E13" i="8"/>
  <c r="E14" i="8"/>
  <c r="E15" i="8"/>
  <c r="E16" i="8"/>
  <c r="E17" i="8"/>
  <c r="E18" i="8"/>
  <c r="E19" i="8"/>
  <c r="E20" i="8"/>
  <c r="E21" i="8"/>
  <c r="E22" i="8"/>
  <c r="E23" i="8"/>
  <c r="L16" i="3" l="1"/>
  <c r="B52" i="8"/>
  <c r="E52" i="8"/>
  <c r="E53" i="8"/>
  <c r="E54" i="8"/>
  <c r="E55" i="8"/>
  <c r="E56" i="8"/>
  <c r="E57" i="8"/>
  <c r="D52" i="8"/>
  <c r="D53" i="8"/>
  <c r="D54" i="8"/>
  <c r="D55" i="8"/>
  <c r="D56" i="8"/>
  <c r="D57" i="8"/>
  <c r="B53" i="8"/>
  <c r="B54" i="8"/>
  <c r="B55" i="8"/>
  <c r="B56" i="8"/>
  <c r="B57" i="8"/>
  <c r="A52" i="8"/>
  <c r="A54" i="8"/>
  <c r="A55" i="8"/>
  <c r="A56" i="8"/>
  <c r="A57" i="8"/>
  <c r="E3" i="8"/>
  <c r="E4" i="8"/>
  <c r="E5" i="8"/>
  <c r="E6" i="8"/>
  <c r="D3" i="8"/>
  <c r="D4" i="8"/>
  <c r="D5" i="8"/>
  <c r="D6" i="8"/>
  <c r="B3" i="8"/>
  <c r="B4" i="8"/>
  <c r="B5" i="8"/>
  <c r="B6" i="8"/>
  <c r="A4" i="8"/>
  <c r="L33" i="3" s="1"/>
  <c r="A5" i="8"/>
  <c r="A6" i="8"/>
  <c r="O33" i="3" l="1"/>
  <c r="L34" i="3"/>
  <c r="L47" i="3"/>
  <c r="L48" i="3"/>
  <c r="L45" i="3"/>
  <c r="L46" i="3"/>
  <c r="L49" i="3"/>
  <c r="L44" i="3"/>
  <c r="L50" i="3"/>
  <c r="L57" i="3"/>
  <c r="L51" i="3"/>
  <c r="L53" i="3"/>
  <c r="L54" i="3"/>
  <c r="L56" i="3"/>
  <c r="L52" i="3"/>
  <c r="L55" i="3"/>
  <c r="L64" i="3"/>
  <c r="L63" i="3"/>
  <c r="L59" i="3"/>
  <c r="L62" i="3"/>
  <c r="L58" i="3"/>
  <c r="L20" i="3"/>
  <c r="L41" i="3"/>
  <c r="L42" i="3"/>
  <c r="L35" i="3"/>
  <c r="L36" i="3"/>
  <c r="L37" i="3"/>
  <c r="L38" i="3"/>
  <c r="L39" i="3"/>
  <c r="L40" i="3"/>
  <c r="L65" i="3"/>
  <c r="L68" i="3"/>
  <c r="L72" i="3"/>
  <c r="L66" i="3"/>
  <c r="L70" i="3"/>
  <c r="L67" i="3"/>
  <c r="L71" i="3"/>
  <c r="L17" i="3"/>
  <c r="L69" i="3"/>
  <c r="L18" i="3"/>
  <c r="L12" i="3"/>
  <c r="L19" i="3"/>
  <c r="L6" i="3"/>
  <c r="L15" i="3"/>
  <c r="L61" i="3"/>
  <c r="L26" i="3"/>
  <c r="L27" i="3"/>
  <c r="L28" i="3"/>
  <c r="L7" i="3"/>
  <c r="L23" i="3"/>
  <c r="L22" i="3"/>
  <c r="L25" i="3"/>
  <c r="L8" i="3"/>
  <c r="L32" i="3"/>
  <c r="L60" i="3"/>
  <c r="L9" i="3"/>
  <c r="L31" i="3"/>
  <c r="L10" i="3"/>
  <c r="L13" i="3"/>
  <c r="L14" i="3"/>
  <c r="L43" i="3"/>
  <c r="L11" i="3"/>
  <c r="O34" i="3"/>
  <c r="O16" i="3"/>
  <c r="O47" i="3"/>
  <c r="O48" i="3"/>
  <c r="O45" i="3"/>
  <c r="O46" i="3"/>
  <c r="O49" i="3"/>
  <c r="O44" i="3"/>
  <c r="O50" i="3"/>
  <c r="O57" i="3"/>
  <c r="O51" i="3"/>
  <c r="O53" i="3"/>
  <c r="O54" i="3"/>
  <c r="O56" i="3"/>
  <c r="O52" i="3"/>
  <c r="O55" i="3"/>
  <c r="O64" i="3"/>
  <c r="O63" i="3"/>
  <c r="O59" i="3"/>
  <c r="O62" i="3"/>
  <c r="O58" i="3"/>
  <c r="O20" i="3"/>
  <c r="O41" i="3"/>
  <c r="O42" i="3"/>
  <c r="O35" i="3"/>
  <c r="O36" i="3"/>
  <c r="O37" i="3"/>
  <c r="O38" i="3"/>
  <c r="O39" i="3"/>
  <c r="O40" i="3"/>
  <c r="O65" i="3"/>
  <c r="O68" i="3"/>
  <c r="O72" i="3"/>
  <c r="O66" i="3"/>
  <c r="O70" i="3"/>
  <c r="O67" i="3"/>
  <c r="O71" i="3"/>
  <c r="O17" i="3"/>
  <c r="O69" i="3"/>
  <c r="O18" i="3"/>
  <c r="O12" i="3"/>
  <c r="O19" i="3"/>
  <c r="O6" i="3"/>
  <c r="O15" i="3"/>
  <c r="O61" i="3"/>
  <c r="O26" i="3"/>
  <c r="O27" i="3"/>
  <c r="O28" i="3"/>
  <c r="O7" i="3"/>
  <c r="O23" i="3"/>
  <c r="O22" i="3"/>
  <c r="O25" i="3"/>
  <c r="O8" i="3"/>
  <c r="O32" i="3"/>
  <c r="O60" i="3"/>
  <c r="O9" i="3"/>
  <c r="O31" i="3"/>
  <c r="O10" i="3"/>
  <c r="O13" i="3"/>
  <c r="O14" i="3"/>
  <c r="O43" i="3"/>
  <c r="O11" i="3"/>
  <c r="L5" i="3"/>
  <c r="O5" i="3"/>
  <c r="O4" i="3"/>
  <c r="L4" i="3"/>
  <c r="G7" i="5"/>
  <c r="C36" i="5" l="1"/>
  <c r="F36" i="5"/>
  <c r="G36" i="5"/>
  <c r="B36" i="5"/>
  <c r="D36" i="5"/>
  <c r="B37" i="5"/>
  <c r="F37" i="5"/>
  <c r="G37" i="5"/>
  <c r="D37" i="5"/>
  <c r="C37" i="5"/>
  <c r="B32" i="5"/>
  <c r="C32" i="5"/>
  <c r="G32" i="5"/>
  <c r="F32" i="5"/>
  <c r="D32" i="5"/>
  <c r="D38" i="5"/>
  <c r="B38" i="5"/>
  <c r="C38" i="5"/>
  <c r="F38" i="5"/>
  <c r="G38" i="5"/>
  <c r="D35" i="5"/>
  <c r="B35" i="5"/>
  <c r="C35" i="5"/>
  <c r="F35" i="5"/>
  <c r="G35" i="5"/>
  <c r="C31" i="5"/>
  <c r="G31" i="5"/>
  <c r="D31" i="5"/>
  <c r="F31" i="5"/>
  <c r="B31" i="5"/>
  <c r="C33" i="5"/>
  <c r="G33" i="5"/>
  <c r="F33" i="5"/>
  <c r="B33" i="5"/>
  <c r="D33" i="5"/>
  <c r="D30" i="5"/>
  <c r="F30" i="5"/>
  <c r="B30" i="5"/>
  <c r="C30" i="5"/>
  <c r="G30" i="5"/>
  <c r="F22" i="5" l="1"/>
  <c r="C22" i="5"/>
  <c r="G22" i="5"/>
  <c r="D22" i="5"/>
  <c r="B22" i="5"/>
  <c r="G15" i="5"/>
  <c r="F15" i="5"/>
  <c r="D15" i="5"/>
  <c r="C15" i="5"/>
  <c r="B15" i="5"/>
  <c r="G20" i="5"/>
  <c r="F20" i="5"/>
  <c r="D20" i="5"/>
  <c r="C20" i="5"/>
  <c r="B20" i="5"/>
  <c r="G13" i="5"/>
  <c r="F13" i="5"/>
  <c r="D13" i="5"/>
  <c r="C13" i="5"/>
  <c r="B13" i="5"/>
  <c r="G28" i="5"/>
  <c r="F28" i="5"/>
  <c r="D28" i="5"/>
  <c r="C28" i="5"/>
  <c r="B28" i="5"/>
  <c r="G16" i="5"/>
  <c r="F16" i="5"/>
  <c r="D16" i="5"/>
  <c r="C16" i="5"/>
  <c r="B16" i="5"/>
  <c r="G10" i="5"/>
  <c r="F10" i="5"/>
  <c r="D10" i="5"/>
  <c r="C10" i="5"/>
  <c r="B10" i="5"/>
  <c r="F12" i="5"/>
  <c r="B12" i="5"/>
  <c r="C12" i="5"/>
  <c r="G12" i="5"/>
  <c r="D12" i="5"/>
  <c r="G17" i="5"/>
  <c r="F17" i="5"/>
  <c r="D17" i="5"/>
  <c r="C17" i="5"/>
  <c r="B17" i="5"/>
  <c r="F21" i="5"/>
  <c r="C21" i="5"/>
  <c r="G21" i="5"/>
  <c r="D21" i="5"/>
  <c r="B21" i="5"/>
  <c r="F23" i="5"/>
  <c r="G23" i="5"/>
  <c r="D23" i="5"/>
  <c r="C23" i="5"/>
  <c r="B23" i="5"/>
  <c r="G25" i="5"/>
  <c r="F25" i="5"/>
  <c r="D25" i="5"/>
  <c r="C25" i="5"/>
  <c r="B25" i="5"/>
  <c r="B11" i="5"/>
  <c r="C11" i="5"/>
  <c r="G11" i="5"/>
  <c r="D11" i="5"/>
  <c r="F11" i="5"/>
  <c r="G26" i="5"/>
  <c r="F26" i="5"/>
  <c r="D26" i="5"/>
  <c r="C26" i="5"/>
  <c r="B26" i="5"/>
  <c r="G27" i="5"/>
  <c r="F27" i="5"/>
  <c r="D27" i="5"/>
  <c r="C27" i="5"/>
  <c r="B27" i="5"/>
  <c r="G18" i="5"/>
  <c r="F18" i="5"/>
  <c r="D18" i="5"/>
  <c r="C18" i="5"/>
  <c r="B18" i="5"/>
</calcChain>
</file>

<file path=xl/sharedStrings.xml><?xml version="1.0" encoding="utf-8"?>
<sst xmlns="http://schemas.openxmlformats.org/spreadsheetml/2006/main" count="1575" uniqueCount="305">
  <si>
    <t>UDC</t>
  </si>
  <si>
    <t>Ver</t>
  </si>
  <si>
    <t>OUA Cd</t>
  </si>
  <si>
    <t>Unit Title</t>
  </si>
  <si>
    <t>Pre-reqs</t>
  </si>
  <si>
    <t>Credits</t>
  </si>
  <si>
    <t>Availabilities</t>
  </si>
  <si>
    <t>Progress Notes</t>
  </si>
  <si>
    <r>
      <t>Curtin University</t>
    </r>
    <r>
      <rPr>
        <sz val="11"/>
        <color theme="0"/>
        <rFont val="Arial"/>
        <family val="2"/>
      </rPr>
      <t xml:space="preserve">
School of Design and the Built Environment</t>
    </r>
  </si>
  <si>
    <t>2024 Enrolment Planner</t>
  </si>
  <si>
    <t>Course:</t>
  </si>
  <si>
    <t>Stream version:</t>
  </si>
  <si>
    <t>Specialisation:</t>
  </si>
  <si>
    <t>Environmental Planning Specialisation</t>
  </si>
  <si>
    <t>Specialisation version:</t>
  </si>
  <si>
    <t>Commencing:</t>
  </si>
  <si>
    <t>Semester 1 (February - June)</t>
  </si>
  <si>
    <t>Credits to Complete:</t>
  </si>
  <si>
    <t>2024 Availabilities</t>
  </si>
  <si>
    <t>Year 1</t>
  </si>
  <si>
    <t>Study Period</t>
  </si>
  <si>
    <t>Pre Requisite(s)</t>
  </si>
  <si>
    <t>CP</t>
  </si>
  <si>
    <t>Sem1 BEN</t>
  </si>
  <si>
    <t>Sem1 FO</t>
  </si>
  <si>
    <t>Sem2 BEN</t>
  </si>
  <si>
    <t>Sem2 FO</t>
  </si>
  <si>
    <t>Progress</t>
  </si>
  <si>
    <t>Year 2</t>
  </si>
  <si>
    <t>Year 3</t>
  </si>
  <si>
    <t>Year 4</t>
  </si>
  <si>
    <t>This study plan is correct and contains up to date course information at the time of issue but may be subject to change. Curtin will not be liable to you or to any other person for any loss or damage (including direct, consequential or economic loss or damage) however caused and whether by negligence or otherwise which may result directly or indirectly from the use of this publication.</t>
  </si>
  <si>
    <r>
      <rPr>
        <b/>
        <sz val="12"/>
        <rFont val="Segoe UI"/>
        <family val="2"/>
      </rPr>
      <t xml:space="preserve">If you have any queries about your course, please contact </t>
    </r>
    <r>
      <rPr>
        <b/>
        <u/>
        <sz val="12"/>
        <color theme="10"/>
        <rFont val="Segoe UI"/>
        <family val="2"/>
      </rPr>
      <t>Curtin Connect.</t>
    </r>
  </si>
  <si>
    <t>Curtin University is a trademark of Curtin University of Technology</t>
  </si>
  <si>
    <t>CRICOS Provider Code 00301J</t>
  </si>
  <si>
    <t>Bachelor of Urban and Regional Planning</t>
  </si>
  <si>
    <t>B-URPLAN2</t>
  </si>
  <si>
    <t>4th Year Stream</t>
  </si>
  <si>
    <t>Honours Stream</t>
  </si>
  <si>
    <t>RangeUnitSets</t>
  </si>
  <si>
    <r>
      <t>B-URPLAN2</t>
    </r>
    <r>
      <rPr>
        <b/>
        <sz val="8"/>
        <color rgb="FF00B050"/>
        <rFont val="Arial"/>
        <family val="2"/>
      </rPr>
      <t>Sem1</t>
    </r>
  </si>
  <si>
    <r>
      <t>B-URPLAN2</t>
    </r>
    <r>
      <rPr>
        <b/>
        <sz val="8"/>
        <color rgb="FFFF0000"/>
        <rFont val="Arial"/>
        <family val="2"/>
      </rPr>
      <t>Sem2</t>
    </r>
  </si>
  <si>
    <r>
      <t>B-URPLAN2 / STRU-URPLN</t>
    </r>
    <r>
      <rPr>
        <b/>
        <sz val="8"/>
        <color rgb="FF00B050"/>
        <rFont val="Arial"/>
        <family val="2"/>
      </rPr>
      <t>Sem1</t>
    </r>
  </si>
  <si>
    <r>
      <t>B-URPLAN2 / STRU-URPLN</t>
    </r>
    <r>
      <rPr>
        <b/>
        <sz val="8"/>
        <color rgb="FFFF0000"/>
        <rFont val="Arial"/>
        <family val="2"/>
      </rPr>
      <t>Sem2</t>
    </r>
  </si>
  <si>
    <r>
      <t>B-URPLAN2 / STRH-URPLN</t>
    </r>
    <r>
      <rPr>
        <b/>
        <sz val="8"/>
        <color rgb="FF00B050"/>
        <rFont val="Arial"/>
        <family val="2"/>
      </rPr>
      <t>Sem1</t>
    </r>
  </si>
  <si>
    <r>
      <t>B-URPLAN2 / STRH-URPLN</t>
    </r>
    <r>
      <rPr>
        <b/>
        <sz val="8"/>
        <color rgb="FFFF0000"/>
        <rFont val="Arial"/>
        <family val="2"/>
      </rPr>
      <t>Sem2</t>
    </r>
  </si>
  <si>
    <t>Structure Line</t>
  </si>
  <si>
    <t>COMS1010</t>
  </si>
  <si>
    <t>Y1Sem1</t>
  </si>
  <si>
    <t>Y1Sem2</t>
  </si>
  <si>
    <t>URDE1005</t>
  </si>
  <si>
    <t>URDE1009</t>
  </si>
  <si>
    <t>Version</t>
  </si>
  <si>
    <t>Credit Points</t>
  </si>
  <si>
    <t>Effective Date</t>
  </si>
  <si>
    <t>URDE1006</t>
  </si>
  <si>
    <t>URDE1001</t>
  </si>
  <si>
    <t>B-URPLAN2 / STRU-URPLN</t>
  </si>
  <si>
    <t>v.1 / v.3</t>
  </si>
  <si>
    <t>800 credit points required</t>
  </si>
  <si>
    <t>URDE1002</t>
  </si>
  <si>
    <t>URDE1010</t>
  </si>
  <si>
    <t>B-URPLAN2 / STRH-URPLN</t>
  </si>
  <si>
    <t>v.1 / v.2</t>
  </si>
  <si>
    <t>URDE1003</t>
  </si>
  <si>
    <t>START</t>
  </si>
  <si>
    <t>Next</t>
  </si>
  <si>
    <t>Sem1</t>
  </si>
  <si>
    <t>Sem2</t>
  </si>
  <si>
    <t>URDE2011</t>
  </si>
  <si>
    <t>Y2Sem1</t>
  </si>
  <si>
    <t>Y2Sem2</t>
  </si>
  <si>
    <t>URDE2009</t>
  </si>
  <si>
    <t>Semester 2 (July -  November)</t>
  </si>
  <si>
    <t>URDE2000</t>
  </si>
  <si>
    <t>URDE2001</t>
  </si>
  <si>
    <t>URDE2004</t>
  </si>
  <si>
    <t>URDE2007</t>
  </si>
  <si>
    <t>Choose your Stream</t>
  </si>
  <si>
    <t>URDE2006</t>
  </si>
  <si>
    <t>Spec</t>
  </si>
  <si>
    <t>Urban and Regional Planning Fourth Year Stream</t>
  </si>
  <si>
    <t>STRU-URPLN</t>
  </si>
  <si>
    <t>v.3</t>
  </si>
  <si>
    <t>200 credit points</t>
  </si>
  <si>
    <t>Honours Urban and Regional Planning Stream</t>
  </si>
  <si>
    <t>STRH-URPLN</t>
  </si>
  <si>
    <t>v.2</t>
  </si>
  <si>
    <t>URDE3009</t>
  </si>
  <si>
    <t>Y3Sem1</t>
  </si>
  <si>
    <t>Y3Sem2</t>
  </si>
  <si>
    <t>URDE3006</t>
  </si>
  <si>
    <t>SPUC-ENVSP</t>
  </si>
  <si>
    <t>v.1</t>
  </si>
  <si>
    <t>100 credit points</t>
  </si>
  <si>
    <t>URDE3007</t>
  </si>
  <si>
    <t>URDE3002</t>
  </si>
  <si>
    <t>URDE3001</t>
  </si>
  <si>
    <t>Graphics Specialisation</t>
  </si>
  <si>
    <t>SPUC-GRAPH</t>
  </si>
  <si>
    <t>International Development Specialisation</t>
  </si>
  <si>
    <t>SPUC-INTLD</t>
  </si>
  <si>
    <t>Landscape and Natural Resource Management Specialisation</t>
  </si>
  <si>
    <t>SPUC-LANDN</t>
  </si>
  <si>
    <t>Social Inclusion and Equity Specialisation</t>
  </si>
  <si>
    <t>SPUC-SOCJU</t>
  </si>
  <si>
    <t>URDE4004</t>
  </si>
  <si>
    <t>Y4Sem1</t>
  </si>
  <si>
    <t>Y4Sem2</t>
  </si>
  <si>
    <t>URDE4011</t>
  </si>
  <si>
    <t>URDE4008</t>
  </si>
  <si>
    <t>URDE4013</t>
  </si>
  <si>
    <t>URDE4012</t>
  </si>
  <si>
    <t>URDE4006</t>
  </si>
  <si>
    <t>Elective</t>
  </si>
  <si>
    <t>URDE4007</t>
  </si>
  <si>
    <t>URDE4009</t>
  </si>
  <si>
    <t>-</t>
  </si>
  <si>
    <t>Spec Unit</t>
  </si>
  <si>
    <t>50CP Unit</t>
  </si>
  <si>
    <t>Akari Structure</t>
  </si>
  <si>
    <t>RangeSpecSets</t>
  </si>
  <si>
    <t>Spec1</t>
  </si>
  <si>
    <t>AGRI1000</t>
  </si>
  <si>
    <t>GRDE1004</t>
  </si>
  <si>
    <t>GEOG2000</t>
  </si>
  <si>
    <t>PHGY3000</t>
  </si>
  <si>
    <t>ANTH2000</t>
  </si>
  <si>
    <t>Spec2</t>
  </si>
  <si>
    <t>ENST3000</t>
  </si>
  <si>
    <t>GRDE1015</t>
  </si>
  <si>
    <t>GEOG2001</t>
  </si>
  <si>
    <t>URDE3003</t>
  </si>
  <si>
    <t>SUST2000</t>
  </si>
  <si>
    <t>Spec3</t>
  </si>
  <si>
    <t>ENST3004</t>
  </si>
  <si>
    <t>GRDE2035</t>
  </si>
  <si>
    <t>GEOG3001</t>
  </si>
  <si>
    <t>AND</t>
  </si>
  <si>
    <t>ANTH3003</t>
  </si>
  <si>
    <t>Spec4</t>
  </si>
  <si>
    <t>AltCoreLANDN1</t>
  </si>
  <si>
    <t>Spec5</t>
  </si>
  <si>
    <t>AltCoreENVSP</t>
  </si>
  <si>
    <t>AltCoreGRAPH</t>
  </si>
  <si>
    <t>AltCoreINTLD</t>
  </si>
  <si>
    <t>AltCoreSOCJU</t>
  </si>
  <si>
    <t>Spec6</t>
  </si>
  <si>
    <t>ARCH2012</t>
  </si>
  <si>
    <t>PHGY2000</t>
  </si>
  <si>
    <t>Spec7</t>
  </si>
  <si>
    <t>URDE3005</t>
  </si>
  <si>
    <t>Spec8</t>
  </si>
  <si>
    <t>AltCoreLANDN2</t>
  </si>
  <si>
    <t>Spec9</t>
  </si>
  <si>
    <t>Spec10</t>
  </si>
  <si>
    <t>Spec11</t>
  </si>
  <si>
    <t>Semester 1</t>
  </si>
  <si>
    <t>Semester 2</t>
  </si>
  <si>
    <t>Title</t>
  </si>
  <si>
    <t>S1INT</t>
  </si>
  <si>
    <t>S1FO</t>
  </si>
  <si>
    <t>S2INT</t>
  </si>
  <si>
    <t>S2FO</t>
  </si>
  <si>
    <t>Notes</t>
  </si>
  <si>
    <t>B-CONM</t>
  </si>
  <si>
    <t>Please note this is a 50CP unit</t>
  </si>
  <si>
    <t>--</t>
  </si>
  <si>
    <t>Not relevant to this study sequence</t>
  </si>
  <si>
    <t>Land and Water Resources</t>
  </si>
  <si>
    <t>None</t>
  </si>
  <si>
    <t>Study either ARCH2012 or URDE3005</t>
  </si>
  <si>
    <t>Study either URDE3005 or ARCH2012</t>
  </si>
  <si>
    <t>Study either PHGY2000 or GEOG3001</t>
  </si>
  <si>
    <t>Ethnographies of the City</t>
  </si>
  <si>
    <t>Human Rights and Social Justice</t>
  </si>
  <si>
    <t>Built Environment Special Topic</t>
  </si>
  <si>
    <t>Academic and Professional Communications</t>
  </si>
  <si>
    <t>Study an Elective Unit</t>
  </si>
  <si>
    <t>Check Handbook</t>
  </si>
  <si>
    <t>Environmental Impact Assessment</t>
  </si>
  <si>
    <t>Topics in Sustainable Development</t>
  </si>
  <si>
    <t>Fourth Year Stream</t>
  </si>
  <si>
    <t>Choose your Fourth Year Stream</t>
  </si>
  <si>
    <t>Geographies of Migration</t>
  </si>
  <si>
    <t>Geographies of Food Security</t>
  </si>
  <si>
    <t>Sustainable Livelihoods</t>
  </si>
  <si>
    <t>Design Computing</t>
  </si>
  <si>
    <t>Illustration Fundamentals</t>
  </si>
  <si>
    <t>Introduction to 3D Modelling and Rendering</t>
  </si>
  <si>
    <t>Natural Hazards</t>
  </si>
  <si>
    <t>Cultural Landscapes</t>
  </si>
  <si>
    <t>Study one unit from your chosen specialisation (see below)</t>
  </si>
  <si>
    <t>See below</t>
  </si>
  <si>
    <t>Specialisation</t>
  </si>
  <si>
    <t>Choose a Specialisation</t>
  </si>
  <si>
    <t>Sociocultural Perspectives of Sustainability</t>
  </si>
  <si>
    <t>Urban Analysis</t>
  </si>
  <si>
    <t>Planning Graphics and Design</t>
  </si>
  <si>
    <t>Governance for Planning</t>
  </si>
  <si>
    <t>Diversity and Cultural Planning</t>
  </si>
  <si>
    <t>Introduction to Planning</t>
  </si>
  <si>
    <t>Planning for Sustainable Urban Development</t>
  </si>
  <si>
    <t>Urban Transport Systems</t>
  </si>
  <si>
    <t>Local Planning</t>
  </si>
  <si>
    <t>Participatory Planning</t>
  </si>
  <si>
    <t>Planning for Economic Development</t>
  </si>
  <si>
    <t>Planning for Housing</t>
  </si>
  <si>
    <t>Site Planning</t>
  </si>
  <si>
    <t>Land and Development Economics</t>
  </si>
  <si>
    <t>Environmental Planning</t>
  </si>
  <si>
    <t>Professional Practice in Urban and Regional Planning 1</t>
  </si>
  <si>
    <t>Urban Regeneration</t>
  </si>
  <si>
    <t>Rural Resource Planning</t>
  </si>
  <si>
    <t>Special Topics in Urban &amp; Regional Planning</t>
  </si>
  <si>
    <t>Planning Analytics</t>
  </si>
  <si>
    <t>Design and Built Environment Research Methods</t>
  </si>
  <si>
    <t>Planning History and Theory</t>
  </si>
  <si>
    <t>International Perspectives for Planning</t>
  </si>
  <si>
    <t>Planning Law</t>
  </si>
  <si>
    <t>Planning Honours Dissertation</t>
  </si>
  <si>
    <t>Planning Dissertation Preparation</t>
  </si>
  <si>
    <t>Planning Report</t>
  </si>
  <si>
    <t>Development Outcomes</t>
  </si>
  <si>
    <t>Professional Practice in Urban and Regional Planning 2</t>
  </si>
  <si>
    <t>Planning for Regions</t>
  </si>
  <si>
    <t>Effective:</t>
  </si>
  <si>
    <t>V</t>
  </si>
  <si>
    <t>OUA Code</t>
  </si>
  <si>
    <t>CPs</t>
  </si>
  <si>
    <t>No.</t>
  </si>
  <si>
    <t>Component Type</t>
  </si>
  <si>
    <t>Year Level</t>
  </si>
  <si>
    <t>Study Package Code</t>
  </si>
  <si>
    <t>Discont.</t>
  </si>
  <si>
    <t>Core</t>
  </si>
  <si>
    <t>AltCore</t>
  </si>
  <si>
    <t>NA</t>
  </si>
  <si>
    <t>Choose an Elective</t>
  </si>
  <si>
    <t>Choose ARCH2012 or URDE3005</t>
  </si>
  <si>
    <t>Choose URDE3005 or ARCH2012</t>
  </si>
  <si>
    <t>Choose PHGY2000 or GEOG3001</t>
  </si>
  <si>
    <t>Count of Availability Available to Students Flag</t>
  </si>
  <si>
    <t>Column Labels</t>
  </si>
  <si>
    <t>Downloaded 2024:</t>
  </si>
  <si>
    <t>Row Labels</t>
  </si>
  <si>
    <t>Internal</t>
  </si>
  <si>
    <t>Online</t>
  </si>
  <si>
    <t>Internal2</t>
  </si>
  <si>
    <t>Online3</t>
  </si>
  <si>
    <t>Choose your Planning Course (drop-down list)</t>
  </si>
  <si>
    <t>Choose your commencing study period (drop-down list)</t>
  </si>
  <si>
    <t>Choose your Specialisation (drop-down list)</t>
  </si>
  <si>
    <t>Akari Update</t>
  </si>
  <si>
    <t>Bachelor of Urban and Regional Planning (Honours)</t>
  </si>
  <si>
    <t>Effective</t>
  </si>
  <si>
    <t>SPK</t>
  </si>
  <si>
    <t>Downloaded:</t>
  </si>
  <si>
    <t>AC-ENVSP</t>
  </si>
  <si>
    <t>AC-GRAPH</t>
  </si>
  <si>
    <t>AC-INTLD</t>
  </si>
  <si>
    <t>AC-LANDN1</t>
  </si>
  <si>
    <t>AC-LANDN2</t>
  </si>
  <si>
    <t>AC-SOCJU</t>
  </si>
  <si>
    <t>PHGY3002</t>
  </si>
  <si>
    <t>Rural Geographies</t>
  </si>
  <si>
    <t>URDE3003.PO</t>
  </si>
  <si>
    <t>New unit replacing URDE3003</t>
  </si>
  <si>
    <t>Deactivating 31/12/2023</t>
  </si>
  <si>
    <t>Built Environment Special Topic (with approval)</t>
  </si>
  <si>
    <t>UC Approval</t>
  </si>
  <si>
    <t>Undergraduate Certificate in Geography</t>
  </si>
  <si>
    <t>UH-GEOGY</t>
  </si>
  <si>
    <t>Undergraduate Certificate in Urban and Regional Planning</t>
  </si>
  <si>
    <t>UH-URPLAN</t>
  </si>
  <si>
    <t>INT &amp; FO - Sem1; Sem2</t>
  </si>
  <si>
    <t>INT - Sem1; Sem2</t>
  </si>
  <si>
    <t>INT PartTime - Sem1; Sem2</t>
  </si>
  <si>
    <t>100 credit points required</t>
  </si>
  <si>
    <t>GEOG1000</t>
  </si>
  <si>
    <t>Human Geography</t>
  </si>
  <si>
    <t>PHGY1000</t>
  </si>
  <si>
    <t>Physical Geography</t>
  </si>
  <si>
    <t>Option</t>
  </si>
  <si>
    <t>Choose an Option</t>
  </si>
  <si>
    <t>GEOG2002</t>
  </si>
  <si>
    <t>Fieldwork Skills</t>
  </si>
  <si>
    <t>COMS1000 or COMS1010 or NPSC1003</t>
  </si>
  <si>
    <t>GRDE1001 or GRDE1004 or GRDE1020</t>
  </si>
  <si>
    <t>COMS1010 + URDE1001</t>
  </si>
  <si>
    <t>URDE1001 + URDE3006 + URDE3007</t>
  </si>
  <si>
    <t>URDE3001 + URDE3006 + URDE3007</t>
  </si>
  <si>
    <t>Study a unit from the Option list below</t>
  </si>
  <si>
    <t>RangeUGCertUnitSets</t>
  </si>
  <si>
    <t>UH-GEOGYSem1</t>
  </si>
  <si>
    <t>UH-GEOGYSem2</t>
  </si>
  <si>
    <t>UH-URPLANSem1</t>
  </si>
  <si>
    <t>UH-URPLANSem2</t>
  </si>
  <si>
    <t>TableCourses</t>
  </si>
  <si>
    <t>TableCoursesUGCerts</t>
  </si>
  <si>
    <t>Choose your Course (drop-down list)</t>
  </si>
  <si>
    <t>Option List</t>
  </si>
  <si>
    <t>Approved FP 9/02/2024</t>
  </si>
  <si>
    <t>Special Topics in Urban &amp; Regional Planning (with approval)</t>
  </si>
  <si>
    <t>Verbal approval via Teams meeting 9/02/2024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</si>
</sst>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3" x14ac:knownFonts="1">
    <font>
      <sz val="12"/>
      <color theme="1"/>
      <name val="Calibri"/>
      <family val="2"/>
      <scheme val="minor"/>
    </font>
    <font>
      <sz val="11"/>
      <color theme="1"/>
      <name val="Calibri"/>
      <family val="2"/>
      <scheme val="minor"/>
    </font>
    <font>
      <b/>
      <sz val="8"/>
      <color rgb="FF000000"/>
      <name val="Arial"/>
      <family val="2"/>
    </font>
    <font>
      <sz val="8"/>
      <name val="Arial"/>
      <family val="2"/>
    </font>
    <font>
      <sz val="8"/>
      <color rgb="FF000000"/>
      <name val="Arial"/>
      <family val="2"/>
    </font>
    <font>
      <b/>
      <sz val="10"/>
      <color rgb="FF000000"/>
      <name val="Arial"/>
      <family val="2"/>
    </font>
    <font>
      <sz val="10"/>
      <color rgb="FF000000"/>
      <name val="Arial"/>
      <family val="2"/>
    </font>
    <font>
      <sz val="10"/>
      <color rgb="FFFF0000"/>
      <name val="Arial"/>
      <family val="2"/>
    </font>
    <font>
      <sz val="10"/>
      <name val="Arial"/>
      <family val="2"/>
    </font>
    <font>
      <sz val="8"/>
      <color rgb="FFFF0000"/>
      <name val="Arial"/>
      <family val="2"/>
    </font>
    <font>
      <sz val="10"/>
      <color theme="1"/>
      <name val="Arial"/>
      <family val="2"/>
    </font>
    <font>
      <sz val="8"/>
      <color theme="1"/>
      <name val="Arial"/>
      <family val="2"/>
    </font>
    <font>
      <sz val="11"/>
      <color theme="1"/>
      <name val="Arial"/>
      <family val="2"/>
    </font>
    <font>
      <b/>
      <sz val="10"/>
      <color theme="1"/>
      <name val="Arial"/>
      <family val="2"/>
    </font>
    <font>
      <b/>
      <sz val="12"/>
      <color theme="1"/>
      <name val="Arial"/>
      <family val="2"/>
    </font>
    <font>
      <sz val="10"/>
      <color theme="0"/>
      <name val="Arial"/>
      <family val="2"/>
    </font>
    <font>
      <b/>
      <i/>
      <sz val="12"/>
      <color theme="1"/>
      <name val="Calibri"/>
      <family val="2"/>
      <scheme val="minor"/>
    </font>
    <font>
      <sz val="8"/>
      <color theme="0" tint="-0.499984740745262"/>
      <name val="Arial"/>
      <family val="2"/>
    </font>
    <font>
      <b/>
      <sz val="11"/>
      <color theme="1"/>
      <name val="Segoe UI"/>
      <family val="2"/>
    </font>
    <font>
      <b/>
      <sz val="9"/>
      <color theme="1"/>
      <name val="Segoe UI"/>
      <family val="2"/>
    </font>
    <font>
      <sz val="9"/>
      <color theme="0"/>
      <name val="Segoe UI"/>
      <family val="2"/>
    </font>
    <font>
      <sz val="9"/>
      <color theme="1"/>
      <name val="Segoe UI"/>
      <family val="2"/>
    </font>
    <font>
      <b/>
      <sz val="8"/>
      <color theme="0"/>
      <name val="Segoe UI"/>
      <family val="2"/>
    </font>
    <font>
      <sz val="8"/>
      <name val="Segoe UI"/>
      <family val="2"/>
    </font>
    <font>
      <sz val="8"/>
      <color theme="1"/>
      <name val="Segoe UI"/>
      <family val="2"/>
    </font>
    <font>
      <sz val="8"/>
      <color rgb="FFFF0000"/>
      <name val="Segoe UI"/>
      <family val="2"/>
    </font>
    <font>
      <sz val="7"/>
      <color theme="1"/>
      <name val="Segoe UI"/>
      <family val="2"/>
    </font>
    <font>
      <u/>
      <sz val="11"/>
      <color theme="10"/>
      <name val="Calibri"/>
      <family val="2"/>
      <scheme val="minor"/>
    </font>
    <font>
      <b/>
      <u/>
      <sz val="12"/>
      <color theme="10"/>
      <name val="Segoe UI"/>
      <family val="2"/>
    </font>
    <font>
      <b/>
      <sz val="12"/>
      <name val="Segoe UI"/>
      <family val="2"/>
    </font>
    <font>
      <sz val="11"/>
      <name val="Segoe UI"/>
      <family val="2"/>
    </font>
    <font>
      <sz val="11"/>
      <color theme="1"/>
      <name val="Segoe UI"/>
      <family val="2"/>
    </font>
    <font>
      <sz val="6"/>
      <color theme="1"/>
      <name val="Segoe UI"/>
      <family val="2"/>
    </font>
    <font>
      <b/>
      <sz val="6"/>
      <color theme="1"/>
      <name val="Arial"/>
      <family val="2"/>
    </font>
    <font>
      <sz val="6"/>
      <color theme="1"/>
      <name val="Arial"/>
      <family val="2"/>
    </font>
    <font>
      <sz val="11"/>
      <name val="Arial"/>
      <family val="2"/>
    </font>
    <font>
      <sz val="9"/>
      <name val="Segoe UI"/>
      <family val="2"/>
    </font>
    <font>
      <b/>
      <sz val="9"/>
      <color theme="0"/>
      <name val="Segoe UI"/>
      <family val="2"/>
    </font>
    <font>
      <sz val="11"/>
      <color theme="0"/>
      <name val="Calibri"/>
      <family val="2"/>
      <scheme val="minor"/>
    </font>
    <font>
      <b/>
      <sz val="11"/>
      <color theme="0"/>
      <name val="Arial"/>
      <family val="2"/>
    </font>
    <font>
      <sz val="11"/>
      <color theme="0"/>
      <name val="Arial"/>
      <family val="2"/>
    </font>
    <font>
      <b/>
      <sz val="11"/>
      <color theme="0"/>
      <name val="Segoe UI"/>
      <family val="2"/>
    </font>
    <font>
      <b/>
      <sz val="11"/>
      <color rgb="FFFF0000"/>
      <name val="Segoe UI"/>
      <family val="2"/>
    </font>
    <font>
      <b/>
      <sz val="9"/>
      <name val="Segoe UI"/>
      <family val="2"/>
    </font>
    <font>
      <b/>
      <i/>
      <sz val="12"/>
      <color rgb="FFC00000"/>
      <name val="Calibri"/>
      <family val="2"/>
      <scheme val="minor"/>
    </font>
    <font>
      <sz val="12"/>
      <name val="Calibri"/>
      <family val="2"/>
      <scheme val="minor"/>
    </font>
    <font>
      <b/>
      <sz val="10"/>
      <color theme="0"/>
      <name val="Arial"/>
      <family val="2"/>
    </font>
    <font>
      <i/>
      <sz val="10"/>
      <color theme="0" tint="-0.34998626667073579"/>
      <name val="Arial"/>
      <family val="2"/>
    </font>
    <font>
      <b/>
      <sz val="8"/>
      <color rgb="FF00B050"/>
      <name val="Arial"/>
      <family val="2"/>
    </font>
    <font>
      <b/>
      <sz val="8"/>
      <color rgb="FFFF0000"/>
      <name val="Arial"/>
      <family val="2"/>
    </font>
    <font>
      <sz val="8"/>
      <color theme="0" tint="-0.34998626667073579"/>
      <name val="Arial"/>
      <family val="2"/>
    </font>
    <font>
      <sz val="12"/>
      <color rgb="FFFF0000"/>
      <name val="Calibri"/>
      <family val="2"/>
      <scheme val="minor"/>
    </font>
    <font>
      <b/>
      <i/>
      <sz val="11"/>
      <color theme="0"/>
      <name val="Segoe UI"/>
      <family val="2"/>
    </font>
    <font>
      <b/>
      <sz val="18"/>
      <color theme="1"/>
      <name val="Segoe UI"/>
      <family val="2"/>
    </font>
    <font>
      <sz val="12"/>
      <name val="Calibri"/>
      <family val="2"/>
      <scheme val="minor"/>
    </font>
    <font>
      <b/>
      <sz val="9"/>
      <color theme="0" tint="-0.34998626667073579"/>
      <name val="Segoe UI"/>
      <family val="2"/>
    </font>
    <font>
      <sz val="10"/>
      <color theme="1"/>
      <name val="Arial"/>
      <family val="2"/>
    </font>
    <font>
      <sz val="12"/>
      <name val="Calibri"/>
      <family val="2"/>
      <scheme val="minor"/>
    </font>
    <font>
      <sz val="10"/>
      <color rgb="FF000000"/>
      <name val="Arial"/>
      <family val="2"/>
    </font>
    <font>
      <b/>
      <i/>
      <sz val="10"/>
      <color theme="0" tint="-0.34998626667073579"/>
      <name val="Arial"/>
      <family val="2"/>
    </font>
    <font>
      <b/>
      <sz val="9"/>
      <color rgb="FFFF0000"/>
      <name val="Segoe UI"/>
      <family val="2"/>
    </font>
    <font>
      <b/>
      <sz val="11"/>
      <name val="Segoe UI"/>
      <family val="2"/>
    </font>
    <font>
      <sz val="8"/>
      <color rgb="FF00B050"/>
      <name val="Arial"/>
      <family val="2"/>
    </font>
  </fonts>
  <fills count="16">
    <fill>
      <patternFill patternType="none"/>
    </fill>
    <fill>
      <patternFill patternType="gray125"/>
    </fill>
    <fill>
      <patternFill patternType="solid">
        <fgColor theme="0"/>
        <bgColor indexed="64"/>
      </patternFill>
    </fill>
    <fill>
      <patternFill patternType="solid">
        <fgColor rgb="FFF2F2F2"/>
        <bgColor rgb="FF000000"/>
      </patternFill>
    </fill>
    <fill>
      <patternFill patternType="solid">
        <fgColor rgb="FFF2F2F2"/>
        <bgColor indexed="64"/>
      </patternFill>
    </fill>
    <fill>
      <patternFill patternType="solid">
        <fgColor rgb="FF999999"/>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7"/>
        <bgColor indexed="64"/>
      </patternFill>
    </fill>
    <fill>
      <patternFill patternType="solid">
        <fgColor rgb="FFFFFF00"/>
        <bgColor indexed="64"/>
      </patternFill>
    </fill>
    <fill>
      <patternFill patternType="solid">
        <fgColor theme="1"/>
        <bgColor theme="1"/>
      </patternFill>
    </fill>
    <fill>
      <patternFill patternType="solid">
        <fgColor rgb="FFFFC000"/>
        <bgColor indexed="64"/>
      </patternFill>
    </fill>
    <fill>
      <patternFill patternType="solid">
        <fgColor theme="8" tint="-0.499984740745262"/>
        <bgColor indexed="64"/>
      </patternFill>
    </fill>
    <fill>
      <patternFill patternType="solid">
        <fgColor theme="0" tint="-0.34998626667073579"/>
        <bgColor indexed="64"/>
      </patternFill>
    </fill>
    <fill>
      <patternFill patternType="solid">
        <fgColor rgb="FF92D050"/>
        <bgColor indexed="64"/>
      </patternFill>
    </fill>
  </fills>
  <borders count="37">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theme="0" tint="-0.14996795556505021"/>
      </right>
      <top/>
      <bottom/>
      <diagonal/>
    </border>
    <border>
      <left style="thin">
        <color theme="0" tint="-0.14996795556505021"/>
      </left>
      <right style="thin">
        <color theme="0" tint="-0.14996795556505021"/>
      </right>
      <top/>
      <bottom/>
      <diagonal/>
    </border>
    <border>
      <left style="thin">
        <color theme="0" tint="-0.14996795556505021"/>
      </left>
      <right/>
      <top/>
      <bottom/>
      <diagonal/>
    </border>
    <border>
      <left/>
      <right/>
      <top/>
      <bottom style="thin">
        <color rgb="FF999999"/>
      </bottom>
      <diagonal/>
    </border>
    <border>
      <left style="thin">
        <color rgb="FF999999"/>
      </left>
      <right/>
      <top style="thin">
        <color rgb="FF999999"/>
      </top>
      <bottom style="thin">
        <color rgb="FF999999"/>
      </bottom>
      <diagonal/>
    </border>
    <border>
      <left/>
      <right/>
      <top style="thin">
        <color rgb="FF999999"/>
      </top>
      <bottom style="thin">
        <color rgb="FF999999"/>
      </bottom>
      <diagonal/>
    </border>
    <border>
      <left/>
      <right style="thin">
        <color theme="0" tint="-0.14990691854609822"/>
      </right>
      <top/>
      <bottom/>
      <diagonal/>
    </border>
    <border>
      <left style="thin">
        <color theme="0" tint="-0.14996795556505021"/>
      </left>
      <right/>
      <top style="thin">
        <color theme="0" tint="-0.14993743705557422"/>
      </top>
      <bottom style="thin">
        <color theme="0" tint="-0.14993743705557422"/>
      </bottom>
      <diagonal/>
    </border>
    <border>
      <left/>
      <right/>
      <top style="thin">
        <color theme="0" tint="-0.14993743705557422"/>
      </top>
      <bottom style="thin">
        <color theme="0" tint="-0.14993743705557422"/>
      </bottom>
      <diagonal/>
    </border>
    <border>
      <left/>
      <right style="thin">
        <color theme="0" tint="-0.14993743705557422"/>
      </right>
      <top style="thin">
        <color theme="0" tint="-0.14993743705557422"/>
      </top>
      <bottom style="thin">
        <color theme="0" tint="-0.14993743705557422"/>
      </bottom>
      <diagonal/>
    </border>
    <border>
      <left style="thin">
        <color theme="0" tint="-0.14990691854609822"/>
      </left>
      <right/>
      <top/>
      <bottom/>
      <diagonal/>
    </border>
    <border>
      <left style="thin">
        <color theme="0" tint="-0.14990691854609822"/>
      </left>
      <right/>
      <top style="thin">
        <color theme="0" tint="-0.14993743705557422"/>
      </top>
      <bottom style="thin">
        <color theme="0" tint="-0.14993743705557422"/>
      </bottom>
      <diagonal/>
    </border>
    <border>
      <left/>
      <right style="thin">
        <color theme="0" tint="-0.14990691854609822"/>
      </right>
      <top style="thin">
        <color theme="0" tint="-0.14993743705557422"/>
      </top>
      <bottom style="thin">
        <color theme="0" tint="-0.14993743705557422"/>
      </bottom>
      <diagonal/>
    </border>
    <border>
      <left/>
      <right style="double">
        <color auto="1"/>
      </right>
      <top/>
      <bottom/>
      <diagonal/>
    </border>
    <border>
      <left style="thin">
        <color theme="0" tint="-0.24994659260841701"/>
      </left>
      <right style="thin">
        <color theme="0" tint="-0.24994659260841701"/>
      </right>
      <top style="thin">
        <color indexed="64"/>
      </top>
      <bottom/>
      <diagonal/>
    </border>
    <border>
      <left style="thin">
        <color theme="0" tint="-0.24994659260841701"/>
      </left>
      <right/>
      <top style="thin">
        <color indexed="64"/>
      </top>
      <bottom/>
      <diagonal/>
    </border>
    <border>
      <left/>
      <right/>
      <top style="thin">
        <color theme="1"/>
      </top>
      <bottom/>
      <diagonal/>
    </border>
    <border>
      <left style="thin">
        <color theme="0" tint="-0.24994659260841701"/>
      </left>
      <right style="thin">
        <color theme="0" tint="-0.24994659260841701"/>
      </right>
      <top/>
      <bottom/>
      <diagonal/>
    </border>
    <border>
      <left style="thin">
        <color theme="0" tint="-0.24994659260841701"/>
      </left>
      <right/>
      <top/>
      <bottom/>
      <diagonal/>
    </border>
    <border>
      <left style="thin">
        <color theme="0" tint="-0.24994659260841701"/>
      </left>
      <right style="thin">
        <color indexed="64"/>
      </right>
      <top style="thin">
        <color indexed="64"/>
      </top>
      <bottom/>
      <diagonal/>
    </border>
    <border>
      <left style="thin">
        <color indexed="64"/>
      </left>
      <right style="thin">
        <color theme="0" tint="-0.24994659260841701"/>
      </right>
      <top style="thin">
        <color indexed="64"/>
      </top>
      <bottom/>
      <diagonal/>
    </border>
    <border>
      <left style="thin">
        <color indexed="64"/>
      </left>
      <right style="thin">
        <color theme="0" tint="-0.24994659260841701"/>
      </right>
      <top/>
      <bottom/>
      <diagonal/>
    </border>
    <border>
      <left style="thin">
        <color theme="0" tint="-0.24994659260841701"/>
      </left>
      <right style="thin">
        <color indexed="64"/>
      </right>
      <top/>
      <bottom/>
      <diagonal/>
    </border>
    <border>
      <left/>
      <right style="thin">
        <color theme="0" tint="-0.24994659260841701"/>
      </right>
      <top style="thin">
        <color indexed="64"/>
      </top>
      <bottom/>
      <diagonal/>
    </border>
    <border>
      <left/>
      <right style="thin">
        <color theme="0" tint="-0.24994659260841701"/>
      </right>
      <top/>
      <bottom/>
      <diagonal/>
    </border>
  </borders>
  <cellStyleXfs count="3">
    <xf numFmtId="0" fontId="0" fillId="0" borderId="0"/>
    <xf numFmtId="0" fontId="1" fillId="0" borderId="0"/>
    <xf numFmtId="0" fontId="27" fillId="0" borderId="0" applyNumberFormat="0" applyFill="0" applyBorder="0" applyAlignment="0" applyProtection="0"/>
  </cellStyleXfs>
  <cellXfs count="359">
    <xf numFmtId="0" fontId="0" fillId="0" borderId="0" xfId="0"/>
    <xf numFmtId="0" fontId="3" fillId="0" borderId="0" xfId="0" applyFont="1" applyAlignment="1">
      <alignment horizontal="center" vertical="center"/>
    </xf>
    <xf numFmtId="0" fontId="0" fillId="0" borderId="0" xfId="0" applyAlignment="1">
      <alignment horizontal="center"/>
    </xf>
    <xf numFmtId="0" fontId="5" fillId="0" borderId="0" xfId="0" applyFont="1"/>
    <xf numFmtId="0" fontId="6" fillId="0" borderId="0" xfId="0" applyFont="1"/>
    <xf numFmtId="0" fontId="6" fillId="0" borderId="0" xfId="0" applyFont="1" applyAlignment="1">
      <alignment horizontal="center"/>
    </xf>
    <xf numFmtId="0" fontId="8" fillId="0" borderId="0" xfId="0" applyFont="1"/>
    <xf numFmtId="0" fontId="7" fillId="0" borderId="0" xfId="0" applyFont="1"/>
    <xf numFmtId="0" fontId="10" fillId="0" borderId="0" xfId="0" applyFont="1"/>
    <xf numFmtId="0" fontId="5" fillId="0" borderId="0" xfId="0" applyFont="1" applyAlignment="1">
      <alignment horizontal="right"/>
    </xf>
    <xf numFmtId="0" fontId="2" fillId="3" borderId="3" xfId="0" applyFont="1" applyFill="1" applyBorder="1" applyAlignment="1">
      <alignment horizontal="right" vertical="center"/>
    </xf>
    <xf numFmtId="0" fontId="2" fillId="3" borderId="2" xfId="0" applyFont="1" applyFill="1" applyBorder="1" applyAlignment="1">
      <alignment horizontal="right" vertical="center"/>
    </xf>
    <xf numFmtId="0" fontId="10" fillId="0" borderId="0" xfId="0" applyFont="1" applyAlignment="1">
      <alignment horizontal="left"/>
    </xf>
    <xf numFmtId="0" fontId="13" fillId="0" borderId="0" xfId="0" applyFont="1" applyAlignment="1">
      <alignment horizontal="left"/>
    </xf>
    <xf numFmtId="0" fontId="14" fillId="0" borderId="0" xfId="0" applyFont="1" applyAlignment="1">
      <alignment horizontal="left"/>
    </xf>
    <xf numFmtId="0" fontId="12" fillId="0" borderId="0" xfId="0" applyFont="1"/>
    <xf numFmtId="0" fontId="15" fillId="0" borderId="0" xfId="0" applyFont="1"/>
    <xf numFmtId="0" fontId="13" fillId="0" borderId="0" xfId="0" applyFont="1"/>
    <xf numFmtId="0" fontId="11" fillId="0" borderId="0" xfId="0" applyFont="1" applyAlignment="1">
      <alignment horizontal="center" vertical="center"/>
    </xf>
    <xf numFmtId="0" fontId="5" fillId="4" borderId="0" xfId="0" applyFont="1" applyFill="1"/>
    <xf numFmtId="0" fontId="5" fillId="4" borderId="0" xfId="0" applyFont="1" applyFill="1" applyAlignment="1">
      <alignment horizontal="center"/>
    </xf>
    <xf numFmtId="0" fontId="7" fillId="0" borderId="0" xfId="0" applyFont="1" applyAlignment="1">
      <alignment horizontal="center"/>
    </xf>
    <xf numFmtId="0" fontId="16" fillId="0" borderId="0" xfId="0" applyFont="1"/>
    <xf numFmtId="0" fontId="5" fillId="4" borderId="0" xfId="0" applyFont="1" applyFill="1" applyAlignment="1">
      <alignment horizontal="left"/>
    </xf>
    <xf numFmtId="0" fontId="5" fillId="4" borderId="8" xfId="0" applyFont="1" applyFill="1" applyBorder="1" applyAlignment="1">
      <alignment horizontal="center"/>
    </xf>
    <xf numFmtId="0" fontId="5" fillId="4" borderId="7" xfId="0" applyFont="1" applyFill="1" applyBorder="1" applyAlignment="1">
      <alignment horizontal="left"/>
    </xf>
    <xf numFmtId="0" fontId="17" fillId="0" borderId="12" xfId="1" applyFont="1" applyBorder="1" applyAlignment="1">
      <alignment horizontal="center"/>
    </xf>
    <xf numFmtId="0" fontId="17" fillId="0" borderId="13" xfId="1" applyFont="1" applyBorder="1" applyAlignment="1">
      <alignment horizontal="center"/>
    </xf>
    <xf numFmtId="0" fontId="17" fillId="0" borderId="13" xfId="1" applyFont="1" applyBorder="1"/>
    <xf numFmtId="0" fontId="17" fillId="0" borderId="14" xfId="1" applyFont="1" applyBorder="1"/>
    <xf numFmtId="0" fontId="1" fillId="0" borderId="0" xfId="1"/>
    <xf numFmtId="0" fontId="1" fillId="0" borderId="0" xfId="1" applyAlignment="1">
      <alignment horizontal="center"/>
    </xf>
    <xf numFmtId="0" fontId="19" fillId="2" borderId="0" xfId="1" applyFont="1" applyFill="1" applyAlignment="1">
      <alignment vertical="center"/>
    </xf>
    <xf numFmtId="14" fontId="21" fillId="2" borderId="0" xfId="1" applyNumberFormat="1" applyFont="1" applyFill="1" applyAlignment="1">
      <alignment vertical="center"/>
    </xf>
    <xf numFmtId="0" fontId="19" fillId="2" borderId="0" xfId="1" applyFont="1" applyFill="1" applyAlignment="1">
      <alignment horizontal="left" vertical="center"/>
    </xf>
    <xf numFmtId="0" fontId="21" fillId="2" borderId="0" xfId="1" applyFont="1" applyFill="1" applyAlignment="1">
      <alignment horizontal="left" vertical="center" wrapText="1"/>
    </xf>
    <xf numFmtId="0" fontId="1" fillId="0" borderId="0" xfId="1" applyProtection="1">
      <protection locked="0"/>
    </xf>
    <xf numFmtId="0" fontId="23" fillId="2" borderId="0" xfId="1" applyFont="1" applyFill="1" applyAlignment="1" applyProtection="1">
      <alignment vertical="center"/>
      <protection locked="0"/>
    </xf>
    <xf numFmtId="0" fontId="24" fillId="2" borderId="0" xfId="1" applyFont="1" applyFill="1" applyAlignment="1" applyProtection="1">
      <alignment vertical="center"/>
      <protection locked="0"/>
    </xf>
    <xf numFmtId="0" fontId="24" fillId="2" borderId="0" xfId="1" applyFont="1" applyFill="1" applyAlignment="1">
      <alignment vertical="center"/>
    </xf>
    <xf numFmtId="0" fontId="23" fillId="2" borderId="0" xfId="1" applyFont="1" applyFill="1" applyAlignment="1" applyProtection="1">
      <alignment wrapText="1"/>
      <protection locked="0"/>
    </xf>
    <xf numFmtId="0" fontId="24" fillId="2" borderId="0" xfId="1" applyFont="1" applyFill="1" applyAlignment="1" applyProtection="1">
      <alignment wrapText="1"/>
      <protection locked="0"/>
    </xf>
    <xf numFmtId="0" fontId="24" fillId="2" borderId="0" xfId="1" applyFont="1" applyFill="1" applyAlignment="1">
      <alignment wrapText="1"/>
    </xf>
    <xf numFmtId="0" fontId="28" fillId="5" borderId="0" xfId="2" applyFont="1" applyFill="1" applyAlignment="1" applyProtection="1">
      <alignment vertical="center"/>
    </xf>
    <xf numFmtId="0" fontId="27" fillId="5" borderId="0" xfId="2" applyFill="1" applyAlignment="1" applyProtection="1">
      <alignment vertical="center"/>
    </xf>
    <xf numFmtId="0" fontId="30" fillId="2" borderId="0" xfId="1" applyFont="1" applyFill="1" applyProtection="1">
      <protection locked="0"/>
    </xf>
    <xf numFmtId="0" fontId="31" fillId="2" borderId="0" xfId="1" applyFont="1" applyFill="1" applyProtection="1">
      <protection locked="0"/>
    </xf>
    <xf numFmtId="0" fontId="31" fillId="2" borderId="0" xfId="1" applyFont="1" applyFill="1"/>
    <xf numFmtId="0" fontId="32" fillId="2" borderId="0" xfId="1" applyFont="1" applyFill="1" applyAlignment="1">
      <alignment vertical="center"/>
    </xf>
    <xf numFmtId="0" fontId="34" fillId="2" borderId="0" xfId="1" applyFont="1" applyFill="1" applyAlignment="1">
      <alignment vertical="center"/>
    </xf>
    <xf numFmtId="0" fontId="35" fillId="2" borderId="0" xfId="1" applyFont="1" applyFill="1" applyProtection="1">
      <protection locked="0"/>
    </xf>
    <xf numFmtId="0" fontId="12" fillId="2" borderId="0" xfId="1" applyFont="1" applyFill="1" applyProtection="1">
      <protection locked="0"/>
    </xf>
    <xf numFmtId="0" fontId="12" fillId="2" borderId="0" xfId="1" applyFont="1" applyFill="1"/>
    <xf numFmtId="0" fontId="32" fillId="2" borderId="0" xfId="1" applyFont="1" applyFill="1" applyAlignment="1">
      <alignment horizontal="left" vertical="center" wrapText="1"/>
    </xf>
    <xf numFmtId="0" fontId="33" fillId="2" borderId="0" xfId="1" applyFont="1" applyFill="1" applyAlignment="1">
      <alignment horizontal="left" vertical="center" wrapText="1"/>
    </xf>
    <xf numFmtId="0" fontId="1" fillId="0" borderId="0" xfId="1" applyAlignment="1" applyProtection="1">
      <alignment horizontal="center" vertical="top"/>
      <protection locked="0"/>
    </xf>
    <xf numFmtId="0" fontId="1" fillId="0" borderId="0" xfId="1" applyAlignment="1">
      <alignment horizontal="center" vertical="top"/>
    </xf>
    <xf numFmtId="0" fontId="36" fillId="0" borderId="20" xfId="1" applyFont="1" applyBorder="1" applyAlignment="1">
      <alignment vertical="center"/>
    </xf>
    <xf numFmtId="0" fontId="36" fillId="0" borderId="20" xfId="1" applyFont="1" applyBorder="1" applyAlignment="1">
      <alignment vertical="center" wrapText="1"/>
    </xf>
    <xf numFmtId="0" fontId="36" fillId="0" borderId="20" xfId="1" applyFont="1" applyBorder="1" applyAlignment="1">
      <alignment horizontal="center" vertical="center" wrapText="1"/>
    </xf>
    <xf numFmtId="0" fontId="12" fillId="2" borderId="0" xfId="1" applyFont="1" applyFill="1" applyAlignment="1">
      <alignment vertical="center"/>
    </xf>
    <xf numFmtId="0" fontId="34" fillId="2" borderId="0" xfId="1" applyFont="1" applyFill="1" applyAlignment="1">
      <alignment horizontal="right" vertical="center"/>
    </xf>
    <xf numFmtId="0" fontId="17" fillId="0" borderId="0" xfId="0" applyFont="1" applyAlignment="1">
      <alignment horizontal="center"/>
    </xf>
    <xf numFmtId="0" fontId="4" fillId="0" borderId="6" xfId="0" applyFont="1" applyBorder="1" applyAlignment="1">
      <alignment horizontal="center" vertical="center"/>
    </xf>
    <xf numFmtId="0" fontId="4" fillId="0" borderId="8" xfId="0" applyFont="1" applyBorder="1" applyAlignment="1">
      <alignment horizontal="center" vertical="center"/>
    </xf>
    <xf numFmtId="0" fontId="0" fillId="0" borderId="5" xfId="0" applyBorder="1"/>
    <xf numFmtId="0" fontId="2" fillId="3" borderId="1" xfId="0" applyFont="1" applyFill="1" applyBorder="1" applyAlignment="1">
      <alignment horizontal="right" vertical="center"/>
    </xf>
    <xf numFmtId="0" fontId="24" fillId="2" borderId="20" xfId="1" applyFont="1" applyFill="1" applyBorder="1" applyAlignment="1">
      <alignment horizontal="center" vertical="center" wrapText="1"/>
    </xf>
    <xf numFmtId="0" fontId="21" fillId="2" borderId="20" xfId="1" applyFont="1" applyFill="1" applyBorder="1" applyAlignment="1">
      <alignment horizontal="center" vertical="center" wrapText="1"/>
    </xf>
    <xf numFmtId="0" fontId="21" fillId="0" borderId="21" xfId="1" applyFont="1" applyBorder="1" applyAlignment="1">
      <alignment horizontal="center" vertical="center" wrapText="1"/>
    </xf>
    <xf numFmtId="0" fontId="21" fillId="2" borderId="21" xfId="1" applyFont="1" applyFill="1" applyBorder="1" applyAlignment="1" applyProtection="1">
      <alignment horizontal="left" vertical="center" wrapText="1"/>
      <protection locked="0"/>
    </xf>
    <xf numFmtId="0" fontId="21" fillId="2" borderId="19" xfId="1" applyFont="1" applyFill="1" applyBorder="1" applyAlignment="1">
      <alignment horizontal="center" vertical="center" wrapText="1"/>
    </xf>
    <xf numFmtId="0" fontId="21" fillId="2" borderId="20" xfId="1" applyFont="1" applyFill="1" applyBorder="1" applyAlignment="1">
      <alignment vertical="center" wrapText="1"/>
    </xf>
    <xf numFmtId="0" fontId="21" fillId="2" borderId="21" xfId="1" applyFont="1" applyFill="1" applyBorder="1" applyAlignment="1" applyProtection="1">
      <alignment horizontal="center" vertical="center" wrapText="1"/>
      <protection locked="0"/>
    </xf>
    <xf numFmtId="0" fontId="21" fillId="0" borderId="21" xfId="1" applyFont="1" applyBorder="1" applyAlignment="1" applyProtection="1">
      <alignment horizontal="center" vertical="center" wrapText="1"/>
      <protection locked="0"/>
    </xf>
    <xf numFmtId="0" fontId="21" fillId="2" borderId="23" xfId="1" applyFont="1" applyFill="1" applyBorder="1" applyAlignment="1">
      <alignment horizontal="center" vertical="center" wrapText="1"/>
    </xf>
    <xf numFmtId="0" fontId="21" fillId="2" borderId="24" xfId="1" applyFont="1" applyFill="1" applyBorder="1" applyAlignment="1">
      <alignment horizontal="center" vertical="center" wrapText="1"/>
    </xf>
    <xf numFmtId="0" fontId="5" fillId="4" borderId="11" xfId="0" applyFont="1" applyFill="1" applyBorder="1" applyAlignment="1">
      <alignment horizontal="left"/>
    </xf>
    <xf numFmtId="0" fontId="21" fillId="0" borderId="0" xfId="1" applyFont="1" applyAlignment="1" applyProtection="1">
      <alignment vertical="top" wrapText="1"/>
      <protection locked="0"/>
    </xf>
    <xf numFmtId="0" fontId="5" fillId="4" borderId="3" xfId="0" applyFont="1" applyFill="1" applyBorder="1" applyAlignment="1">
      <alignment horizontal="left"/>
    </xf>
    <xf numFmtId="0" fontId="3" fillId="0" borderId="4" xfId="0" applyFont="1" applyBorder="1" applyAlignment="1">
      <alignment horizontal="center" vertical="center"/>
    </xf>
    <xf numFmtId="0" fontId="3" fillId="0" borderId="7" xfId="0" applyFont="1" applyBorder="1" applyAlignment="1">
      <alignment horizontal="center" vertical="center"/>
    </xf>
    <xf numFmtId="0" fontId="4" fillId="0" borderId="7" xfId="0" applyFont="1" applyBorder="1" applyAlignment="1">
      <alignment horizontal="center" vertical="center"/>
    </xf>
    <xf numFmtId="0" fontId="4" fillId="0" borderId="4" xfId="0" applyFont="1" applyBorder="1" applyAlignment="1">
      <alignment horizontal="center" vertical="center"/>
    </xf>
    <xf numFmtId="0" fontId="4" fillId="0" borderId="10" xfId="0" applyFont="1" applyBorder="1" applyAlignment="1">
      <alignment horizontal="center" vertical="center"/>
    </xf>
    <xf numFmtId="0" fontId="3" fillId="0" borderId="10" xfId="0" applyFont="1" applyBorder="1" applyAlignment="1">
      <alignment horizontal="center" vertical="center"/>
    </xf>
    <xf numFmtId="0" fontId="44" fillId="0" borderId="0" xfId="0" applyFont="1"/>
    <xf numFmtId="0" fontId="44" fillId="0" borderId="0" xfId="0" applyFont="1" applyAlignment="1">
      <alignment horizontal="right"/>
    </xf>
    <xf numFmtId="14" fontId="44" fillId="0" borderId="0" xfId="0" applyNumberFormat="1" applyFont="1"/>
    <xf numFmtId="0" fontId="44" fillId="0" borderId="0" xfId="0" applyFont="1" applyAlignment="1">
      <alignment horizontal="center"/>
    </xf>
    <xf numFmtId="0" fontId="0" fillId="0" borderId="25" xfId="0" applyBorder="1" applyAlignment="1">
      <alignment horizontal="center"/>
    </xf>
    <xf numFmtId="14" fontId="6" fillId="0" borderId="0" xfId="0" applyNumberFormat="1" applyFont="1"/>
    <xf numFmtId="0" fontId="10" fillId="0" borderId="0" xfId="0" applyFont="1" applyAlignment="1">
      <alignment horizontal="center"/>
    </xf>
    <xf numFmtId="0" fontId="3" fillId="0" borderId="9" xfId="0" applyFont="1" applyBorder="1" applyAlignment="1">
      <alignment horizontal="center" vertical="center"/>
    </xf>
    <xf numFmtId="0" fontId="2" fillId="3" borderId="4" xfId="0" applyFont="1" applyFill="1" applyBorder="1" applyAlignment="1">
      <alignment horizontal="right" vertical="center"/>
    </xf>
    <xf numFmtId="0" fontId="2" fillId="3" borderId="5" xfId="0" applyFont="1" applyFill="1" applyBorder="1" applyAlignment="1">
      <alignment horizontal="right" vertical="center"/>
    </xf>
    <xf numFmtId="0" fontId="2" fillId="3" borderId="6" xfId="0" applyFont="1" applyFill="1" applyBorder="1" applyAlignment="1">
      <alignment horizontal="right" vertical="center"/>
    </xf>
    <xf numFmtId="0" fontId="21" fillId="2" borderId="23" xfId="1" applyFont="1" applyFill="1" applyBorder="1" applyAlignment="1">
      <alignment horizontal="center" vertical="center"/>
    </xf>
    <xf numFmtId="0" fontId="21" fillId="2" borderId="20" xfId="1" applyFont="1" applyFill="1" applyBorder="1" applyAlignment="1">
      <alignment horizontal="center" vertical="center"/>
    </xf>
    <xf numFmtId="0" fontId="21" fillId="2" borderId="24" xfId="1" applyFont="1" applyFill="1" applyBorder="1" applyAlignment="1">
      <alignment horizontal="center" vertical="center"/>
    </xf>
    <xf numFmtId="0" fontId="4" fillId="8" borderId="5" xfId="0" applyFont="1" applyFill="1" applyBorder="1" applyAlignment="1">
      <alignment horizontal="center" vertical="center"/>
    </xf>
    <xf numFmtId="0" fontId="5" fillId="4" borderId="11" xfId="0" applyFont="1" applyFill="1" applyBorder="1" applyAlignment="1">
      <alignment horizontal="left" textRotation="90"/>
    </xf>
    <xf numFmtId="0" fontId="4" fillId="9" borderId="0" xfId="0" applyFont="1" applyFill="1" applyAlignment="1">
      <alignment horizontal="center" vertical="center"/>
    </xf>
    <xf numFmtId="0" fontId="10" fillId="7" borderId="0" xfId="0" applyFont="1" applyFill="1" applyAlignment="1">
      <alignment wrapText="1"/>
    </xf>
    <xf numFmtId="0" fontId="45" fillId="0" borderId="0" xfId="0" applyFont="1"/>
    <xf numFmtId="0" fontId="10" fillId="0" borderId="28" xfId="0" applyFont="1" applyBorder="1"/>
    <xf numFmtId="0" fontId="10" fillId="6" borderId="29" xfId="0" applyFont="1" applyFill="1" applyBorder="1" applyAlignment="1">
      <alignment horizontal="center"/>
    </xf>
    <xf numFmtId="0" fontId="10" fillId="6" borderId="30" xfId="0" applyFont="1" applyFill="1" applyBorder="1" applyAlignment="1">
      <alignment horizontal="center"/>
    </xf>
    <xf numFmtId="0" fontId="10" fillId="6" borderId="1" xfId="0" applyFont="1" applyFill="1" applyBorder="1" applyAlignment="1">
      <alignment horizontal="center"/>
    </xf>
    <xf numFmtId="0" fontId="10" fillId="6" borderId="3" xfId="0" applyFont="1" applyFill="1" applyBorder="1" applyAlignment="1">
      <alignment horizontal="center"/>
    </xf>
    <xf numFmtId="0" fontId="6" fillId="6" borderId="3" xfId="0" applyFont="1" applyFill="1" applyBorder="1" applyAlignment="1">
      <alignment horizontal="center"/>
    </xf>
    <xf numFmtId="0" fontId="10" fillId="6" borderId="2" xfId="0" applyFont="1" applyFill="1" applyBorder="1" applyAlignment="1">
      <alignment horizontal="center"/>
    </xf>
    <xf numFmtId="0" fontId="46" fillId="11" borderId="0" xfId="0" applyFont="1" applyFill="1"/>
    <xf numFmtId="0" fontId="46" fillId="11" borderId="0" xfId="0" applyFont="1" applyFill="1" applyAlignment="1">
      <alignment horizontal="left"/>
    </xf>
    <xf numFmtId="0" fontId="47" fillId="0" borderId="0" xfId="0" applyFont="1" applyAlignment="1">
      <alignment horizontal="right"/>
    </xf>
    <xf numFmtId="0" fontId="4" fillId="12" borderId="8" xfId="0" applyFont="1" applyFill="1" applyBorder="1" applyAlignment="1">
      <alignment horizontal="center" vertical="center"/>
    </xf>
    <xf numFmtId="0" fontId="3" fillId="12" borderId="9" xfId="0" applyFont="1" applyFill="1" applyBorder="1" applyAlignment="1">
      <alignment horizontal="center" vertical="center"/>
    </xf>
    <xf numFmtId="0" fontId="21" fillId="2" borderId="0" xfId="1" applyFont="1" applyFill="1" applyAlignment="1">
      <alignment horizontal="right" vertical="center" indent="1"/>
    </xf>
    <xf numFmtId="0" fontId="21" fillId="2" borderId="0" xfId="1" applyFont="1" applyFill="1" applyAlignment="1">
      <alignment horizontal="left" vertical="center" indent="1"/>
    </xf>
    <xf numFmtId="0" fontId="3" fillId="0" borderId="8" xfId="0" applyFont="1" applyBorder="1" applyAlignment="1">
      <alignment horizontal="center" vertical="center"/>
    </xf>
    <xf numFmtId="0" fontId="3" fillId="0" borderId="6" xfId="0" applyFont="1" applyBorder="1" applyAlignment="1">
      <alignment horizontal="center" vertical="center"/>
    </xf>
    <xf numFmtId="0" fontId="10" fillId="6" borderId="26" xfId="0" applyFont="1" applyFill="1" applyBorder="1" applyAlignment="1">
      <alignment horizontal="center"/>
    </xf>
    <xf numFmtId="0" fontId="10" fillId="6" borderId="27" xfId="0" applyFont="1" applyFill="1" applyBorder="1" applyAlignment="1">
      <alignment horizontal="center"/>
    </xf>
    <xf numFmtId="0" fontId="10" fillId="6" borderId="7" xfId="0" applyFont="1" applyFill="1" applyBorder="1" applyAlignment="1">
      <alignment horizontal="center"/>
    </xf>
    <xf numFmtId="0" fontId="10" fillId="6" borderId="0" xfId="0" applyFont="1" applyFill="1" applyAlignment="1">
      <alignment horizontal="center"/>
    </xf>
    <xf numFmtId="0" fontId="6" fillId="6" borderId="0" xfId="0" applyFont="1" applyFill="1" applyAlignment="1">
      <alignment horizontal="center"/>
    </xf>
    <xf numFmtId="0" fontId="10" fillId="6" borderId="8" xfId="0" applyFont="1" applyFill="1" applyBorder="1" applyAlignment="1">
      <alignment horizontal="center"/>
    </xf>
    <xf numFmtId="0" fontId="17" fillId="0" borderId="8" xfId="0" applyFont="1" applyBorder="1" applyAlignment="1">
      <alignment horizontal="center" vertical="center"/>
    </xf>
    <xf numFmtId="0" fontId="50" fillId="0" borderId="6" xfId="0" applyFont="1" applyBorder="1" applyAlignment="1">
      <alignment horizontal="center" vertical="center"/>
    </xf>
    <xf numFmtId="0" fontId="50" fillId="0" borderId="8" xfId="0" applyFont="1" applyBorder="1" applyAlignment="1">
      <alignment horizontal="center" vertical="center"/>
    </xf>
    <xf numFmtId="0" fontId="17" fillId="0" borderId="9" xfId="0" applyFont="1" applyBorder="1" applyAlignment="1">
      <alignment horizontal="center" vertical="center"/>
    </xf>
    <xf numFmtId="0" fontId="17" fillId="0" borderId="6" xfId="0" applyFont="1" applyBorder="1" applyAlignment="1">
      <alignment horizontal="center" vertical="center"/>
    </xf>
    <xf numFmtId="0" fontId="11" fillId="0" borderId="0" xfId="0" applyFont="1" applyAlignment="1">
      <alignment horizontal="center"/>
    </xf>
    <xf numFmtId="0" fontId="50" fillId="0" borderId="4" xfId="0" applyFont="1" applyBorder="1" applyAlignment="1">
      <alignment horizontal="center" vertical="center"/>
    </xf>
    <xf numFmtId="0" fontId="50" fillId="0" borderId="6" xfId="0" quotePrefix="1" applyFont="1" applyBorder="1" applyAlignment="1">
      <alignment horizontal="center" vertical="center"/>
    </xf>
    <xf numFmtId="0" fontId="50" fillId="0" borderId="7" xfId="0" applyFont="1" applyBorder="1" applyAlignment="1">
      <alignment horizontal="center" vertical="center"/>
    </xf>
    <xf numFmtId="0" fontId="50" fillId="0" borderId="10" xfId="0" applyFont="1" applyBorder="1" applyAlignment="1">
      <alignment horizontal="center" vertical="center"/>
    </xf>
    <xf numFmtId="0" fontId="50" fillId="0" borderId="9" xfId="0" applyFont="1" applyBorder="1" applyAlignment="1">
      <alignment horizontal="center" vertical="center"/>
    </xf>
    <xf numFmtId="0" fontId="5" fillId="0" borderId="1" xfId="0" applyFont="1" applyBorder="1" applyAlignment="1">
      <alignment horizontal="left"/>
    </xf>
    <xf numFmtId="0" fontId="5" fillId="0" borderId="3" xfId="0" applyFont="1" applyBorder="1" applyAlignment="1">
      <alignment horizontal="right"/>
    </xf>
    <xf numFmtId="0" fontId="5" fillId="0" borderId="2" xfId="0" applyFont="1" applyBorder="1" applyAlignment="1">
      <alignment horizontal="right"/>
    </xf>
    <xf numFmtId="0" fontId="6" fillId="0" borderId="3" xfId="0" applyFont="1" applyBorder="1" applyAlignment="1">
      <alignment horizontal="right"/>
    </xf>
    <xf numFmtId="0" fontId="10" fillId="6" borderId="4" xfId="0" applyFont="1" applyFill="1" applyBorder="1" applyAlignment="1">
      <alignment horizontal="center"/>
    </xf>
    <xf numFmtId="0" fontId="10" fillId="6" borderId="5" xfId="0" applyFont="1" applyFill="1" applyBorder="1" applyAlignment="1">
      <alignment horizontal="center"/>
    </xf>
    <xf numFmtId="0" fontId="6" fillId="6" borderId="5" xfId="0" applyFont="1" applyFill="1" applyBorder="1" applyAlignment="1">
      <alignment horizontal="center"/>
    </xf>
    <xf numFmtId="0" fontId="10" fillId="6" borderId="6" xfId="0" applyFont="1" applyFill="1" applyBorder="1" applyAlignment="1">
      <alignment horizontal="center"/>
    </xf>
    <xf numFmtId="0" fontId="44" fillId="0" borderId="0" xfId="0" applyFont="1" applyAlignment="1">
      <alignment horizontal="left"/>
    </xf>
    <xf numFmtId="0" fontId="39" fillId="13" borderId="0" xfId="1" applyFont="1" applyFill="1" applyAlignment="1">
      <alignment vertical="center" wrapText="1"/>
    </xf>
    <xf numFmtId="0" fontId="22" fillId="13" borderId="0" xfId="1" applyFont="1" applyFill="1" applyAlignment="1">
      <alignment horizontal="center" vertical="center"/>
    </xf>
    <xf numFmtId="0" fontId="22" fillId="13" borderId="0" xfId="1" applyFont="1" applyFill="1" applyAlignment="1">
      <alignment horizontal="left" vertical="center" indent="1"/>
    </xf>
    <xf numFmtId="0" fontId="22" fillId="13" borderId="0" xfId="1" applyFont="1" applyFill="1" applyAlignment="1">
      <alignment vertical="center"/>
    </xf>
    <xf numFmtId="0" fontId="22" fillId="13" borderId="22" xfId="1" applyFont="1" applyFill="1" applyBorder="1" applyAlignment="1">
      <alignment horizontal="left" vertical="center"/>
    </xf>
    <xf numFmtId="0" fontId="22" fillId="13" borderId="0" xfId="1" applyFont="1" applyFill="1" applyAlignment="1">
      <alignment horizontal="left" vertical="center"/>
    </xf>
    <xf numFmtId="0" fontId="22" fillId="13" borderId="18" xfId="1" applyFont="1" applyFill="1" applyBorder="1" applyAlignment="1">
      <alignment horizontal="left" vertical="center"/>
    </xf>
    <xf numFmtId="0" fontId="22" fillId="13" borderId="0" xfId="1" applyFont="1" applyFill="1" applyAlignment="1" applyProtection="1">
      <alignment vertical="center"/>
      <protection locked="0"/>
    </xf>
    <xf numFmtId="0" fontId="22" fillId="13" borderId="0" xfId="1" applyFont="1" applyFill="1" applyAlignment="1">
      <alignment horizontal="center" vertical="center" wrapText="1"/>
    </xf>
    <xf numFmtId="0" fontId="22" fillId="13" borderId="22" xfId="1" applyFont="1" applyFill="1" applyBorder="1" applyAlignment="1">
      <alignment horizontal="center" vertical="center" wrapText="1"/>
    </xf>
    <xf numFmtId="0" fontId="22" fillId="13" borderId="18" xfId="1" applyFont="1" applyFill="1" applyBorder="1" applyAlignment="1">
      <alignment horizontal="center" vertical="center" wrapText="1"/>
    </xf>
    <xf numFmtId="0" fontId="22" fillId="13" borderId="0" xfId="1" applyFont="1" applyFill="1" applyAlignment="1" applyProtection="1">
      <alignment horizontal="center" vertical="center"/>
      <protection locked="0"/>
    </xf>
    <xf numFmtId="0" fontId="37" fillId="13" borderId="0" xfId="1" applyFont="1" applyFill="1" applyAlignment="1">
      <alignment horizontal="left" vertical="center" readingOrder="1"/>
    </xf>
    <xf numFmtId="0" fontId="20" fillId="13" borderId="0" xfId="1" applyFont="1" applyFill="1" applyAlignment="1">
      <alignment horizontal="left" vertical="center" readingOrder="1"/>
    </xf>
    <xf numFmtId="0" fontId="41" fillId="13" borderId="0" xfId="1" applyFont="1" applyFill="1" applyAlignment="1">
      <alignment horizontal="center" vertical="center" readingOrder="1"/>
    </xf>
    <xf numFmtId="0" fontId="38" fillId="13" borderId="0" xfId="1" applyFont="1" applyFill="1"/>
    <xf numFmtId="0" fontId="37" fillId="13" borderId="0" xfId="1" applyFont="1" applyFill="1" applyAlignment="1">
      <alignment horizontal="left" vertical="center"/>
    </xf>
    <xf numFmtId="0" fontId="37" fillId="13" borderId="0" xfId="1" applyFont="1" applyFill="1" applyAlignment="1">
      <alignment horizontal="center" vertical="center" wrapText="1"/>
    </xf>
    <xf numFmtId="0" fontId="37" fillId="13" borderId="0" xfId="1" applyFont="1" applyFill="1" applyAlignment="1">
      <alignment horizontal="center" vertical="center"/>
    </xf>
    <xf numFmtId="0" fontId="22" fillId="13" borderId="0" xfId="1" applyFont="1" applyFill="1" applyAlignment="1">
      <alignment horizontal="center" vertical="top"/>
    </xf>
    <xf numFmtId="0" fontId="18" fillId="14" borderId="16" xfId="1" applyFont="1" applyFill="1" applyBorder="1" applyAlignment="1">
      <alignment vertical="center"/>
    </xf>
    <xf numFmtId="0" fontId="18" fillId="14" borderId="17" xfId="1" applyFont="1" applyFill="1" applyBorder="1" applyAlignment="1">
      <alignment vertical="center"/>
    </xf>
    <xf numFmtId="0" fontId="18" fillId="14" borderId="17" xfId="1" applyFont="1" applyFill="1" applyBorder="1" applyAlignment="1">
      <alignment horizontal="right" vertical="center"/>
    </xf>
    <xf numFmtId="0" fontId="42" fillId="14" borderId="17" xfId="1" applyFont="1" applyFill="1" applyBorder="1" applyAlignment="1">
      <alignment vertical="center"/>
    </xf>
    <xf numFmtId="0" fontId="21" fillId="14" borderId="18" xfId="1" applyFont="1" applyFill="1" applyBorder="1" applyAlignment="1" applyProtection="1">
      <alignment horizontal="center" vertical="center" wrapText="1"/>
      <protection locked="0"/>
    </xf>
    <xf numFmtId="0" fontId="52" fillId="13" borderId="0" xfId="1" applyFont="1" applyFill="1" applyAlignment="1">
      <alignment horizontal="left" vertical="center"/>
    </xf>
    <xf numFmtId="0" fontId="10" fillId="0" borderId="0" xfId="0" applyFont="1" applyAlignment="1">
      <alignment horizontal="left" wrapText="1"/>
    </xf>
    <xf numFmtId="0" fontId="7" fillId="0" borderId="0" xfId="0" applyFont="1" applyAlignment="1">
      <alignment horizontal="left" wrapText="1"/>
    </xf>
    <xf numFmtId="0" fontId="2" fillId="3" borderId="3" xfId="0" applyFont="1" applyFill="1" applyBorder="1" applyAlignment="1">
      <alignment horizontal="right" vertical="center" wrapText="1"/>
    </xf>
    <xf numFmtId="0" fontId="2" fillId="3" borderId="1" xfId="0" applyFont="1" applyFill="1" applyBorder="1" applyAlignment="1">
      <alignment horizontal="right" vertical="center" wrapText="1"/>
    </xf>
    <xf numFmtId="0" fontId="2" fillId="3" borderId="2" xfId="0" applyFont="1" applyFill="1" applyBorder="1" applyAlignment="1">
      <alignment horizontal="right" vertical="center" wrapText="1"/>
    </xf>
    <xf numFmtId="0" fontId="53" fillId="14" borderId="17" xfId="1" applyFont="1" applyFill="1" applyBorder="1" applyAlignment="1">
      <alignment horizontal="center" vertical="center"/>
    </xf>
    <xf numFmtId="0" fontId="17" fillId="0" borderId="0" xfId="1" applyFont="1" applyAlignment="1">
      <alignment horizontal="center"/>
    </xf>
    <xf numFmtId="0" fontId="9" fillId="0" borderId="0" xfId="1" applyFont="1" applyAlignment="1">
      <alignment horizontal="center" vertical="center"/>
    </xf>
    <xf numFmtId="0" fontId="5" fillId="4" borderId="1" xfId="0" applyFont="1" applyFill="1" applyBorder="1" applyAlignment="1">
      <alignment horizontal="left" textRotation="90"/>
    </xf>
    <xf numFmtId="0" fontId="5" fillId="4" borderId="3" xfId="0" applyFont="1" applyFill="1" applyBorder="1" applyAlignment="1">
      <alignment horizontal="left" textRotation="90"/>
    </xf>
    <xf numFmtId="0" fontId="5" fillId="4" borderId="2" xfId="0" applyFont="1" applyFill="1" applyBorder="1" applyAlignment="1">
      <alignment horizontal="left" textRotation="90"/>
    </xf>
    <xf numFmtId="0" fontId="10" fillId="6" borderId="32" xfId="0" applyFont="1" applyFill="1" applyBorder="1" applyAlignment="1">
      <alignment horizontal="center"/>
    </xf>
    <xf numFmtId="0" fontId="10" fillId="6" borderId="31" xfId="0" applyFont="1" applyFill="1" applyBorder="1" applyAlignment="1">
      <alignment horizontal="center"/>
    </xf>
    <xf numFmtId="0" fontId="10" fillId="6" borderId="33" xfId="0" applyFont="1" applyFill="1" applyBorder="1" applyAlignment="1">
      <alignment horizontal="center"/>
    </xf>
    <xf numFmtId="0" fontId="10" fillId="6" borderId="34" xfId="0" applyFont="1" applyFill="1" applyBorder="1" applyAlignment="1">
      <alignment horizontal="center"/>
    </xf>
    <xf numFmtId="0" fontId="25" fillId="0" borderId="0" xfId="1" applyFont="1" applyAlignment="1" applyProtection="1">
      <alignment horizontal="center" vertical="center" wrapText="1"/>
      <protection locked="0"/>
    </xf>
    <xf numFmtId="0" fontId="35" fillId="2" borderId="0" xfId="1" applyFont="1" applyFill="1" applyAlignment="1" applyProtection="1">
      <alignment horizontal="center" vertical="center"/>
      <protection locked="0"/>
    </xf>
    <xf numFmtId="0" fontId="1" fillId="0" borderId="0" xfId="1" applyAlignment="1" applyProtection="1">
      <alignment horizontal="center" vertical="center"/>
      <protection locked="0"/>
    </xf>
    <xf numFmtId="14" fontId="0" fillId="0" borderId="0" xfId="0" applyNumberFormat="1"/>
    <xf numFmtId="14" fontId="0" fillId="10" borderId="0" xfId="0" applyNumberFormat="1" applyFill="1"/>
    <xf numFmtId="0" fontId="0" fillId="10" borderId="0" xfId="0" applyFill="1" applyAlignment="1">
      <alignment horizontal="right"/>
    </xf>
    <xf numFmtId="0" fontId="8" fillId="0" borderId="0" xfId="0" applyFont="1" applyAlignment="1">
      <alignment horizontal="center"/>
    </xf>
    <xf numFmtId="0" fontId="8" fillId="15" borderId="0" xfId="0" applyFont="1" applyFill="1" applyAlignment="1">
      <alignment horizontal="center" wrapText="1"/>
    </xf>
    <xf numFmtId="14" fontId="10" fillId="0" borderId="0" xfId="0" applyNumberFormat="1" applyFont="1" applyAlignment="1">
      <alignment horizontal="center"/>
    </xf>
    <xf numFmtId="0" fontId="10" fillId="15" borderId="0" xfId="0" applyFont="1" applyFill="1" applyAlignment="1">
      <alignment horizontal="center"/>
    </xf>
    <xf numFmtId="0" fontId="10" fillId="15" borderId="28" xfId="0" applyFont="1" applyFill="1" applyBorder="1" applyAlignment="1">
      <alignment horizontal="center"/>
    </xf>
    <xf numFmtId="0" fontId="6" fillId="0" borderId="28" xfId="0" applyFont="1" applyBorder="1" applyAlignment="1">
      <alignment horizontal="center"/>
    </xf>
    <xf numFmtId="14" fontId="6" fillId="0" borderId="28" xfId="0" applyNumberFormat="1" applyFont="1" applyBorder="1" applyAlignment="1">
      <alignment horizontal="center"/>
    </xf>
    <xf numFmtId="14" fontId="6" fillId="0" borderId="0" xfId="0" applyNumberFormat="1" applyFont="1" applyAlignment="1">
      <alignment horizontal="center"/>
    </xf>
    <xf numFmtId="14" fontId="6" fillId="15" borderId="0" xfId="0" applyNumberFormat="1" applyFont="1" applyFill="1" applyAlignment="1">
      <alignment horizontal="center"/>
    </xf>
    <xf numFmtId="0" fontId="6" fillId="15" borderId="0" xfId="0" applyFont="1" applyFill="1" applyAlignment="1">
      <alignment horizontal="center"/>
    </xf>
    <xf numFmtId="0" fontId="44" fillId="15" borderId="0" xfId="0" applyFont="1" applyFill="1" applyAlignment="1">
      <alignment horizontal="left"/>
    </xf>
    <xf numFmtId="14" fontId="54" fillId="0" borderId="0" xfId="0" applyNumberFormat="1" applyFont="1"/>
    <xf numFmtId="0" fontId="45" fillId="0" borderId="0" xfId="0" applyNumberFormat="1" applyFont="1"/>
    <xf numFmtId="0" fontId="10" fillId="0" borderId="0" xfId="0" applyFont="1" applyBorder="1"/>
    <xf numFmtId="0" fontId="10" fillId="0" borderId="0" xfId="0" applyFont="1" applyBorder="1" applyAlignment="1">
      <alignment horizontal="center"/>
    </xf>
    <xf numFmtId="0" fontId="10" fillId="7" borderId="0" xfId="0" applyFont="1" applyFill="1" applyBorder="1" applyAlignment="1">
      <alignment wrapText="1"/>
    </xf>
    <xf numFmtId="0" fontId="45" fillId="0" borderId="0" xfId="0" applyFont="1" applyAlignment="1">
      <alignment horizontal="left"/>
    </xf>
    <xf numFmtId="14" fontId="0" fillId="0" borderId="0" xfId="0" applyNumberFormat="1" applyAlignment="1">
      <alignment vertical="center"/>
    </xf>
    <xf numFmtId="0" fontId="0" fillId="0" borderId="0" xfId="0" applyNumberFormat="1"/>
    <xf numFmtId="14" fontId="44" fillId="15" borderId="0" xfId="0" applyNumberFormat="1" applyFont="1" applyFill="1"/>
    <xf numFmtId="0" fontId="44" fillId="15" borderId="0" xfId="0" applyFont="1" applyFill="1" applyAlignment="1">
      <alignment horizontal="center"/>
    </xf>
    <xf numFmtId="0" fontId="8" fillId="0" borderId="0" xfId="0" applyFont="1" applyFill="1"/>
    <xf numFmtId="0" fontId="8" fillId="0" borderId="0" xfId="0" applyFont="1" applyFill="1" applyAlignment="1">
      <alignment horizontal="center"/>
    </xf>
    <xf numFmtId="0" fontId="8" fillId="0" borderId="0" xfId="0" applyFont="1" applyAlignment="1">
      <alignment horizontal="left" wrapText="1"/>
    </xf>
    <xf numFmtId="0" fontId="36" fillId="0" borderId="20" xfId="1" applyFont="1" applyBorder="1" applyAlignment="1">
      <alignment horizontal="center" vertical="center"/>
    </xf>
    <xf numFmtId="0" fontId="56" fillId="15" borderId="28" xfId="0" applyFont="1" applyFill="1" applyBorder="1" applyAlignment="1">
      <alignment horizontal="center"/>
    </xf>
    <xf numFmtId="0" fontId="56" fillId="0" borderId="28" xfId="0" applyFont="1" applyBorder="1" applyAlignment="1">
      <alignment horizontal="center"/>
    </xf>
    <xf numFmtId="14" fontId="56" fillId="0" borderId="28" xfId="0" applyNumberFormat="1" applyFont="1" applyBorder="1" applyAlignment="1">
      <alignment horizontal="center"/>
    </xf>
    <xf numFmtId="0" fontId="0" fillId="0" borderId="0" xfId="0" applyNumberFormat="1" applyAlignment="1">
      <alignment horizontal="center"/>
    </xf>
    <xf numFmtId="0" fontId="0" fillId="0" borderId="25" xfId="0" applyNumberFormat="1" applyBorder="1" applyAlignment="1">
      <alignment horizontal="center"/>
    </xf>
    <xf numFmtId="14" fontId="57" fillId="0" borderId="0" xfId="0" applyNumberFormat="1" applyFont="1"/>
    <xf numFmtId="0" fontId="10" fillId="6" borderId="35" xfId="0" applyFont="1" applyFill="1" applyBorder="1" applyAlignment="1">
      <alignment horizontal="center"/>
    </xf>
    <xf numFmtId="0" fontId="10" fillId="6" borderId="36" xfId="0" applyFont="1" applyFill="1" applyBorder="1" applyAlignment="1">
      <alignment horizontal="center"/>
    </xf>
    <xf numFmtId="0" fontId="56" fillId="0" borderId="28" xfId="0" applyFont="1" applyBorder="1"/>
    <xf numFmtId="0" fontId="56" fillId="6" borderId="36" xfId="0" applyNumberFormat="1" applyFont="1" applyFill="1" applyBorder="1" applyAlignment="1">
      <alignment horizontal="center"/>
    </xf>
    <xf numFmtId="0" fontId="56" fillId="0" borderId="0" xfId="0" applyFont="1" applyBorder="1"/>
    <xf numFmtId="0" fontId="56" fillId="0" borderId="0" xfId="0" applyFont="1" applyBorder="1" applyAlignment="1">
      <alignment horizontal="center"/>
    </xf>
    <xf numFmtId="0" fontId="56" fillId="7" borderId="0" xfId="0" applyFont="1" applyFill="1" applyBorder="1" applyAlignment="1">
      <alignment wrapText="1"/>
    </xf>
    <xf numFmtId="0" fontId="56" fillId="10" borderId="0" xfId="0" applyFont="1" applyFill="1" applyBorder="1"/>
    <xf numFmtId="0" fontId="56" fillId="6" borderId="7" xfId="0" applyNumberFormat="1" applyFont="1" applyFill="1" applyBorder="1" applyAlignment="1">
      <alignment horizontal="center"/>
    </xf>
    <xf numFmtId="0" fontId="56" fillId="6" borderId="0" xfId="0" applyNumberFormat="1" applyFont="1" applyFill="1" applyBorder="1" applyAlignment="1">
      <alignment horizontal="center"/>
    </xf>
    <xf numFmtId="0" fontId="58" fillId="6" borderId="0" xfId="0" applyNumberFormat="1" applyFont="1" applyFill="1" applyBorder="1" applyAlignment="1">
      <alignment horizontal="center"/>
    </xf>
    <xf numFmtId="0" fontId="56" fillId="6" borderId="8" xfId="0" applyNumberFormat="1" applyFont="1" applyFill="1" applyBorder="1" applyAlignment="1">
      <alignment horizontal="center"/>
    </xf>
    <xf numFmtId="0" fontId="56" fillId="6" borderId="33" xfId="0" applyFont="1" applyFill="1" applyBorder="1" applyAlignment="1">
      <alignment horizontal="center"/>
    </xf>
    <xf numFmtId="0" fontId="56" fillId="6" borderId="29" xfId="0" applyNumberFormat="1" applyFont="1" applyFill="1" applyBorder="1" applyAlignment="1">
      <alignment horizontal="center"/>
    </xf>
    <xf numFmtId="0" fontId="56" fillId="6" borderId="30" xfId="0" applyNumberFormat="1" applyFont="1" applyFill="1" applyBorder="1" applyAlignment="1">
      <alignment horizontal="center"/>
    </xf>
    <xf numFmtId="0" fontId="56" fillId="6" borderId="34" xfId="0" applyNumberFormat="1" applyFont="1" applyFill="1" applyBorder="1" applyAlignment="1">
      <alignment horizontal="center"/>
    </xf>
    <xf numFmtId="0" fontId="0" fillId="10" borderId="0" xfId="0" applyFill="1"/>
    <xf numFmtId="0" fontId="59" fillId="0" borderId="0" xfId="0" applyFont="1" applyAlignment="1">
      <alignment horizontal="left"/>
    </xf>
    <xf numFmtId="0" fontId="46" fillId="11" borderId="0" xfId="0" applyFont="1" applyFill="1" applyBorder="1"/>
    <xf numFmtId="0" fontId="46" fillId="11" borderId="0" xfId="0" applyFont="1" applyFill="1" applyBorder="1" applyAlignment="1">
      <alignment horizontal="left"/>
    </xf>
    <xf numFmtId="0" fontId="60" fillId="14" borderId="17" xfId="1" applyFont="1" applyFill="1" applyBorder="1" applyAlignment="1">
      <alignment horizontal="right" vertical="center"/>
    </xf>
    <xf numFmtId="0" fontId="36" fillId="0" borderId="19" xfId="1" applyFont="1" applyBorder="1" applyAlignment="1">
      <alignment horizontal="center" vertical="center"/>
    </xf>
    <xf numFmtId="0" fontId="3" fillId="0" borderId="8" xfId="0" quotePrefix="1" applyFont="1" applyBorder="1" applyAlignment="1">
      <alignment horizontal="center" vertical="center"/>
    </xf>
    <xf numFmtId="0" fontId="61" fillId="2" borderId="0" xfId="1" applyFont="1" applyFill="1" applyAlignment="1">
      <alignment vertical="center"/>
    </xf>
    <xf numFmtId="0" fontId="62" fillId="0" borderId="0" xfId="0" applyFont="1" applyAlignment="1">
      <alignment horizontal="center"/>
    </xf>
    <xf numFmtId="0" fontId="62" fillId="0" borderId="6" xfId="0" applyFont="1" applyBorder="1" applyAlignment="1">
      <alignment horizontal="center" vertical="center"/>
    </xf>
    <xf numFmtId="0" fontId="62" fillId="0" borderId="8" xfId="0" applyFont="1" applyBorder="1" applyAlignment="1">
      <alignment horizontal="center" vertical="center"/>
    </xf>
    <xf numFmtId="0" fontId="62" fillId="8" borderId="8" xfId="0" applyFont="1" applyFill="1" applyBorder="1" applyAlignment="1">
      <alignment horizontal="center" vertical="center"/>
    </xf>
    <xf numFmtId="0" fontId="62" fillId="12" borderId="8" xfId="0" applyFont="1" applyFill="1" applyBorder="1" applyAlignment="1">
      <alignment horizontal="center" vertical="center"/>
    </xf>
    <xf numFmtId="0" fontId="62" fillId="0" borderId="6" xfId="0" quotePrefix="1" applyFont="1" applyBorder="1" applyAlignment="1">
      <alignment horizontal="center" vertical="center"/>
    </xf>
    <xf numFmtId="0" fontId="62" fillId="8" borderId="9" xfId="0" applyFont="1" applyFill="1" applyBorder="1" applyAlignment="1">
      <alignment horizontal="center" vertical="center"/>
    </xf>
    <xf numFmtId="0" fontId="51" fillId="0" borderId="0" xfId="0" applyFont="1"/>
    <xf numFmtId="0" fontId="51" fillId="0" borderId="0" xfId="0" applyFont="1" applyAlignment="1">
      <alignment horizontal="center"/>
    </xf>
    <xf numFmtId="0" fontId="62" fillId="12" borderId="9" xfId="0" applyFont="1" applyFill="1" applyBorder="1" applyAlignment="1">
      <alignment horizontal="center" vertical="center"/>
    </xf>
    <xf numFmtId="0" fontId="0" fillId="15" borderId="0" xfId="0" applyFill="1"/>
    <xf numFmtId="0" fontId="17" fillId="0" borderId="12" xfId="1" applyFont="1" applyBorder="1" applyAlignment="1" applyProtection="1">
      <alignment horizontal="center"/>
    </xf>
    <xf numFmtId="0" fontId="17" fillId="0" borderId="13" xfId="1" applyFont="1" applyBorder="1" applyAlignment="1" applyProtection="1">
      <alignment horizontal="center"/>
    </xf>
    <xf numFmtId="0" fontId="17" fillId="0" borderId="13" xfId="1" applyFont="1" applyBorder="1" applyProtection="1"/>
    <xf numFmtId="0" fontId="17" fillId="0" borderId="14" xfId="1" applyFont="1" applyBorder="1" applyProtection="1"/>
    <xf numFmtId="0" fontId="1" fillId="0" borderId="0" xfId="1" applyProtection="1"/>
    <xf numFmtId="0" fontId="17" fillId="0" borderId="0" xfId="1" applyFont="1" applyAlignment="1" applyProtection="1">
      <alignment horizontal="center"/>
    </xf>
    <xf numFmtId="0" fontId="9" fillId="0" borderId="0" xfId="1" applyFont="1" applyAlignment="1" applyProtection="1">
      <alignment horizontal="center" vertical="center"/>
    </xf>
    <xf numFmtId="0" fontId="39" fillId="13" borderId="0" xfId="1" applyFont="1" applyFill="1" applyAlignment="1" applyProtection="1">
      <alignment vertical="center" wrapText="1"/>
    </xf>
    <xf numFmtId="0" fontId="18" fillId="14" borderId="16" xfId="1" applyFont="1" applyFill="1" applyBorder="1" applyAlignment="1" applyProtection="1">
      <alignment vertical="center"/>
    </xf>
    <xf numFmtId="0" fontId="18" fillId="14" borderId="17" xfId="1" applyFont="1" applyFill="1" applyBorder="1" applyAlignment="1" applyProtection="1">
      <alignment vertical="center"/>
    </xf>
    <xf numFmtId="0" fontId="18" fillId="14" borderId="17" xfId="1" applyFont="1" applyFill="1" applyBorder="1" applyAlignment="1" applyProtection="1">
      <alignment horizontal="right" vertical="center"/>
    </xf>
    <xf numFmtId="0" fontId="53" fillId="14" borderId="17" xfId="1" applyFont="1" applyFill="1" applyBorder="1" applyAlignment="1" applyProtection="1">
      <alignment horizontal="center" vertical="center"/>
    </xf>
    <xf numFmtId="0" fontId="42" fillId="14" borderId="17" xfId="1" applyFont="1" applyFill="1" applyBorder="1" applyAlignment="1" applyProtection="1">
      <alignment vertical="center"/>
    </xf>
    <xf numFmtId="0" fontId="55" fillId="14" borderId="17" xfId="1" applyFont="1" applyFill="1" applyBorder="1" applyAlignment="1" applyProtection="1">
      <alignment horizontal="right" vertical="center"/>
    </xf>
    <xf numFmtId="0" fontId="1" fillId="0" borderId="0" xfId="1" applyAlignment="1" applyProtection="1">
      <alignment horizontal="center"/>
    </xf>
    <xf numFmtId="0" fontId="21" fillId="2" borderId="0" xfId="1" applyFont="1" applyFill="1" applyAlignment="1" applyProtection="1">
      <alignment horizontal="right" vertical="center" indent="1"/>
    </xf>
    <xf numFmtId="0" fontId="19" fillId="2" borderId="0" xfId="1" applyFont="1" applyFill="1" applyAlignment="1" applyProtection="1">
      <alignment vertical="center"/>
    </xf>
    <xf numFmtId="14" fontId="21" fillId="2" borderId="0" xfId="1" applyNumberFormat="1" applyFont="1" applyFill="1" applyAlignment="1" applyProtection="1">
      <alignment vertical="center"/>
    </xf>
    <xf numFmtId="0" fontId="37" fillId="0" borderId="0" xfId="1" applyFont="1" applyAlignment="1" applyProtection="1">
      <alignment horizontal="right" vertical="center" wrapText="1"/>
    </xf>
    <xf numFmtId="0" fontId="19" fillId="2" borderId="0" xfId="1" applyFont="1" applyFill="1" applyAlignment="1" applyProtection="1">
      <alignment horizontal="left" vertical="center"/>
    </xf>
    <xf numFmtId="0" fontId="21" fillId="2" borderId="0" xfId="1" applyFont="1" applyFill="1" applyAlignment="1" applyProtection="1">
      <alignment horizontal="left" vertical="center" indent="1"/>
    </xf>
    <xf numFmtId="0" fontId="21" fillId="2" borderId="0" xfId="1" applyFont="1" applyFill="1" applyAlignment="1" applyProtection="1">
      <alignment horizontal="left" vertical="center" wrapText="1"/>
    </xf>
    <xf numFmtId="0" fontId="21" fillId="0" borderId="0" xfId="1" applyFont="1" applyAlignment="1" applyProtection="1">
      <alignment vertical="top" wrapText="1"/>
    </xf>
    <xf numFmtId="0" fontId="22" fillId="13" borderId="0" xfId="1" applyFont="1" applyFill="1" applyAlignment="1" applyProtection="1">
      <alignment horizontal="center" vertical="center"/>
    </xf>
    <xf numFmtId="0" fontId="22" fillId="13" borderId="0" xfId="1" applyFont="1" applyFill="1" applyAlignment="1" applyProtection="1">
      <alignment horizontal="left" vertical="center" indent="1"/>
    </xf>
    <xf numFmtId="0" fontId="22" fillId="13" borderId="0" xfId="1" applyFont="1" applyFill="1" applyAlignment="1" applyProtection="1">
      <alignment vertical="center"/>
    </xf>
    <xf numFmtId="0" fontId="22" fillId="13" borderId="22" xfId="1" applyFont="1" applyFill="1" applyBorder="1" applyAlignment="1" applyProtection="1">
      <alignment horizontal="left" vertical="center"/>
    </xf>
    <xf numFmtId="0" fontId="22" fillId="13" borderId="0" xfId="1" applyFont="1" applyFill="1" applyAlignment="1" applyProtection="1">
      <alignment horizontal="left" vertical="center"/>
    </xf>
    <xf numFmtId="0" fontId="22" fillId="13" borderId="18" xfId="1" applyFont="1" applyFill="1" applyBorder="1" applyAlignment="1" applyProtection="1">
      <alignment horizontal="left" vertical="center"/>
    </xf>
    <xf numFmtId="0" fontId="23" fillId="2" borderId="0" xfId="1" applyFont="1" applyFill="1" applyAlignment="1" applyProtection="1">
      <alignment vertical="center"/>
    </xf>
    <xf numFmtId="0" fontId="24" fillId="2" borderId="0" xfId="1" applyFont="1" applyFill="1" applyAlignment="1" applyProtection="1">
      <alignment vertical="center"/>
    </xf>
    <xf numFmtId="0" fontId="22" fillId="13" borderId="0" xfId="1" applyFont="1" applyFill="1" applyAlignment="1" applyProtection="1">
      <alignment horizontal="center" vertical="center" wrapText="1"/>
    </xf>
    <xf numFmtId="0" fontId="22" fillId="13" borderId="0" xfId="1" applyFont="1" applyFill="1" applyAlignment="1" applyProtection="1">
      <alignment horizontal="center" vertical="center" shrinkToFit="1"/>
    </xf>
    <xf numFmtId="0" fontId="22" fillId="13" borderId="22" xfId="1" applyFont="1" applyFill="1" applyBorder="1" applyAlignment="1" applyProtection="1">
      <alignment horizontal="center" vertical="center" wrapText="1"/>
    </xf>
    <xf numFmtId="0" fontId="22" fillId="13" borderId="18" xfId="1" applyFont="1" applyFill="1" applyBorder="1" applyAlignment="1" applyProtection="1">
      <alignment horizontal="center" vertical="center" wrapText="1"/>
    </xf>
    <xf numFmtId="0" fontId="21" fillId="2" borderId="19" xfId="1" applyFont="1" applyFill="1" applyBorder="1" applyAlignment="1" applyProtection="1">
      <alignment horizontal="center" vertical="center" wrapText="1"/>
    </xf>
    <xf numFmtId="0" fontId="21" fillId="2" borderId="20" xfId="1" applyFont="1" applyFill="1" applyBorder="1" applyAlignment="1" applyProtection="1">
      <alignment horizontal="center" vertical="center" wrapText="1"/>
    </xf>
    <xf numFmtId="0" fontId="21" fillId="2" borderId="20" xfId="1" applyFont="1" applyFill="1" applyBorder="1" applyAlignment="1" applyProtection="1">
      <alignment vertical="center" wrapText="1"/>
    </xf>
    <xf numFmtId="0" fontId="24" fillId="2" borderId="20" xfId="1" applyFont="1" applyFill="1" applyBorder="1" applyAlignment="1" applyProtection="1">
      <alignment horizontal="center" vertical="center" shrinkToFit="1"/>
    </xf>
    <xf numFmtId="0" fontId="21" fillId="2" borderId="23" xfId="1" applyFont="1" applyFill="1" applyBorder="1" applyAlignment="1" applyProtection="1">
      <alignment horizontal="center" vertical="center" wrapText="1"/>
    </xf>
    <xf numFmtId="0" fontId="21" fillId="2" borderId="24" xfId="1" applyFont="1" applyFill="1" applyBorder="1" applyAlignment="1" applyProtection="1">
      <alignment horizontal="center" vertical="center" wrapText="1"/>
    </xf>
    <xf numFmtId="0" fontId="25" fillId="0" borderId="0" xfId="1" applyFont="1" applyAlignment="1" applyProtection="1">
      <alignment horizontal="center" vertical="center" wrapText="1"/>
    </xf>
    <xf numFmtId="0" fontId="23" fillId="2" borderId="0" xfId="1" applyFont="1" applyFill="1" applyAlignment="1" applyProtection="1">
      <alignment wrapText="1"/>
    </xf>
    <xf numFmtId="0" fontId="24" fillId="2" borderId="0" xfId="1" applyFont="1" applyFill="1" applyAlignment="1" applyProtection="1">
      <alignment wrapText="1"/>
    </xf>
    <xf numFmtId="0" fontId="21" fillId="14" borderId="14" xfId="1" applyFont="1" applyFill="1" applyBorder="1" applyAlignment="1" applyProtection="1">
      <alignment horizontal="center" vertical="center" wrapText="1"/>
    </xf>
    <xf numFmtId="0" fontId="21" fillId="14" borderId="0" xfId="1" applyFont="1" applyFill="1" applyAlignment="1" applyProtection="1">
      <alignment horizontal="center" vertical="center" wrapText="1"/>
    </xf>
    <xf numFmtId="0" fontId="21" fillId="14" borderId="0" xfId="1" applyFont="1" applyFill="1" applyAlignment="1" applyProtection="1">
      <alignment vertical="center" wrapText="1"/>
    </xf>
    <xf numFmtId="0" fontId="24" fillId="14" borderId="0" xfId="1" applyFont="1" applyFill="1" applyAlignment="1" applyProtection="1">
      <alignment horizontal="left" vertical="center" shrinkToFit="1"/>
    </xf>
    <xf numFmtId="0" fontId="21" fillId="14" borderId="22" xfId="1" applyFont="1" applyFill="1" applyBorder="1" applyAlignment="1" applyProtection="1">
      <alignment horizontal="center" vertical="center" wrapText="1"/>
    </xf>
    <xf numFmtId="0" fontId="21" fillId="14" borderId="18" xfId="1" applyFont="1" applyFill="1" applyBorder="1" applyAlignment="1" applyProtection="1">
      <alignment horizontal="center" vertical="center" wrapText="1"/>
    </xf>
    <xf numFmtId="0" fontId="21" fillId="0" borderId="20" xfId="1" applyFont="1" applyBorder="1" applyAlignment="1" applyProtection="1">
      <alignment horizontal="center" vertical="center" wrapText="1"/>
    </xf>
    <xf numFmtId="0" fontId="21" fillId="0" borderId="23" xfId="1" applyFont="1" applyBorder="1" applyAlignment="1" applyProtection="1">
      <alignment horizontal="center" vertical="center" wrapText="1"/>
    </xf>
    <xf numFmtId="0" fontId="21" fillId="0" borderId="24" xfId="1" applyFont="1" applyBorder="1" applyAlignment="1" applyProtection="1">
      <alignment horizontal="center" vertical="center" wrapText="1"/>
    </xf>
    <xf numFmtId="0" fontId="23" fillId="2" borderId="0" xfId="1" applyFont="1" applyFill="1" applyProtection="1"/>
    <xf numFmtId="0" fontId="24" fillId="2" borderId="0" xfId="1" applyFont="1" applyFill="1" applyProtection="1"/>
    <xf numFmtId="0" fontId="21" fillId="0" borderId="20" xfId="1" applyFont="1" applyBorder="1" applyAlignment="1" applyProtection="1">
      <alignment horizontal="left" vertical="center"/>
    </xf>
    <xf numFmtId="0" fontId="23" fillId="2" borderId="0" xfId="1" applyFont="1" applyFill="1" applyAlignment="1" applyProtection="1">
      <alignment horizontal="center" vertical="center"/>
    </xf>
    <xf numFmtId="0" fontId="21" fillId="0" borderId="20" xfId="1" applyFont="1" applyBorder="1" applyAlignment="1" applyProtection="1">
      <alignment vertical="center" wrapText="1"/>
    </xf>
    <xf numFmtId="0" fontId="32" fillId="2" borderId="0" xfId="1" applyFont="1" applyFill="1" applyAlignment="1" applyProtection="1">
      <alignment horizontal="left" vertical="center" wrapText="1"/>
    </xf>
    <xf numFmtId="0" fontId="33" fillId="2" borderId="0" xfId="1" applyFont="1" applyFill="1" applyAlignment="1" applyProtection="1">
      <alignment horizontal="left" vertical="center" wrapText="1"/>
    </xf>
    <xf numFmtId="0" fontId="34" fillId="2" borderId="0" xfId="1" applyFont="1" applyFill="1" applyAlignment="1" applyProtection="1">
      <alignment vertical="center" shrinkToFit="1"/>
    </xf>
    <xf numFmtId="0" fontId="34" fillId="2" borderId="0" xfId="1" applyFont="1" applyFill="1" applyAlignment="1" applyProtection="1">
      <alignment vertical="center"/>
    </xf>
    <xf numFmtId="0" fontId="35" fillId="2" borderId="0" xfId="1" applyFont="1" applyFill="1" applyAlignment="1" applyProtection="1">
      <alignment horizontal="center" vertical="center"/>
    </xf>
    <xf numFmtId="0" fontId="35" fillId="2" borderId="0" xfId="1" applyFont="1" applyFill="1" applyProtection="1"/>
    <xf numFmtId="0" fontId="12" fillId="2" borderId="0" xfId="1" applyFont="1" applyFill="1" applyProtection="1"/>
    <xf numFmtId="0" fontId="52" fillId="13" borderId="0" xfId="1" applyFont="1" applyFill="1" applyAlignment="1" applyProtection="1">
      <alignment horizontal="left" vertical="center"/>
    </xf>
    <xf numFmtId="0" fontId="37" fillId="13" borderId="0" xfId="1" applyFont="1" applyFill="1" applyAlignment="1" applyProtection="1">
      <alignment horizontal="left" vertical="center" readingOrder="1"/>
    </xf>
    <xf numFmtId="0" fontId="20" fillId="13" borderId="0" xfId="1" applyFont="1" applyFill="1" applyAlignment="1" applyProtection="1">
      <alignment horizontal="left" vertical="center" readingOrder="1"/>
    </xf>
    <xf numFmtId="0" fontId="41" fillId="13" borderId="0" xfId="1" applyFont="1" applyFill="1" applyAlignment="1" applyProtection="1">
      <alignment horizontal="center" vertical="center" readingOrder="1"/>
    </xf>
    <xf numFmtId="0" fontId="41" fillId="13" borderId="0" xfId="1" applyFont="1" applyFill="1" applyAlignment="1" applyProtection="1">
      <alignment horizontal="center" vertical="center" shrinkToFit="1"/>
    </xf>
    <xf numFmtId="0" fontId="38" fillId="13" borderId="0" xfId="1" applyFont="1" applyFill="1" applyProtection="1"/>
    <xf numFmtId="0" fontId="1" fillId="0" borderId="0" xfId="1" applyAlignment="1" applyProtection="1">
      <alignment horizontal="center" vertical="center"/>
    </xf>
    <xf numFmtId="0" fontId="37" fillId="13" borderId="0" xfId="1" applyFont="1" applyFill="1" applyAlignment="1" applyProtection="1">
      <alignment horizontal="left" vertical="center"/>
    </xf>
    <xf numFmtId="0" fontId="37" fillId="13" borderId="0" xfId="1" applyFont="1" applyFill="1" applyAlignment="1" applyProtection="1">
      <alignment horizontal="center" vertical="center" wrapText="1"/>
    </xf>
    <xf numFmtId="0" fontId="37" fillId="13" borderId="0" xfId="1" applyFont="1" applyFill="1" applyAlignment="1" applyProtection="1">
      <alignment horizontal="center" vertical="center" shrinkToFit="1"/>
    </xf>
    <xf numFmtId="0" fontId="37" fillId="13" borderId="0" xfId="1" applyFont="1" applyFill="1" applyAlignment="1" applyProtection="1">
      <alignment horizontal="center" vertical="center"/>
    </xf>
    <xf numFmtId="0" fontId="22" fillId="13" borderId="0" xfId="1" applyFont="1" applyFill="1" applyAlignment="1" applyProtection="1">
      <alignment horizontal="center" vertical="top"/>
    </xf>
    <xf numFmtId="0" fontId="1" fillId="0" borderId="0" xfId="1" applyAlignment="1" applyProtection="1">
      <alignment horizontal="center" vertical="top"/>
    </xf>
    <xf numFmtId="0" fontId="36" fillId="0" borderId="19" xfId="1" applyFont="1" applyBorder="1" applyAlignment="1" applyProtection="1">
      <alignment horizontal="center" vertical="center"/>
    </xf>
    <xf numFmtId="0" fontId="36" fillId="0" borderId="20" xfId="1" applyFont="1" applyBorder="1" applyAlignment="1" applyProtection="1">
      <alignment horizontal="center" vertical="center"/>
    </xf>
    <xf numFmtId="0" fontId="36" fillId="0" borderId="20" xfId="1" applyFont="1" applyBorder="1" applyAlignment="1" applyProtection="1">
      <alignment vertical="center"/>
    </xf>
    <xf numFmtId="0" fontId="36" fillId="0" borderId="20" xfId="1" applyFont="1" applyBorder="1" applyAlignment="1" applyProtection="1">
      <alignment vertical="center" wrapText="1"/>
    </xf>
    <xf numFmtId="0" fontId="36" fillId="0" borderId="20" xfId="1" applyFont="1" applyBorder="1" applyAlignment="1" applyProtection="1">
      <alignment horizontal="center" vertical="center" wrapText="1"/>
    </xf>
    <xf numFmtId="0" fontId="21" fillId="2" borderId="23" xfId="1" applyFont="1" applyFill="1" applyBorder="1" applyAlignment="1" applyProtection="1">
      <alignment horizontal="center" vertical="center"/>
    </xf>
    <xf numFmtId="0" fontId="21" fillId="2" borderId="20" xfId="1" applyFont="1" applyFill="1" applyBorder="1" applyAlignment="1" applyProtection="1">
      <alignment horizontal="center" vertical="center"/>
    </xf>
    <xf numFmtId="0" fontId="21" fillId="2" borderId="24" xfId="1" applyFont="1" applyFill="1" applyBorder="1" applyAlignment="1" applyProtection="1">
      <alignment horizontal="center" vertical="center"/>
    </xf>
    <xf numFmtId="0" fontId="36" fillId="0" borderId="20" xfId="1" applyFont="1" applyBorder="1" applyAlignment="1" applyProtection="1">
      <alignment horizontal="center" vertical="center" shrinkToFit="1"/>
    </xf>
    <xf numFmtId="0" fontId="30" fillId="2" borderId="0" xfId="1" applyFont="1" applyFill="1" applyProtection="1"/>
    <xf numFmtId="0" fontId="31" fillId="2" borderId="0" xfId="1" applyFont="1" applyFill="1" applyProtection="1"/>
    <xf numFmtId="0" fontId="32" fillId="2" borderId="0" xfId="1" applyFont="1" applyFill="1" applyAlignment="1" applyProtection="1">
      <alignment vertical="center"/>
    </xf>
    <xf numFmtId="0" fontId="12" fillId="2" borderId="0" xfId="1" applyFont="1" applyFill="1" applyAlignment="1" applyProtection="1">
      <alignment vertical="center"/>
    </xf>
    <xf numFmtId="0" fontId="34" fillId="2" borderId="0" xfId="1" applyFont="1" applyFill="1" applyAlignment="1" applyProtection="1">
      <alignment horizontal="right" vertical="center"/>
    </xf>
    <xf numFmtId="0" fontId="61" fillId="2" borderId="0" xfId="1" applyFont="1" applyFill="1" applyAlignment="1" applyProtection="1">
      <alignment vertical="center"/>
      <protection locked="0"/>
    </xf>
    <xf numFmtId="0" fontId="43" fillId="6" borderId="0" xfId="1" applyFont="1" applyFill="1" applyAlignment="1" applyProtection="1">
      <alignment vertical="center"/>
      <protection locked="0"/>
    </xf>
    <xf numFmtId="0" fontId="19" fillId="2" borderId="0" xfId="1" applyFont="1" applyFill="1" applyAlignment="1" applyProtection="1">
      <alignment vertical="center"/>
      <protection locked="0"/>
    </xf>
    <xf numFmtId="0" fontId="39" fillId="13" borderId="15" xfId="1" applyFont="1" applyFill="1" applyBorder="1" applyAlignment="1" applyProtection="1">
      <alignment horizontal="left" vertical="center" wrapText="1"/>
    </xf>
    <xf numFmtId="0" fontId="26" fillId="2" borderId="0" xfId="1" applyFont="1" applyFill="1" applyAlignment="1" applyProtection="1">
      <alignment horizontal="center" vertical="center" wrapText="1"/>
    </xf>
    <xf numFmtId="0" fontId="39" fillId="13" borderId="15" xfId="1" applyFont="1" applyFill="1" applyBorder="1" applyAlignment="1">
      <alignment horizontal="left" vertical="center" wrapText="1"/>
    </xf>
    <xf numFmtId="0" fontId="26" fillId="2" borderId="0" xfId="1" applyFont="1" applyFill="1" applyAlignment="1">
      <alignment horizontal="center" vertical="center" wrapText="1"/>
    </xf>
  </cellXfs>
  <cellStyles count="3">
    <cellStyle name="Hyperlink" xfId="2" builtinId="8"/>
    <cellStyle name="Normal" xfId="0" builtinId="0"/>
    <cellStyle name="Normal 2" xfId="1"/>
  </cellStyles>
  <dxfs count="153">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numFmt numFmtId="19" formatCode="d/mm/yyyy"/>
      <alignment horizontal="general" vertical="center" textRotation="0" wrapText="0" indent="0" justifyLastLine="0" shrinkToFit="0" readingOrder="0"/>
    </dxf>
    <dxf>
      <font>
        <b val="0"/>
        <i val="0"/>
        <strike val="0"/>
        <condense val="0"/>
        <extend val="0"/>
        <outline val="0"/>
        <shadow val="0"/>
        <u val="none"/>
        <vertAlign val="baseline"/>
        <sz val="12"/>
        <color auto="1"/>
        <name val="Calibri"/>
        <scheme val="minor"/>
      </font>
      <numFmt numFmtId="19" formatCode="d/mm/yyyy"/>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numFmt numFmtId="19" formatCode="d/mm/yyyy"/>
      <alignment horizontal="general" vertical="center" textRotation="0" wrapText="0" indent="0" justifyLastLine="0" shrinkToFit="0" readingOrder="0"/>
    </dxf>
    <dxf>
      <font>
        <b val="0"/>
        <i val="0"/>
        <strike val="0"/>
        <condense val="0"/>
        <extend val="0"/>
        <outline val="0"/>
        <shadow val="0"/>
        <u val="none"/>
        <vertAlign val="baseline"/>
        <sz val="12"/>
        <color auto="1"/>
        <name val="Calibri"/>
        <scheme val="minor"/>
      </font>
      <numFmt numFmtId="19" formatCode="d/mm/yyyy"/>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numFmt numFmtId="19" formatCode="d/mm/yyyy"/>
      <alignment horizontal="general" vertical="center" textRotation="0" wrapText="0" indent="0" justifyLastLine="0" shrinkToFit="0" readingOrder="0"/>
    </dxf>
    <dxf>
      <font>
        <b val="0"/>
        <i val="0"/>
        <strike val="0"/>
        <condense val="0"/>
        <extend val="0"/>
        <outline val="0"/>
        <shadow val="0"/>
        <u val="none"/>
        <vertAlign val="baseline"/>
        <sz val="12"/>
        <color auto="1"/>
        <name val="Calibri"/>
        <scheme val="minor"/>
      </font>
      <numFmt numFmtId="19" formatCode="d/mm/yyyy"/>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numFmt numFmtId="19" formatCode="d/mm/yyyy"/>
      <alignment horizontal="general" vertical="center" textRotation="0" wrapText="0" indent="0" justifyLastLine="0" shrinkToFit="0" readingOrder="0"/>
    </dxf>
    <dxf>
      <font>
        <b val="0"/>
        <i val="0"/>
        <strike val="0"/>
        <condense val="0"/>
        <extend val="0"/>
        <outline val="0"/>
        <shadow val="0"/>
        <u val="none"/>
        <vertAlign val="baseline"/>
        <sz val="12"/>
        <color auto="1"/>
        <name val="Calibri"/>
        <scheme val="minor"/>
      </font>
      <numFmt numFmtId="19" formatCode="d/mm/yyyy"/>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numFmt numFmtId="19" formatCode="d/mm/yyyy"/>
      <alignment horizontal="general" vertical="center" textRotation="0" wrapText="0" indent="0" justifyLastLine="0" shrinkToFit="0" readingOrder="0"/>
    </dxf>
    <dxf>
      <font>
        <b val="0"/>
        <i val="0"/>
        <strike val="0"/>
        <condense val="0"/>
        <extend val="0"/>
        <outline val="0"/>
        <shadow val="0"/>
        <u val="none"/>
        <vertAlign val="baseline"/>
        <sz val="12"/>
        <color auto="1"/>
        <name val="Calibri"/>
        <scheme val="minor"/>
      </font>
      <numFmt numFmtId="19" formatCode="d/mm/yyyy"/>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numFmt numFmtId="19" formatCode="d/mm/yyyy"/>
      <alignment horizontal="general" vertical="center" textRotation="0" wrapText="0" indent="0" justifyLastLine="0" shrinkToFit="0" readingOrder="0"/>
    </dxf>
    <dxf>
      <font>
        <b val="0"/>
        <i val="0"/>
        <strike val="0"/>
        <condense val="0"/>
        <extend val="0"/>
        <outline val="0"/>
        <shadow val="0"/>
        <u val="none"/>
        <vertAlign val="baseline"/>
        <sz val="12"/>
        <color auto="1"/>
        <name val="Calibri"/>
        <scheme val="minor"/>
      </font>
      <numFmt numFmtId="19" formatCode="d/mm/yyyy"/>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numFmt numFmtId="19" formatCode="d/mm/yyyy"/>
      <alignment horizontal="general" vertical="center" textRotation="0" wrapText="0" indent="0" justifyLastLine="0" shrinkToFit="0" readingOrder="0"/>
    </dxf>
    <dxf>
      <font>
        <b val="0"/>
        <i val="0"/>
        <strike val="0"/>
        <condense val="0"/>
        <extend val="0"/>
        <outline val="0"/>
        <shadow val="0"/>
        <u val="none"/>
        <vertAlign val="baseline"/>
        <sz val="12"/>
        <color auto="1"/>
        <name val="Calibri"/>
        <scheme val="minor"/>
      </font>
      <numFmt numFmtId="19" formatCode="d/mm/yyyy"/>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numFmt numFmtId="19" formatCode="d/mm/yyyy"/>
      <alignment horizontal="general" vertical="center" textRotation="0" wrapText="0" indent="0" justifyLastLine="0" shrinkToFit="0" readingOrder="0"/>
    </dxf>
    <dxf>
      <font>
        <b val="0"/>
        <i val="0"/>
        <strike val="0"/>
        <condense val="0"/>
        <extend val="0"/>
        <outline val="0"/>
        <shadow val="0"/>
        <u val="none"/>
        <vertAlign val="baseline"/>
        <sz val="12"/>
        <color auto="1"/>
        <name val="Calibri"/>
        <scheme val="minor"/>
      </font>
      <numFmt numFmtId="19" formatCode="d/mm/yyyy"/>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font>
        <strike val="0"/>
        <outline val="0"/>
        <shadow val="0"/>
        <u val="none"/>
        <vertAlign val="baseline"/>
        <sz val="12"/>
        <color auto="1"/>
        <name val="Calibri"/>
        <scheme val="minor"/>
      </font>
      <numFmt numFmtId="19" formatCode="d/mm/yyyy"/>
      <alignment horizontal="general" vertical="center" textRotation="0" wrapText="0" indent="0" justifyLastLine="0" shrinkToFit="0" readingOrder="0"/>
    </dxf>
    <dxf>
      <font>
        <strike val="0"/>
        <outline val="0"/>
        <shadow val="0"/>
        <u val="none"/>
        <vertAlign val="baseline"/>
        <sz val="12"/>
        <color auto="1"/>
        <name val="Calibri"/>
        <scheme val="minor"/>
      </font>
      <numFmt numFmtId="19" formatCode="d/mm/yyyy"/>
    </dxf>
    <dxf>
      <font>
        <strike val="0"/>
        <outline val="0"/>
        <shadow val="0"/>
        <u val="none"/>
        <vertAlign val="baseline"/>
        <sz val="12"/>
        <color auto="1"/>
        <name val="Calibri"/>
        <scheme val="minor"/>
      </font>
    </dxf>
    <dxf>
      <font>
        <strike val="0"/>
        <outline val="0"/>
        <shadow val="0"/>
        <u val="none"/>
        <vertAlign val="baseline"/>
        <sz val="12"/>
        <color auto="1"/>
        <name val="Calibri"/>
        <scheme val="minor"/>
      </font>
    </dxf>
    <dxf>
      <font>
        <strike val="0"/>
        <outline val="0"/>
        <shadow val="0"/>
        <u val="none"/>
        <vertAlign val="baseline"/>
        <sz val="12"/>
        <color auto="1"/>
        <name val="Calibri"/>
        <scheme val="minor"/>
      </font>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right style="thin">
          <color theme="0" tint="-0.24994659260841701"/>
        </right>
        <top/>
        <bottom/>
        <vertical/>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right style="thin">
          <color theme="0" tint="-0.24994659260841701"/>
        </right>
        <top/>
        <bottom/>
        <vertical/>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right style="thin">
          <color indexed="64"/>
        </right>
        <top style="thin">
          <color auto="1"/>
        </top>
        <bottom style="thin">
          <color auto="1"/>
        </bottom>
        <vertical/>
        <horizontal style="thin">
          <color auto="1"/>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right/>
        <top style="thin">
          <color auto="1"/>
        </top>
        <bottom style="thin">
          <color auto="1"/>
        </bottom>
        <vertical/>
        <horizontal style="thin">
          <color auto="1"/>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right/>
        <top style="thin">
          <color auto="1"/>
        </top>
        <bottom style="thin">
          <color auto="1"/>
        </bottom>
        <vertical/>
        <horizontal style="thin">
          <color auto="1"/>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right/>
        <top style="thin">
          <color auto="1"/>
        </top>
        <bottom style="thin">
          <color auto="1"/>
        </bottom>
        <vertical/>
        <horizontal style="thin">
          <color auto="1"/>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right/>
        <top style="thin">
          <color auto="1"/>
        </top>
        <bottom style="thin">
          <color auto="1"/>
        </bottom>
        <vertical/>
        <horizontal style="thin">
          <color auto="1"/>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right/>
        <top style="thin">
          <color auto="1"/>
        </top>
        <bottom style="thin">
          <color auto="1"/>
        </bottom>
        <vertical/>
        <horizontal style="thin">
          <color auto="1"/>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right/>
        <top style="thin">
          <color auto="1"/>
        </top>
        <bottom style="thin">
          <color auto="1"/>
        </bottom>
        <vertical/>
        <horizontal style="thin">
          <color auto="1"/>
        </horizontal>
      </border>
    </dxf>
    <dxf>
      <font>
        <b val="0"/>
        <i val="0"/>
        <strike val="0"/>
        <condense val="0"/>
        <extend val="0"/>
        <outline val="0"/>
        <shadow val="0"/>
        <u val="none"/>
        <vertAlign val="baseline"/>
        <sz val="10"/>
        <color theme="1"/>
        <name val="Arial"/>
        <scheme val="none"/>
      </font>
      <fill>
        <patternFill patternType="solid">
          <fgColor indexed="64"/>
          <bgColor theme="4" tint="0.79998168889431442"/>
        </patternFill>
      </fill>
      <alignment horizontal="center" vertical="bottom" textRotation="0" wrapText="0" indent="0" justifyLastLine="0" shrinkToFit="0" readingOrder="0"/>
      <border diagonalUp="0" diagonalDown="0">
        <left style="thin">
          <color indexed="64"/>
        </left>
        <right/>
        <top style="thin">
          <color auto="1"/>
        </top>
        <bottom style="thin">
          <color auto="1"/>
        </bottom>
        <vertical/>
        <horizontal style="thin">
          <color auto="1"/>
        </horizontal>
      </border>
    </dxf>
    <dxf>
      <font>
        <b val="0"/>
        <i val="0"/>
        <strike val="0"/>
        <condense val="0"/>
        <extend val="0"/>
        <outline val="0"/>
        <shadow val="0"/>
        <u val="none"/>
        <vertAlign val="baseline"/>
        <sz val="10"/>
        <color theme="1"/>
        <name val="Arial"/>
        <scheme val="none"/>
      </font>
      <fill>
        <patternFill patternType="solid">
          <fgColor indexed="64"/>
          <bgColor theme="5" tint="0.79998168889431442"/>
        </patternFill>
      </fill>
      <alignment horizontal="left" vertical="bottom" textRotation="0" wrapText="1" indent="0" justifyLastLine="0" shrinkToFit="0" readingOrder="0"/>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rgb="FF000000"/>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right/>
        <top style="thin">
          <color indexed="64"/>
        </top>
        <bottom style="thin">
          <color indexed="64"/>
        </bottom>
        <vertical/>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right/>
        <top style="thin">
          <color indexed="64"/>
        </top>
        <bottom style="thin">
          <color indexed="64"/>
        </bottom>
        <vertical/>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0"/>
        <color theme="1"/>
        <name val="Arial"/>
        <scheme val="none"/>
      </font>
      <fill>
        <patternFill patternType="solid">
          <fgColor indexed="64"/>
          <bgColor theme="5" tint="0.79998168889431442"/>
        </patternFill>
      </fill>
      <alignment horizontal="general" vertical="bottom" textRotation="0" wrapText="1" indent="0" justifyLastLine="0" shrinkToFit="0" readingOrder="0"/>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dxf>
    <dxf>
      <font>
        <b val="0"/>
        <i val="0"/>
        <strike val="0"/>
        <condense val="0"/>
        <extend val="0"/>
        <outline val="0"/>
        <shadow val="0"/>
        <u val="none"/>
        <vertAlign val="baseline"/>
        <sz val="10"/>
        <color theme="1"/>
        <name val="Arial"/>
        <scheme val="none"/>
      </font>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dxf>
    <dxf>
      <border outline="0">
        <right style="thin">
          <color indexed="64"/>
        </right>
      </border>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dxf>
    <dxf>
      <border outline="0">
        <bottom style="thin">
          <color indexed="64"/>
        </bottom>
      </border>
    </dxf>
    <dxf>
      <font>
        <b/>
        <i val="0"/>
        <strike val="0"/>
        <condense val="0"/>
        <extend val="0"/>
        <outline val="0"/>
        <shadow val="0"/>
        <u val="none"/>
        <vertAlign val="baseline"/>
        <sz val="12"/>
        <color theme="1"/>
        <name val="Calibri"/>
        <scheme val="minor"/>
      </font>
      <fill>
        <patternFill patternType="solid">
          <fgColor indexed="64"/>
          <bgColor rgb="FFF2F2F2"/>
        </patternFill>
      </fill>
      <alignment horizontal="left" vertical="bottom" textRotation="0" wrapText="0" indent="0" justifyLastLine="0" shrinkToFit="0" readingOrder="0"/>
    </dxf>
    <dxf>
      <font>
        <color rgb="FF9C0006"/>
      </font>
      <fill>
        <patternFill>
          <bgColor rgb="FFFFC7CE"/>
        </patternFill>
      </fill>
    </dxf>
    <dxf>
      <font>
        <b val="0"/>
        <i val="0"/>
        <strike val="0"/>
        <condense val="0"/>
        <extend val="0"/>
        <outline val="0"/>
        <shadow val="0"/>
        <u val="none"/>
        <vertAlign val="baseline"/>
        <sz val="10"/>
        <color theme="1"/>
        <name val="Arial"/>
        <scheme val="none"/>
      </font>
      <numFmt numFmtId="19" formatCode="d/mm/yyyy"/>
      <alignment horizontal="center" vertical="bottom" textRotation="0" wrapText="0" indent="0" justifyLastLine="0" shrinkToFit="0" readingOrder="0"/>
      <border diagonalUp="0" diagonalDown="0">
        <left/>
        <right/>
        <top style="thin">
          <color theme="1"/>
        </top>
        <bottom/>
        <vertical/>
        <horizontal/>
      </border>
    </dxf>
    <dxf>
      <font>
        <b val="0"/>
        <i val="0"/>
        <strike val="0"/>
        <condense val="0"/>
        <extend val="0"/>
        <outline val="0"/>
        <shadow val="0"/>
        <u val="none"/>
        <vertAlign val="baseline"/>
        <sz val="10"/>
        <color theme="1"/>
        <name val="Arial"/>
        <scheme val="none"/>
      </font>
      <numFmt numFmtId="19" formatCode="d/mm/yyyy"/>
      <alignment horizontal="center" vertical="bottom" textRotation="0" wrapText="0" indent="0" justifyLastLine="0" shrinkToFit="0" readingOrder="0"/>
      <border diagonalUp="0" diagonalDown="0">
        <left/>
        <right/>
        <top style="thin">
          <color theme="1"/>
        </top>
        <bottom/>
        <vertical/>
        <horizontal/>
      </border>
    </dxf>
    <dxf>
      <font>
        <b val="0"/>
        <i val="0"/>
        <strike val="0"/>
        <condense val="0"/>
        <extend val="0"/>
        <outline val="0"/>
        <shadow val="0"/>
        <u val="none"/>
        <vertAlign val="baseline"/>
        <sz val="10"/>
        <color theme="1"/>
        <name val="Arial"/>
        <scheme val="none"/>
      </font>
      <numFmt numFmtId="19" formatCode="d/mm/yyyy"/>
      <alignment horizontal="center" vertical="bottom" textRotation="0" wrapText="0" indent="0" justifyLastLine="0" shrinkToFit="0" readingOrder="0"/>
      <border diagonalUp="0" diagonalDown="0">
        <left/>
        <right/>
        <top style="thin">
          <color theme="1"/>
        </top>
        <bottom/>
        <vertical/>
        <horizontal/>
      </border>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border diagonalUp="0" diagonalDown="0">
        <left/>
        <right/>
        <top style="thin">
          <color theme="1"/>
        </top>
        <bottom/>
        <vertical/>
        <horizontal/>
      </border>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border diagonalUp="0" diagonalDown="0">
        <left/>
        <right/>
        <top style="thin">
          <color theme="1"/>
        </top>
        <bottom/>
        <vertical/>
        <horizontal/>
      </border>
    </dxf>
    <dxf>
      <font>
        <b val="0"/>
        <i val="0"/>
        <strike val="0"/>
        <condense val="0"/>
        <extend val="0"/>
        <outline val="0"/>
        <shadow val="0"/>
        <u val="none"/>
        <vertAlign val="baseline"/>
        <sz val="10"/>
        <color theme="1"/>
        <name val="Arial"/>
        <scheme val="none"/>
      </font>
      <fill>
        <patternFill patternType="solid">
          <fgColor indexed="64"/>
          <bgColor rgb="FF92D050"/>
        </patternFill>
      </fill>
      <alignment horizontal="center" vertical="bottom" textRotation="0" wrapText="0" indent="0" justifyLastLine="0" shrinkToFit="0" readingOrder="0"/>
      <border diagonalUp="0" diagonalDown="0">
        <left/>
        <right/>
        <top style="thin">
          <color theme="1"/>
        </top>
        <bottom/>
        <vertical/>
        <horizontal/>
      </border>
    </dxf>
    <dxf>
      <font>
        <b val="0"/>
        <i val="0"/>
        <strike val="0"/>
        <condense val="0"/>
        <extend val="0"/>
        <outline val="0"/>
        <shadow val="0"/>
        <u val="none"/>
        <vertAlign val="baseline"/>
        <sz val="10"/>
        <color theme="1"/>
        <name val="Arial"/>
        <scheme val="none"/>
      </font>
      <border diagonalUp="0" diagonalDown="0">
        <left/>
        <right/>
        <top style="thin">
          <color theme="1"/>
        </top>
        <bottom/>
        <vertical/>
        <horizontal/>
      </border>
    </dxf>
    <dxf>
      <border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dxf>
    <dxf>
      <font>
        <b/>
        <i val="0"/>
        <strike val="0"/>
        <condense val="0"/>
        <extend val="0"/>
        <outline val="0"/>
        <shadow val="0"/>
        <u val="none"/>
        <vertAlign val="baseline"/>
        <sz val="10"/>
        <color theme="0"/>
        <name val="Arial"/>
        <scheme val="none"/>
      </font>
      <fill>
        <patternFill patternType="solid">
          <fgColor theme="1"/>
          <bgColor theme="1"/>
        </patternFill>
      </fill>
    </dxf>
    <dxf>
      <alignment horizontal="center" vertical="bottom" textRotation="0" wrapText="0" indent="0" justifyLastLine="0" shrinkToFit="0" readingOrder="0"/>
    </dxf>
    <dxf>
      <font>
        <b val="0"/>
        <i val="0"/>
        <strike val="0"/>
        <condense val="0"/>
        <extend val="0"/>
        <outline val="0"/>
        <shadow val="0"/>
        <u val="none"/>
        <vertAlign val="baseline"/>
        <sz val="10"/>
        <color rgb="FF000000"/>
        <name val="Arial"/>
        <scheme val="none"/>
      </font>
      <numFmt numFmtId="19" formatCode="d/mm/yyyy"/>
      <alignment horizontal="center" vertical="bottom" textRotation="0" wrapText="0" indent="0" justifyLastLine="0" shrinkToFit="0" readingOrder="0"/>
      <border diagonalUp="0" diagonalDown="0" outline="0">
        <left/>
        <right/>
        <top style="thin">
          <color theme="1"/>
        </top>
        <bottom/>
      </border>
    </dxf>
    <dxf>
      <font>
        <b val="0"/>
        <i val="0"/>
        <strike val="0"/>
        <condense val="0"/>
        <extend val="0"/>
        <outline val="0"/>
        <shadow val="0"/>
        <u val="none"/>
        <vertAlign val="baseline"/>
        <sz val="10"/>
        <color rgb="FF000000"/>
        <name val="Arial"/>
        <scheme val="none"/>
      </font>
      <alignment horizontal="center" vertical="bottom" textRotation="0" wrapText="0" indent="0" justifyLastLine="0" shrinkToFit="0" readingOrder="0"/>
      <border diagonalUp="0" diagonalDown="0" outline="0">
        <left/>
        <right/>
        <top style="thin">
          <color theme="1"/>
        </top>
        <bottom/>
      </border>
    </dxf>
    <dxf>
      <font>
        <b val="0"/>
        <i val="0"/>
        <strike val="0"/>
        <condense val="0"/>
        <extend val="0"/>
        <outline val="0"/>
        <shadow val="0"/>
        <u val="none"/>
        <vertAlign val="baseline"/>
        <sz val="10"/>
        <color rgb="FF000000"/>
        <name val="Arial"/>
        <scheme val="none"/>
      </font>
      <numFmt numFmtId="0" formatCode="General"/>
      <alignment horizontal="center" vertical="bottom" textRotation="0" wrapText="0" indent="0" justifyLastLine="0" shrinkToFit="0" readingOrder="0"/>
      <border diagonalUp="0" diagonalDown="0" outline="0">
        <left/>
        <right/>
        <top style="thin">
          <color theme="1"/>
        </top>
        <bottom/>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rgb="FF92D050"/>
        </patternFill>
      </fill>
      <alignment horizontal="center" vertical="bottom" textRotation="0" wrapText="0" indent="0" justifyLastLine="0" shrinkToFit="0" readingOrder="0"/>
      <border diagonalUp="0" diagonalDown="0" outline="0">
        <left/>
        <right/>
        <top style="thin">
          <color theme="1"/>
        </top>
        <bottom/>
      </border>
    </dxf>
    <dxf>
      <font>
        <b val="0"/>
        <i val="0"/>
        <strike val="0"/>
        <condense val="0"/>
        <extend val="0"/>
        <outline val="0"/>
        <shadow val="0"/>
        <u val="none"/>
        <vertAlign val="baseline"/>
        <sz val="10"/>
        <color theme="1"/>
        <name val="Arial"/>
        <scheme val="none"/>
      </font>
      <numFmt numFmtId="0" formatCode="General"/>
      <border diagonalUp="0" diagonalDown="0" outline="0">
        <left/>
        <right/>
        <top style="thin">
          <color theme="1"/>
        </top>
        <bottom/>
      </border>
    </dxf>
    <dxf>
      <border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0"/>
        <name val="Arial"/>
        <scheme val="none"/>
      </font>
      <fill>
        <patternFill patternType="solid">
          <fgColor theme="1"/>
          <bgColor theme="1"/>
        </patternFill>
      </fill>
    </dxf>
    <dxf>
      <font>
        <b val="0"/>
        <i val="0"/>
        <strike val="0"/>
        <condense val="0"/>
        <extend val="0"/>
        <outline val="0"/>
        <shadow val="0"/>
        <u val="none"/>
        <vertAlign val="baseline"/>
        <sz val="10"/>
        <color rgb="FF000000"/>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rgb="FF000000"/>
        <name val="Arial"/>
        <scheme val="none"/>
      </font>
      <numFmt numFmtId="19" formatCode="d/mm/yyyy"/>
      <alignment horizontal="center" vertical="bottom" textRotation="0" wrapText="0" indent="0" justifyLastLine="0" shrinkToFit="0" readingOrder="0"/>
    </dxf>
    <dxf>
      <font>
        <b val="0"/>
        <i val="0"/>
        <strike val="0"/>
        <condense val="0"/>
        <extend val="0"/>
        <outline val="0"/>
        <shadow val="0"/>
        <u val="none"/>
        <vertAlign val="baseline"/>
        <sz val="10"/>
        <color rgb="FF000000"/>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rgb="FF000000"/>
        <name val="Arial"/>
        <scheme val="none"/>
      </font>
      <numFmt numFmtId="0" formatCode="General"/>
      <alignment horizontal="center" vertical="bottom" textRotation="0" wrapText="0" indent="0" justifyLastLine="0" shrinkToFit="0" readingOrder="0"/>
    </dxf>
    <dxf>
      <font>
        <b val="0"/>
        <i val="0"/>
        <strike val="0"/>
        <condense val="0"/>
        <extend val="0"/>
        <outline val="0"/>
        <shadow val="0"/>
        <u val="none"/>
        <vertAlign val="baseline"/>
        <sz val="10"/>
        <color rgb="FF000000"/>
        <name val="Arial"/>
        <scheme val="none"/>
      </font>
      <numFmt numFmtId="0" formatCode="General"/>
      <alignment horizontal="center" vertical="bottom" textRotation="0" wrapText="0" indent="0" justifyLastLine="0" shrinkToFit="0" readingOrder="0"/>
    </dxf>
    <dxf>
      <font>
        <b val="0"/>
        <i val="0"/>
        <strike val="0"/>
        <condense val="0"/>
        <extend val="0"/>
        <outline val="0"/>
        <shadow val="0"/>
        <u val="none"/>
        <vertAlign val="baseline"/>
        <sz val="10"/>
        <color rgb="FF000000"/>
        <name val="Arial"/>
        <scheme val="none"/>
      </font>
      <numFmt numFmtId="0" formatCode="General"/>
    </dxf>
    <dxf>
      <font>
        <b val="0"/>
        <i val="0"/>
        <strike val="0"/>
        <condense val="0"/>
        <extend val="0"/>
        <outline val="0"/>
        <shadow val="0"/>
        <u val="none"/>
        <vertAlign val="baseline"/>
        <sz val="10"/>
        <color rgb="FF000000"/>
        <name val="Arial"/>
        <scheme val="none"/>
      </font>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dxf>
    <dxf>
      <font>
        <b val="0"/>
        <i val="0"/>
        <strike val="0"/>
        <condense val="0"/>
        <extend val="0"/>
        <outline val="0"/>
        <shadow val="0"/>
        <u val="none"/>
        <vertAlign val="baseline"/>
        <sz val="10"/>
        <color theme="1"/>
        <name val="Arial"/>
        <scheme val="none"/>
      </font>
    </dxf>
    <dxf>
      <font>
        <b val="0"/>
        <i val="0"/>
        <strike val="0"/>
        <condense val="0"/>
        <extend val="0"/>
        <outline val="0"/>
        <shadow val="0"/>
        <u val="none"/>
        <vertAlign val="baseline"/>
        <sz val="10"/>
        <color theme="1"/>
        <name val="Arial"/>
        <scheme val="none"/>
      </font>
      <alignment horizontal="center" vertical="bottom" textRotation="0" indent="0" justifyLastLine="0" shrinkToFit="0" readingOrder="0"/>
    </dxf>
    <dxf>
      <font>
        <b val="0"/>
        <i val="0"/>
        <strike val="0"/>
        <condense val="0"/>
        <extend val="0"/>
        <outline val="0"/>
        <shadow val="0"/>
        <u val="none"/>
        <vertAlign val="baseline"/>
        <sz val="10"/>
        <color theme="1"/>
        <name val="Arial"/>
        <scheme val="none"/>
      </font>
      <alignment horizontal="center" vertical="bottom" textRotation="0" indent="0" justifyLastLine="0" shrinkToFit="0" readingOrder="0"/>
    </dxf>
    <dxf>
      <font>
        <b val="0"/>
        <i val="0"/>
        <strike val="0"/>
        <condense val="0"/>
        <extend val="0"/>
        <outline val="0"/>
        <shadow val="0"/>
        <u val="none"/>
        <vertAlign val="baseline"/>
        <sz val="10"/>
        <color theme="1"/>
        <name val="Arial"/>
        <scheme val="none"/>
      </font>
      <numFmt numFmtId="19" formatCode="d/mm/yyyy"/>
      <alignment horizontal="center" vertical="bottom" textRotation="0" indent="0" justifyLastLine="0" shrinkToFit="0" readingOrder="0"/>
    </dxf>
    <dxf>
      <font>
        <b val="0"/>
        <i val="0"/>
        <strike val="0"/>
        <condense val="0"/>
        <extend val="0"/>
        <outline val="0"/>
        <shadow val="0"/>
        <u val="none"/>
        <vertAlign val="baseline"/>
        <sz val="10"/>
        <color theme="1"/>
        <name val="Arial"/>
        <scheme val="none"/>
      </font>
      <alignment horizontal="center" vertical="bottom" textRotation="0" indent="0" justifyLastLine="0" shrinkToFit="0" readingOrder="0"/>
    </dxf>
    <dxf>
      <font>
        <b val="0"/>
        <i val="0"/>
        <strike val="0"/>
        <condense val="0"/>
        <extend val="0"/>
        <outline val="0"/>
        <shadow val="0"/>
        <u val="none"/>
        <vertAlign val="baseline"/>
        <sz val="10"/>
        <color theme="1"/>
        <name val="Arial"/>
        <scheme val="none"/>
      </font>
      <alignment horizontal="center" vertical="bottom" textRotation="0" indent="0" justifyLastLine="0" shrinkToFit="0" readingOrder="0"/>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dxf>
    <dxf>
      <font>
        <b val="0"/>
        <i val="0"/>
        <strike val="0"/>
        <condense val="0"/>
        <extend val="0"/>
        <outline val="0"/>
        <shadow val="0"/>
        <u val="none"/>
        <vertAlign val="baseline"/>
        <sz val="10"/>
        <color theme="1"/>
        <name val="Arial"/>
        <scheme val="none"/>
      </font>
    </dxf>
    <dxf>
      <font>
        <b/>
        <i/>
      </font>
      <fill>
        <patternFill>
          <bgColor theme="0" tint="-0.24994659260841701"/>
        </patternFill>
      </fill>
    </dxf>
    <dxf>
      <fill>
        <patternFill>
          <bgColor theme="0" tint="-0.14996795556505021"/>
        </patternFill>
      </fill>
    </dxf>
    <dxf>
      <font>
        <b val="0"/>
        <i/>
      </font>
      <fill>
        <patternFill>
          <bgColor theme="4" tint="0.79998168889431442"/>
        </patternFill>
      </fill>
    </dxf>
    <dxf>
      <font>
        <b val="0"/>
        <i/>
      </font>
      <fill>
        <patternFill>
          <bgColor theme="4" tint="0.79998168889431442"/>
        </patternFill>
      </fill>
    </dxf>
    <dxf>
      <font>
        <b/>
        <i/>
        <color rgb="FFFF0000"/>
      </font>
    </dxf>
    <dxf>
      <font>
        <b/>
        <i/>
      </font>
      <fill>
        <patternFill>
          <bgColor theme="0" tint="-0.14996795556505021"/>
        </patternFill>
      </fill>
    </dxf>
    <dxf>
      <fill>
        <patternFill>
          <bgColor theme="0" tint="-0.14996795556505021"/>
        </patternFill>
      </fill>
    </dxf>
    <dxf>
      <font>
        <b val="0"/>
        <i/>
      </font>
      <fill>
        <patternFill>
          <bgColor theme="4" tint="0.79998168889431442"/>
        </patternFill>
      </fill>
    </dxf>
    <dxf>
      <font>
        <b val="0"/>
        <i/>
      </font>
      <fill>
        <patternFill>
          <bgColor theme="4" tint="0.79998168889431442"/>
        </patternFill>
      </fill>
    </dxf>
    <dxf>
      <font>
        <b val="0"/>
        <i/>
      </font>
      <fill>
        <patternFill>
          <bgColor theme="4" tint="0.79998168889431442"/>
        </patternFill>
      </fill>
    </dxf>
    <dxf>
      <font>
        <b/>
        <i/>
        <color rgb="FFFF0000"/>
      </font>
    </dxf>
  </dxfs>
  <tableStyles count="0" defaultTableStyle="TableStyleMedium2" defaultPivotStyle="PivotStyleLight16"/>
  <colors>
    <mruColors>
      <color rgb="FFFFE699"/>
      <color rgb="FFB4FFFF"/>
      <color rgb="FF0D4B6D"/>
      <color rgb="FF919296"/>
      <color rgb="FFF2F2F2"/>
      <color rgb="FFB4C6E7"/>
      <color rgb="FFF49AC1"/>
      <color rgb="FF808080"/>
      <color rgb="FFD1D2D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hyperlink" Target="https://students.connect.curtin.edu.au/app/contact/session/L3RpbWUvMTYzODE2Mjc5Ni9zaWQvZlU4N1lreWpQTThxTG00eW9qZkczRmF1OU9SZUNydEhiUjFTSjJWX1J0RTduS0tON1hEY3RESDNxNSU3RWVCSTk5Rzg4dU1Fb05VMHFKek94RWRRVVNLUzdIdFJNMSU3RVZ6ZEx1MDNHNnlxUXpwcDRTelc3ZDRjUkpwUSUy" TargetMode="External"/><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hyperlink" Target="https://students.connect.curtin.edu.au/app/contact/session/L3RpbWUvMTYzODE2Mjc5Ni9zaWQvZlU4N1lreWpQTThxTG00eW9qZkczRmF1OU9SZUNydEhiUjFTSjJWX1J0RTduS0tON1hEY3RESDNxNSU3RWVCSTk5Rzg4dU1Fb05VMHFKek94RWRRVVNLUzdIdFJNMSU3RVZ6ZEx1MDNHNnlxUXpwcDRTelc3ZDRjUkpwUSUy" TargetMode="External"/><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13</xdr:col>
      <xdr:colOff>180976</xdr:colOff>
      <xdr:row>3</xdr:row>
      <xdr:rowOff>66676</xdr:rowOff>
    </xdr:from>
    <xdr:to>
      <xdr:col>21</xdr:col>
      <xdr:colOff>323851</xdr:colOff>
      <xdr:row>22</xdr:row>
      <xdr:rowOff>219075</xdr:rowOff>
    </xdr:to>
    <xdr:sp macro="" textlink="">
      <xdr:nvSpPr>
        <xdr:cNvPr id="2" name="TextBox 1">
          <a:extLst>
            <a:ext uri="{FF2B5EF4-FFF2-40B4-BE49-F238E27FC236}">
              <a16:creationId xmlns:a16="http://schemas.microsoft.com/office/drawing/2014/main" id="{00000000-0008-0000-0000-000006000000}"/>
            </a:ext>
          </a:extLst>
        </xdr:cNvPr>
        <xdr:cNvSpPr txBox="1"/>
      </xdr:nvSpPr>
      <xdr:spPr>
        <a:xfrm>
          <a:off x="10906126" y="571501"/>
          <a:ext cx="5629275" cy="4714874"/>
        </a:xfrm>
        <a:prstGeom prst="rect">
          <a:avLst/>
        </a:prstGeom>
        <a:solidFill>
          <a:schemeClr val="bg1">
            <a:lumMod val="8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rtl="0" fontAlgn="base"/>
          <a:r>
            <a:rPr lang="en-AU" sz="1100" b="1" i="0">
              <a:solidFill>
                <a:schemeClr val="dk1"/>
              </a:solidFill>
              <a:effectLst/>
              <a:latin typeface="+mn-lt"/>
              <a:ea typeface="+mn-ea"/>
              <a:cs typeface="+mn-cs"/>
            </a:rPr>
            <a:t>Enrolment Guidelines</a:t>
          </a:r>
        </a:p>
        <a:p>
          <a:pPr algn="ctr" rtl="0" fontAlgn="base"/>
          <a:r>
            <a:rPr lang="en-AU" b="1">
              <a:effectLst/>
            </a:rPr>
            <a:t>Bachelor of Urban and Regional Planning</a:t>
          </a:r>
        </a:p>
        <a:p>
          <a:endParaRPr lang="en-AU">
            <a:effectLst/>
          </a:endParaRPr>
        </a:p>
        <a:p>
          <a:pPr algn="ctr"/>
          <a:r>
            <a:rPr lang="en-AU" sz="1100" i="1">
              <a:solidFill>
                <a:schemeClr val="dk1"/>
              </a:solidFill>
              <a:effectLst/>
              <a:latin typeface="+mn-lt"/>
              <a:ea typeface="+mn-ea"/>
              <a:cs typeface="+mn-cs"/>
            </a:rPr>
            <a:t>Use the drop-down lists</a:t>
          </a:r>
          <a:r>
            <a:rPr lang="en-AU" sz="1100" i="1" baseline="0">
              <a:solidFill>
                <a:schemeClr val="dk1"/>
              </a:solidFill>
              <a:effectLst/>
              <a:latin typeface="+mn-lt"/>
              <a:ea typeface="+mn-ea"/>
              <a:cs typeface="+mn-cs"/>
            </a:rPr>
            <a:t> to select your Course, Specialisation &amp; Commencing Study Period.</a:t>
          </a:r>
          <a:endParaRPr lang="en-AU">
            <a:effectLst/>
          </a:endParaRPr>
        </a:p>
        <a:p>
          <a:pPr rtl="0" fontAlgn="base"/>
          <a:endParaRPr lang="en-AU" sz="1100" b="0" i="0">
            <a:solidFill>
              <a:schemeClr val="dk1"/>
            </a:solidFill>
            <a:effectLst/>
            <a:latin typeface="+mn-lt"/>
            <a:ea typeface="+mn-ea"/>
            <a:cs typeface="+mn-cs"/>
          </a:endParaRPr>
        </a:p>
        <a:p>
          <a:pPr rtl="0" fontAlgn="base"/>
          <a:r>
            <a:rPr lang="en-AU" sz="1100" b="0" i="0">
              <a:solidFill>
                <a:schemeClr val="dk1"/>
              </a:solidFill>
              <a:effectLst/>
              <a:latin typeface="+mn-lt"/>
              <a:ea typeface="+mn-ea"/>
              <a:cs typeface="+mn-cs"/>
            </a:rPr>
            <a:t>This planner shows the recommended sequence of </a:t>
          </a:r>
          <a:r>
            <a:rPr lang="en-AU" sz="1100" b="1" i="0">
              <a:solidFill>
                <a:schemeClr val="dk1"/>
              </a:solidFill>
              <a:effectLst/>
              <a:latin typeface="+mn-lt"/>
              <a:ea typeface="+mn-ea"/>
              <a:cs typeface="+mn-cs"/>
            </a:rPr>
            <a:t>full-time study </a:t>
          </a:r>
          <a:r>
            <a:rPr lang="en-AU" sz="1100" b="0" i="0">
              <a:solidFill>
                <a:schemeClr val="dk1"/>
              </a:solidFill>
              <a:effectLst/>
              <a:latin typeface="+mn-lt"/>
              <a:ea typeface="+mn-ea"/>
              <a:cs typeface="+mn-cs"/>
            </a:rPr>
            <a:t>based on your study period of commencement.</a:t>
          </a:r>
          <a:r>
            <a:rPr lang="en-AU" sz="1100" b="0" i="0" baseline="0">
              <a:solidFill>
                <a:schemeClr val="dk1"/>
              </a:solidFill>
              <a:effectLst/>
              <a:latin typeface="+mn-lt"/>
              <a:ea typeface="+mn-ea"/>
              <a:cs typeface="+mn-cs"/>
            </a:rPr>
            <a:t> </a:t>
          </a:r>
          <a:r>
            <a:rPr lang="en-AU" sz="1100" b="0" i="0">
              <a:solidFill>
                <a:schemeClr val="dk1"/>
              </a:solidFill>
              <a:effectLst/>
              <a:latin typeface="+mn-lt"/>
              <a:ea typeface="+mn-ea"/>
              <a:cs typeface="+mn-cs"/>
            </a:rPr>
            <a:t>The standard full-time study load is </a:t>
          </a:r>
          <a:r>
            <a:rPr lang="en-AU" sz="1100" b="1" i="0">
              <a:solidFill>
                <a:schemeClr val="dk1"/>
              </a:solidFill>
              <a:effectLst/>
              <a:latin typeface="+mn-lt"/>
              <a:ea typeface="+mn-ea"/>
              <a:cs typeface="+mn-cs"/>
            </a:rPr>
            <a:t>100 credit points per semester</a:t>
          </a:r>
          <a:r>
            <a:rPr lang="en-AU" sz="1100" b="0" i="0">
              <a:solidFill>
                <a:schemeClr val="dk1"/>
              </a:solidFill>
              <a:effectLst/>
              <a:latin typeface="+mn-lt"/>
              <a:ea typeface="+mn-ea"/>
              <a:cs typeface="+mn-cs"/>
            </a:rPr>
            <a:t>. Units may not be offered in every study period and may not be available at the time that you wish to study them. Your progression in the degree may be affected if you do not follow the </a:t>
          </a:r>
          <a:r>
            <a:rPr lang="en-AU" sz="1100" b="0" i="0">
              <a:solidFill>
                <a:sysClr val="windowText" lastClr="000000"/>
              </a:solidFill>
              <a:effectLst/>
              <a:latin typeface="+mn-lt"/>
              <a:ea typeface="+mn-ea"/>
              <a:cs typeface="+mn-cs"/>
            </a:rPr>
            <a:t>recommended sequence of enrolment.</a:t>
          </a:r>
        </a:p>
        <a:p>
          <a:pPr rtl="0" fontAlgn="base"/>
          <a:endParaRPr lang="en-AU">
            <a:solidFill>
              <a:sysClr val="windowText" lastClr="000000"/>
            </a:solidFill>
            <a:effectLst/>
          </a:endParaRPr>
        </a:p>
        <a:p>
          <a:pPr rtl="0" eaLnBrk="1" fontAlgn="base" latinLnBrk="0" hangingPunct="1"/>
          <a:r>
            <a:rPr lang="en-AU" sz="1100" b="0" i="0">
              <a:solidFill>
                <a:sysClr val="windowText" lastClr="000000"/>
              </a:solidFill>
              <a:effectLst/>
              <a:latin typeface="+mn-lt"/>
              <a:ea typeface="+mn-ea"/>
              <a:cs typeface="+mn-cs"/>
            </a:rPr>
            <a:t>If you wish to enrol in a part-time load,</a:t>
          </a:r>
          <a:r>
            <a:rPr lang="en-AU" sz="1100" b="0" i="0" baseline="0">
              <a:solidFill>
                <a:sysClr val="windowText" lastClr="000000"/>
              </a:solidFill>
              <a:effectLst/>
              <a:latin typeface="+mn-lt"/>
              <a:ea typeface="+mn-ea"/>
              <a:cs typeface="+mn-cs"/>
            </a:rPr>
            <a:t> </a:t>
          </a:r>
          <a:r>
            <a:rPr lang="en-AU" sz="1100" b="0" i="0">
              <a:solidFill>
                <a:sysClr val="windowText" lastClr="000000"/>
              </a:solidFill>
              <a:effectLst/>
              <a:latin typeface="+mn-lt"/>
              <a:ea typeface="+mn-ea"/>
              <a:cs typeface="+mn-cs"/>
            </a:rPr>
            <a:t>or have CRL Approval</a:t>
          </a:r>
          <a:r>
            <a:rPr lang="en-AU" sz="1100" b="0" i="0" baseline="0">
              <a:solidFill>
                <a:sysClr val="windowText" lastClr="000000"/>
              </a:solidFill>
              <a:effectLst/>
              <a:latin typeface="+mn-lt"/>
              <a:ea typeface="+mn-ea"/>
              <a:cs typeface="+mn-cs"/>
            </a:rPr>
            <a:t>, </a:t>
          </a:r>
          <a:r>
            <a:rPr lang="en-AU" sz="1100" b="0" i="0">
              <a:solidFill>
                <a:sysClr val="windowText" lastClr="000000"/>
              </a:solidFill>
              <a:effectLst/>
              <a:latin typeface="+mn-lt"/>
              <a:ea typeface="+mn-ea"/>
              <a:cs typeface="+mn-cs"/>
            </a:rPr>
            <a:t>please contact</a:t>
          </a:r>
          <a:r>
            <a:rPr lang="en-AU" sz="1100" b="0" i="0" baseline="0">
              <a:solidFill>
                <a:sysClr val="windowText" lastClr="000000"/>
              </a:solidFill>
              <a:effectLst/>
              <a:latin typeface="+mn-lt"/>
              <a:ea typeface="+mn-ea"/>
              <a:cs typeface="+mn-cs"/>
            </a:rPr>
            <a:t> </a:t>
          </a:r>
          <a:r>
            <a:rPr lang="en-AU" sz="1100" b="0" i="0">
              <a:solidFill>
                <a:sysClr val="windowText" lastClr="000000"/>
              </a:solidFill>
              <a:effectLst/>
              <a:latin typeface="+mn-lt"/>
              <a:ea typeface="+mn-ea"/>
              <a:cs typeface="+mn-cs"/>
            </a:rPr>
            <a:t>your</a:t>
          </a:r>
          <a:r>
            <a:rPr lang="en-AU" sz="1100" b="0" i="0" baseline="0">
              <a:solidFill>
                <a:sysClr val="windowText" lastClr="000000"/>
              </a:solidFill>
              <a:effectLst/>
              <a:latin typeface="+mn-lt"/>
              <a:ea typeface="+mn-ea"/>
              <a:cs typeface="+mn-cs"/>
            </a:rPr>
            <a:t> Course Coordinator (Email: urbanandregionalplanning@curtin.edu.au) or </a:t>
          </a:r>
          <a:r>
            <a:rPr lang="en-AU" sz="1100" b="0" i="0">
              <a:solidFill>
                <a:sysClr val="windowText" lastClr="000000"/>
              </a:solidFill>
              <a:effectLst/>
              <a:latin typeface="+mn-lt"/>
              <a:ea typeface="+mn-ea"/>
              <a:cs typeface="+mn-cs"/>
            </a:rPr>
            <a:t>please select one or two units from those listed for each study period.</a:t>
          </a:r>
          <a:endParaRPr lang="en-AU">
            <a:solidFill>
              <a:sysClr val="windowText" lastClr="000000"/>
            </a:solidFill>
            <a:effectLst/>
          </a:endParaRPr>
        </a:p>
        <a:p>
          <a:endParaRPr lang="en-AU" sz="1100">
            <a:solidFill>
              <a:schemeClr val="dk1"/>
            </a:solidFill>
            <a:effectLst/>
            <a:latin typeface="+mn-lt"/>
            <a:ea typeface="+mn-ea"/>
            <a:cs typeface="+mn-cs"/>
          </a:endParaRPr>
        </a:p>
        <a:p>
          <a:pPr rtl="0" fontAlgn="base"/>
          <a:r>
            <a:rPr lang="en-AU" sz="1100" b="1" i="0">
              <a:solidFill>
                <a:schemeClr val="dk1"/>
              </a:solidFill>
              <a:effectLst/>
              <a:latin typeface="+mn-lt"/>
              <a:ea typeface="+mn-ea"/>
              <a:cs typeface="+mn-cs"/>
            </a:rPr>
            <a:t>Notes for International Students </a:t>
          </a:r>
          <a:r>
            <a:rPr lang="en-AU" sz="1100" b="0" i="0">
              <a:solidFill>
                <a:schemeClr val="dk1"/>
              </a:solidFill>
              <a:effectLst/>
              <a:latin typeface="+mn-lt"/>
              <a:ea typeface="+mn-ea"/>
              <a:cs typeface="+mn-cs"/>
            </a:rPr>
            <a:t> </a:t>
          </a:r>
          <a:endParaRPr lang="en-AU">
            <a:effectLst/>
          </a:endParaRPr>
        </a:p>
        <a:p>
          <a:pPr rtl="0" fontAlgn="base"/>
          <a:r>
            <a:rPr lang="en-AU" sz="1100" b="0" i="0">
              <a:solidFill>
                <a:schemeClr val="dk1"/>
              </a:solidFill>
              <a:effectLst/>
              <a:latin typeface="+mn-lt"/>
              <a:ea typeface="+mn-ea"/>
              <a:cs typeface="+mn-cs"/>
            </a:rPr>
            <a:t>You are expected to study all of your units face-to-face for at least the first year of your course. </a:t>
          </a:r>
          <a:endParaRPr lang="en-AU">
            <a:effectLst/>
          </a:endParaRPr>
        </a:p>
        <a:p>
          <a:pPr rtl="0" fontAlgn="base"/>
          <a:r>
            <a:rPr lang="en-AU" sz="1100" b="0" i="0">
              <a:solidFill>
                <a:schemeClr val="dk1"/>
              </a:solidFill>
              <a:effectLst/>
              <a:latin typeface="+mn-lt"/>
              <a:ea typeface="+mn-ea"/>
              <a:cs typeface="+mn-cs"/>
            </a:rPr>
            <a:t>It is your responsibility to ensure that you meet all conditions of your student visa.  </a:t>
          </a:r>
          <a:endParaRPr lang="en-AU">
            <a:effectLst/>
          </a:endParaRPr>
        </a:p>
        <a:p>
          <a:endParaRPr lang="en-AU" sz="1100">
            <a:solidFill>
              <a:schemeClr val="dk1"/>
            </a:solidFill>
            <a:effectLst/>
            <a:latin typeface="+mn-lt"/>
            <a:ea typeface="+mn-ea"/>
            <a:cs typeface="+mn-cs"/>
          </a:endParaRPr>
        </a:p>
        <a:p>
          <a:r>
            <a:rPr lang="en-AU" sz="1100" b="1">
              <a:solidFill>
                <a:schemeClr val="dk1"/>
              </a:solidFill>
              <a:effectLst/>
              <a:latin typeface="+mn-lt"/>
              <a:ea typeface="+mn-ea"/>
              <a:cs typeface="+mn-cs"/>
            </a:rPr>
            <a:t>Need more support? </a:t>
          </a:r>
          <a:endParaRPr lang="en-AU">
            <a:effectLst/>
          </a:endParaRPr>
        </a:p>
        <a:p>
          <a:r>
            <a:rPr lang="en-AU" sz="1100" b="0">
              <a:solidFill>
                <a:schemeClr val="dk1"/>
              </a:solidFill>
              <a:effectLst/>
              <a:latin typeface="+mn-lt"/>
              <a:ea typeface="+mn-ea"/>
              <a:cs typeface="+mn-cs"/>
            </a:rPr>
            <a:t>This planner is designed to be used in conjunction with the information provided by Curtin Connect on the Student Essentials webpages. If you have any questions regarding your enrolment, please contact Curtin Connect.</a:t>
          </a:r>
          <a:endParaRPr lang="en-AU">
            <a:effectLst/>
          </a:endParaRPr>
        </a:p>
        <a:p>
          <a:endParaRPr lang="en-AU" b="0"/>
        </a:p>
        <a:p>
          <a:pPr rtl="0" fontAlgn="base"/>
          <a:r>
            <a:rPr lang="en-AU" sz="1100" b="1" i="0">
              <a:solidFill>
                <a:schemeClr val="dk1"/>
              </a:solidFill>
              <a:effectLst/>
              <a:latin typeface="+mn-lt"/>
              <a:ea typeface="+mn-ea"/>
              <a:cs typeface="+mn-cs"/>
            </a:rPr>
            <a:t>Note:</a:t>
          </a:r>
          <a:endParaRPr lang="en-AU">
            <a:effectLst/>
          </a:endParaRPr>
        </a:p>
        <a:p>
          <a:pPr rtl="0" fontAlgn="base"/>
          <a:r>
            <a:rPr lang="en-AU" sz="800" b="0" i="0" baseline="0">
              <a:solidFill>
                <a:schemeClr val="dk1"/>
              </a:solidFill>
              <a:effectLst/>
              <a:latin typeface="+mn-lt"/>
              <a:ea typeface="+mn-ea"/>
              <a:cs typeface="+mn-cs"/>
            </a:rPr>
            <a:t>CP = Credit Points; Sem1 = Semester 1; Sem2 = Semester 2; BEN = unit available face-to-face at Curtin University, Bentley Campus; FO = unit available Fully Online</a:t>
          </a:r>
          <a:endParaRPr lang="en-AU" sz="800">
            <a:effectLst/>
          </a:endParaRPr>
        </a:p>
      </xdr:txBody>
    </xdr:sp>
    <xdr:clientData/>
  </xdr:twoCellAnchor>
  <xdr:twoCellAnchor>
    <xdr:from>
      <xdr:col>8</xdr:col>
      <xdr:colOff>314325</xdr:colOff>
      <xdr:row>2</xdr:row>
      <xdr:rowOff>76199</xdr:rowOff>
    </xdr:from>
    <xdr:to>
      <xdr:col>11</xdr:col>
      <xdr:colOff>1115290</xdr:colOff>
      <xdr:row>2</xdr:row>
      <xdr:rowOff>409574</xdr:rowOff>
    </xdr:to>
    <xdr:pic>
      <xdr:nvPicPr>
        <xdr:cNvPr id="3" name="Picture 2" title="Curtin University logo">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7410450" y="266699"/>
          <a:ext cx="1858240"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17</xdr:col>
      <xdr:colOff>561976</xdr:colOff>
      <xdr:row>19</xdr:row>
      <xdr:rowOff>95251</xdr:rowOff>
    </xdr:from>
    <xdr:to>
      <xdr:col>21</xdr:col>
      <xdr:colOff>238126</xdr:colOff>
      <xdr:row>20</xdr:row>
      <xdr:rowOff>171451</xdr:rowOff>
    </xdr:to>
    <xdr:sp macro="" textlink="">
      <xdr:nvSpPr>
        <xdr:cNvPr id="4" name="TextBox 3">
          <a:hlinkClick xmlns:r="http://schemas.openxmlformats.org/officeDocument/2006/relationships" r:id="rId2"/>
          <a:extLst>
            <a:ext uri="{FF2B5EF4-FFF2-40B4-BE49-F238E27FC236}">
              <a16:creationId xmlns:a16="http://schemas.microsoft.com/office/drawing/2014/main" id="{00000000-0008-0000-0000-000005000000}"/>
            </a:ext>
          </a:extLst>
        </xdr:cNvPr>
        <xdr:cNvSpPr txBox="1"/>
      </xdr:nvSpPr>
      <xdr:spPr>
        <a:xfrm>
          <a:off x="14030326" y="4419601"/>
          <a:ext cx="2419350" cy="323850"/>
        </a:xfrm>
        <a:prstGeom prst="rect">
          <a:avLst/>
        </a:prstGeom>
        <a:solidFill>
          <a:schemeClr val="bg1">
            <a:lumMod val="6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Curtin Connect website</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180976</xdr:colOff>
      <xdr:row>3</xdr:row>
      <xdr:rowOff>95252</xdr:rowOff>
    </xdr:from>
    <xdr:to>
      <xdr:col>21</xdr:col>
      <xdr:colOff>323851</xdr:colOff>
      <xdr:row>16</xdr:row>
      <xdr:rowOff>133351</xdr:rowOff>
    </xdr:to>
    <xdr:sp macro="" textlink="">
      <xdr:nvSpPr>
        <xdr:cNvPr id="2" name="TextBox 1">
          <a:extLst>
            <a:ext uri="{FF2B5EF4-FFF2-40B4-BE49-F238E27FC236}">
              <a16:creationId xmlns:a16="http://schemas.microsoft.com/office/drawing/2014/main" id="{00000000-0008-0000-0000-000006000000}"/>
            </a:ext>
          </a:extLst>
        </xdr:cNvPr>
        <xdr:cNvSpPr txBox="1"/>
      </xdr:nvSpPr>
      <xdr:spPr>
        <a:xfrm>
          <a:off x="11515726" y="600077"/>
          <a:ext cx="5629275" cy="3114674"/>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fontAlgn="base"/>
          <a:r>
            <a:rPr lang="en-AU" sz="1100" b="1" i="0">
              <a:solidFill>
                <a:schemeClr val="dk1"/>
              </a:solidFill>
              <a:effectLst/>
              <a:latin typeface="+mn-lt"/>
              <a:ea typeface="+mn-ea"/>
              <a:cs typeface="+mn-cs"/>
            </a:rPr>
            <a:t>Enrolment Guidelines</a:t>
          </a:r>
          <a:r>
            <a:rPr lang="en-AU" sz="1100" b="0" i="0">
              <a:solidFill>
                <a:schemeClr val="dk1"/>
              </a:solidFill>
              <a:effectLst/>
              <a:latin typeface="+mn-lt"/>
              <a:ea typeface="+mn-ea"/>
              <a:cs typeface="+mn-cs"/>
            </a:rPr>
            <a:t> </a:t>
          </a:r>
          <a:endParaRPr lang="en-AU">
            <a:effectLst/>
          </a:endParaRPr>
        </a:p>
        <a:p>
          <a:pPr rtl="0" fontAlgn="base"/>
          <a:r>
            <a:rPr lang="en-AU" sz="1100" b="0" i="0">
              <a:solidFill>
                <a:schemeClr val="dk1"/>
              </a:solidFill>
              <a:effectLst/>
              <a:latin typeface="+mn-lt"/>
              <a:ea typeface="+mn-ea"/>
              <a:cs typeface="+mn-cs"/>
            </a:rPr>
            <a:t>This planner shows the recommended sequence of full-time study based on your study period of commencement.</a:t>
          </a:r>
          <a:r>
            <a:rPr lang="en-AU" sz="1100" b="0" i="0" baseline="0">
              <a:solidFill>
                <a:schemeClr val="dk1"/>
              </a:solidFill>
              <a:effectLst/>
              <a:latin typeface="+mn-lt"/>
              <a:ea typeface="+mn-ea"/>
              <a:cs typeface="+mn-cs"/>
            </a:rPr>
            <a:t> </a:t>
          </a:r>
          <a:r>
            <a:rPr lang="en-AU" sz="1100" b="0" i="0">
              <a:solidFill>
                <a:schemeClr val="dk1"/>
              </a:solidFill>
              <a:effectLst/>
              <a:latin typeface="+mn-lt"/>
              <a:ea typeface="+mn-ea"/>
              <a:cs typeface="+mn-cs"/>
            </a:rPr>
            <a:t>The standard full-time study load is 100 credit points per semester. </a:t>
          </a:r>
          <a:endParaRPr lang="en-AU">
            <a:effectLst/>
          </a:endParaRPr>
        </a:p>
        <a:p>
          <a:pPr rtl="0" fontAlgn="base"/>
          <a:r>
            <a:rPr lang="en-AU" sz="1100" b="0" i="0">
              <a:solidFill>
                <a:schemeClr val="dk1"/>
              </a:solidFill>
              <a:effectLst/>
              <a:latin typeface="+mn-lt"/>
              <a:ea typeface="+mn-ea"/>
              <a:cs typeface="+mn-cs"/>
            </a:rPr>
            <a:t>Units may not be offered in every study period and may not be available at the time that you wish to study them. Your progression in the degree may be affected if you do not follow the </a:t>
          </a:r>
          <a:r>
            <a:rPr lang="en-AU" sz="1100" b="0" i="0">
              <a:solidFill>
                <a:sysClr val="windowText" lastClr="000000"/>
              </a:solidFill>
              <a:effectLst/>
              <a:latin typeface="+mn-lt"/>
              <a:ea typeface="+mn-ea"/>
              <a:cs typeface="+mn-cs"/>
            </a:rPr>
            <a:t>recommended sequence of enrolment.</a:t>
          </a:r>
          <a:endParaRPr lang="en-AU">
            <a:solidFill>
              <a:sysClr val="windowText" lastClr="000000"/>
            </a:solidFill>
            <a:effectLst/>
          </a:endParaRPr>
        </a:p>
        <a:p>
          <a:pPr rtl="0" eaLnBrk="1" fontAlgn="base" latinLnBrk="0" hangingPunct="1"/>
          <a:r>
            <a:rPr lang="en-AU" sz="1100" b="0" i="0">
              <a:solidFill>
                <a:sysClr val="windowText" lastClr="000000"/>
              </a:solidFill>
              <a:effectLst/>
              <a:latin typeface="+mn-lt"/>
              <a:ea typeface="+mn-ea"/>
              <a:cs typeface="+mn-cs"/>
            </a:rPr>
            <a:t>If you wish to enrol in a part-time load, please contact your</a:t>
          </a:r>
          <a:r>
            <a:rPr lang="en-AU" sz="1100" b="0" i="0" baseline="0">
              <a:solidFill>
                <a:sysClr val="windowText" lastClr="000000"/>
              </a:solidFill>
              <a:effectLst/>
              <a:latin typeface="+mn-lt"/>
              <a:ea typeface="+mn-ea"/>
              <a:cs typeface="+mn-cs"/>
            </a:rPr>
            <a:t> Course Coordinator (Email: urbanandregionalplanning@curtin.edu.au) or </a:t>
          </a:r>
          <a:r>
            <a:rPr lang="en-AU" sz="1100" b="0" i="0">
              <a:solidFill>
                <a:sysClr val="windowText" lastClr="000000"/>
              </a:solidFill>
              <a:effectLst/>
              <a:latin typeface="+mn-lt"/>
              <a:ea typeface="+mn-ea"/>
              <a:cs typeface="+mn-cs"/>
            </a:rPr>
            <a:t>please select one or two units from those listed for each study period.</a:t>
          </a:r>
          <a:endParaRPr lang="en-AU">
            <a:solidFill>
              <a:sysClr val="windowText" lastClr="000000"/>
            </a:solidFill>
            <a:effectLst/>
          </a:endParaRPr>
        </a:p>
        <a:p>
          <a:endParaRPr lang="en-AU" sz="1100">
            <a:solidFill>
              <a:schemeClr val="dk1"/>
            </a:solidFill>
            <a:effectLst/>
            <a:latin typeface="+mn-lt"/>
            <a:ea typeface="+mn-ea"/>
            <a:cs typeface="+mn-cs"/>
          </a:endParaRPr>
        </a:p>
        <a:p>
          <a:r>
            <a:rPr lang="en-AU" sz="1100" b="1">
              <a:solidFill>
                <a:schemeClr val="dk1"/>
              </a:solidFill>
              <a:effectLst/>
              <a:latin typeface="+mn-lt"/>
              <a:ea typeface="+mn-ea"/>
              <a:cs typeface="+mn-cs"/>
            </a:rPr>
            <a:t>Need more support? </a:t>
          </a:r>
          <a:endParaRPr lang="en-AU">
            <a:effectLst/>
          </a:endParaRPr>
        </a:p>
        <a:p>
          <a:r>
            <a:rPr lang="en-AU" sz="1100" b="0">
              <a:solidFill>
                <a:schemeClr val="dk1"/>
              </a:solidFill>
              <a:effectLst/>
              <a:latin typeface="+mn-lt"/>
              <a:ea typeface="+mn-ea"/>
              <a:cs typeface="+mn-cs"/>
            </a:rPr>
            <a:t>This planner is designed to be used in conjunction with the information provided by Curtin Connect on the Student Essentials webpages. If you have any questions regarding your enrolment, please contact Curtin Connect.</a:t>
          </a:r>
          <a:endParaRPr lang="en-AU">
            <a:effectLst/>
          </a:endParaRPr>
        </a:p>
        <a:p>
          <a:endParaRPr lang="en-AU" b="0"/>
        </a:p>
        <a:p>
          <a:pPr rtl="0" fontAlgn="base"/>
          <a:r>
            <a:rPr lang="en-AU" sz="1100" b="1" i="0">
              <a:solidFill>
                <a:schemeClr val="dk1"/>
              </a:solidFill>
              <a:effectLst/>
              <a:latin typeface="+mn-lt"/>
              <a:ea typeface="+mn-ea"/>
              <a:cs typeface="+mn-cs"/>
            </a:rPr>
            <a:t>Note:</a:t>
          </a:r>
          <a:endParaRPr lang="en-AU">
            <a:effectLst/>
          </a:endParaRPr>
        </a:p>
        <a:p>
          <a:pPr rtl="0" fontAlgn="base"/>
          <a:r>
            <a:rPr lang="en-AU" sz="800" b="0" i="0" baseline="0">
              <a:solidFill>
                <a:schemeClr val="dk1"/>
              </a:solidFill>
              <a:effectLst/>
              <a:latin typeface="+mn-lt"/>
              <a:ea typeface="+mn-ea"/>
              <a:cs typeface="+mn-cs"/>
            </a:rPr>
            <a:t>CP = Credit Points; Sem1 = Semester 1; Sem2 = Semester 2; BEN = unit available face-to-face at Curtin University, Bentley Campus; FO = unit available Fully Online</a:t>
          </a:r>
          <a:endParaRPr lang="en-AU" sz="800">
            <a:effectLst/>
          </a:endParaRPr>
        </a:p>
      </xdr:txBody>
    </xdr:sp>
    <xdr:clientData/>
  </xdr:twoCellAnchor>
  <xdr:twoCellAnchor>
    <xdr:from>
      <xdr:col>8</xdr:col>
      <xdr:colOff>314325</xdr:colOff>
      <xdr:row>2</xdr:row>
      <xdr:rowOff>76199</xdr:rowOff>
    </xdr:from>
    <xdr:to>
      <xdr:col>11</xdr:col>
      <xdr:colOff>1115290</xdr:colOff>
      <xdr:row>2</xdr:row>
      <xdr:rowOff>409574</xdr:rowOff>
    </xdr:to>
    <xdr:pic>
      <xdr:nvPicPr>
        <xdr:cNvPr id="3" name="Picture 2" title="Curtin University logo">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8486775" y="76199"/>
          <a:ext cx="1858240"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17</xdr:col>
      <xdr:colOff>590551</xdr:colOff>
      <xdr:row>12</xdr:row>
      <xdr:rowOff>133351</xdr:rowOff>
    </xdr:from>
    <xdr:to>
      <xdr:col>21</xdr:col>
      <xdr:colOff>266701</xdr:colOff>
      <xdr:row>14</xdr:row>
      <xdr:rowOff>95251</xdr:rowOff>
    </xdr:to>
    <xdr:sp macro="" textlink="">
      <xdr:nvSpPr>
        <xdr:cNvPr id="4" name="TextBox 3">
          <a:hlinkClick xmlns:r="http://schemas.openxmlformats.org/officeDocument/2006/relationships" r:id="rId2"/>
          <a:extLst>
            <a:ext uri="{FF2B5EF4-FFF2-40B4-BE49-F238E27FC236}">
              <a16:creationId xmlns:a16="http://schemas.microsoft.com/office/drawing/2014/main" id="{00000000-0008-0000-0000-000005000000}"/>
            </a:ext>
          </a:extLst>
        </xdr:cNvPr>
        <xdr:cNvSpPr txBox="1"/>
      </xdr:nvSpPr>
      <xdr:spPr>
        <a:xfrm>
          <a:off x="14668501" y="2895601"/>
          <a:ext cx="2419350" cy="323850"/>
        </a:xfrm>
        <a:prstGeom prst="rect">
          <a:avLst/>
        </a:prstGeom>
        <a:solidFill>
          <a:schemeClr val="bg1">
            <a:lumMod val="6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Curtin Connect website</a:t>
          </a:r>
        </a:p>
      </xdr:txBody>
    </xdr:sp>
    <xdr:clientData/>
  </xdr:twoCellAnchor>
</xdr:wsDr>
</file>

<file path=xl/tables/table1.xml><?xml version="1.0" encoding="utf-8"?>
<table xmlns="http://schemas.openxmlformats.org/spreadsheetml/2006/main" id="3" name="TableCourses" displayName="TableCourses" ref="A6:G9" totalsRowShown="0" headerRowDxfId="141">
  <autoFilter ref="A6:G9"/>
  <tableColumns count="7">
    <tableColumn id="3" name="Choose your Planning Course (drop-down list)" dataDxfId="140"/>
    <tableColumn id="1" name="UDC" dataDxfId="139"/>
    <tableColumn id="2" name="Version" dataDxfId="138"/>
    <tableColumn id="5" name="Credit Points" dataDxfId="137"/>
    <tableColumn id="4" name="Effective Date" dataDxfId="136"/>
    <tableColumn id="6" name="Akari Update" dataDxfId="135"/>
    <tableColumn id="7" name="Availabilities" dataDxfId="134"/>
  </tableColumns>
  <tableStyleInfo name="TableStyleLight8" showFirstColumn="0" showLastColumn="0" showRowStripes="1" showColumnStripes="0"/>
</table>
</file>

<file path=xl/tables/table10.xml><?xml version="1.0" encoding="utf-8"?>
<table xmlns="http://schemas.openxmlformats.org/spreadsheetml/2006/main" id="10" name="TableSPUCLANDN" displayName="TableSPUCLANDN" ref="A75:O83" totalsRowShown="0">
  <autoFilter ref="A75:O83"/>
  <sortState ref="A76:M83">
    <sortCondition ref="F75:F83"/>
  </sortState>
  <tableColumns count="15">
    <tableColumn id="1" name="UDC" dataDxfId="45">
      <calculatedColumnFormula>TableSPUCLANDN[[#This Row],[Study Package Code]]</calculatedColumnFormula>
    </tableColumn>
    <tableColumn id="9" name="V" dataDxfId="44">
      <calculatedColumnFormula>TableSPUCLANDN[[#This Row],[Ver]]</calculatedColumnFormula>
    </tableColumn>
    <tableColumn id="10" name="OUA Code"/>
    <tableColumn id="11" name="Unit Title" dataDxfId="43">
      <calculatedColumnFormula>TableSPUCLANDN[[#This Row],[Structure Line]]</calculatedColumnFormula>
    </tableColumn>
    <tableColumn id="12" name="CPs" dataDxfId="42">
      <calculatedColumnFormula>TableSPUCLANDN[[#This Row],[Credit Points]]</calculatedColumnFormula>
    </tableColumn>
    <tableColumn id="13" name="No."/>
    <tableColumn id="2" name="Component Type"/>
    <tableColumn id="3" name="Year Level"/>
    <tableColumn id="4" name="Study Period"/>
    <tableColumn id="5" name="Study Package Code"/>
    <tableColumn id="6" name="Ver"/>
    <tableColumn id="7" name="Structure Line"/>
    <tableColumn id="8" name="Credit Points"/>
    <tableColumn id="14" name="Effective" dataDxfId="41"/>
    <tableColumn id="15" name="Discont." dataDxfId="40"/>
  </tableColumns>
  <tableStyleInfo name="TableStyleLight1" showFirstColumn="0" showLastColumn="0" showRowStripes="1" showColumnStripes="0"/>
</table>
</file>

<file path=xl/tables/table11.xml><?xml version="1.0" encoding="utf-8"?>
<table xmlns="http://schemas.openxmlformats.org/spreadsheetml/2006/main" id="12" name="TableSPUCSOCJU" displayName="TableSPUCSOCJU" ref="A85:O91" totalsRowShown="0">
  <autoFilter ref="A85:O91"/>
  <sortState ref="A65:R72">
    <sortCondition ref="N10:N18"/>
  </sortState>
  <tableColumns count="15">
    <tableColumn id="1" name="UDC" dataDxfId="39">
      <calculatedColumnFormula>TableSPUCSOCJU[[#This Row],[Study Package Code]]</calculatedColumnFormula>
    </tableColumn>
    <tableColumn id="9" name="V" dataDxfId="38">
      <calculatedColumnFormula>TableSPUCSOCJU[[#This Row],[Ver]]</calculatedColumnFormula>
    </tableColumn>
    <tableColumn id="10" name="OUA Code"/>
    <tableColumn id="11" name="Unit Title" dataDxfId="37">
      <calculatedColumnFormula>TableSPUCSOCJU[[#This Row],[Structure Line]]</calculatedColumnFormula>
    </tableColumn>
    <tableColumn id="12" name="CPs" dataDxfId="36">
      <calculatedColumnFormula>TableSPUCSOCJU[[#This Row],[Credit Points]]</calculatedColumnFormula>
    </tableColumn>
    <tableColumn id="13" name="No."/>
    <tableColumn id="2" name="Component Type"/>
    <tableColumn id="3" name="Year Level"/>
    <tableColumn id="4" name="Study Period"/>
    <tableColumn id="5" name="Study Package Code"/>
    <tableColumn id="6" name="Ver"/>
    <tableColumn id="7" name="Structure Line"/>
    <tableColumn id="8" name="Credit Points"/>
    <tableColumn id="14" name="Effective" dataDxfId="35"/>
    <tableColumn id="15" name="Discont." dataDxfId="34"/>
  </tableColumns>
  <tableStyleInfo name="TableStyleLight1" showFirstColumn="0" showLastColumn="0" showRowStripes="1" showColumnStripes="0"/>
</table>
</file>

<file path=xl/tables/table12.xml><?xml version="1.0" encoding="utf-8"?>
<table xmlns="http://schemas.openxmlformats.org/spreadsheetml/2006/main" id="9" name="TableSPUCINTLD" displayName="TableSPUCINTLD" ref="A67:O73" totalsRowShown="0">
  <autoFilter ref="A67:O73"/>
  <sortState ref="A54:M59">
    <sortCondition descending="1" ref="G48:G54"/>
  </sortState>
  <tableColumns count="15">
    <tableColumn id="1" name="UDC" dataDxfId="33">
      <calculatedColumnFormula>TableSPUCINTLD[[#This Row],[Study Package Code]]</calculatedColumnFormula>
    </tableColumn>
    <tableColumn id="9" name="V" dataDxfId="32">
      <calculatedColumnFormula>TableSPUCINTLD[[#This Row],[Ver]]</calculatedColumnFormula>
    </tableColumn>
    <tableColumn id="10" name="OUA Code"/>
    <tableColumn id="11" name="Unit Title" dataDxfId="31">
      <calculatedColumnFormula>TableSPUCINTLD[[#This Row],[Structure Line]]</calculatedColumnFormula>
    </tableColumn>
    <tableColumn id="12" name="CPs" dataDxfId="30">
      <calculatedColumnFormula>TableSPUCINTLD[[#This Row],[Credit Points]]</calculatedColumnFormula>
    </tableColumn>
    <tableColumn id="13" name="No."/>
    <tableColumn id="2" name="Component Type"/>
    <tableColumn id="3" name="Year Level"/>
    <tableColumn id="4" name="Study Period"/>
    <tableColumn id="5" name="Study Package Code"/>
    <tableColumn id="6" name="Ver"/>
    <tableColumn id="7" name="Structure Line"/>
    <tableColumn id="8" name="Credit Points"/>
    <tableColumn id="14" name="Effective" dataDxfId="29"/>
    <tableColumn id="15" name="Discont." dataDxfId="28"/>
  </tableColumns>
  <tableStyleInfo name="TableStyleLight1" showFirstColumn="0" showLastColumn="0" showRowStripes="1" showColumnStripes="0"/>
</table>
</file>

<file path=xl/tables/table13.xml><?xml version="1.0" encoding="utf-8"?>
<table xmlns="http://schemas.openxmlformats.org/spreadsheetml/2006/main" id="8" name="TableSTRHURPLN" displayName="TableSTRHURPLN" ref="A33:O40" totalsRowShown="0">
  <autoFilter ref="A33:O40"/>
  <sortState ref="A35:R42">
    <sortCondition ref="N10:N18"/>
  </sortState>
  <tableColumns count="15">
    <tableColumn id="1" name="UDC" dataDxfId="27">
      <calculatedColumnFormula>TableSTRHURPLN[[#This Row],[Study Package Code]]</calculatedColumnFormula>
    </tableColumn>
    <tableColumn id="9" name="V" dataDxfId="26">
      <calculatedColumnFormula>TableSTRHURPLN[[#This Row],[Ver]]</calculatedColumnFormula>
    </tableColumn>
    <tableColumn id="10" name="OUA Code"/>
    <tableColumn id="11" name="Unit Title" dataDxfId="25">
      <calculatedColumnFormula>TableSTRHURPLN[[#This Row],[Structure Line]]</calculatedColumnFormula>
    </tableColumn>
    <tableColumn id="12" name="CPs" dataDxfId="24">
      <calculatedColumnFormula>TableSTRHURPLN[[#This Row],[Credit Points]]</calculatedColumnFormula>
    </tableColumn>
    <tableColumn id="13" name="No."/>
    <tableColumn id="2" name="Component Type"/>
    <tableColumn id="3" name="Year Level"/>
    <tableColumn id="4" name="Study Period"/>
    <tableColumn id="5" name="Study Package Code"/>
    <tableColumn id="6" name="Ver"/>
    <tableColumn id="7" name="Structure Line"/>
    <tableColumn id="8" name="Credit Points"/>
    <tableColumn id="14" name="Effective" dataDxfId="23"/>
    <tableColumn id="15" name="Discont." dataDxfId="22"/>
  </tableColumns>
  <tableStyleInfo name="TableStyleLight1" showFirstColumn="0" showLastColumn="0" showRowStripes="1" showColumnStripes="0"/>
</table>
</file>

<file path=xl/tables/table14.xml><?xml version="1.0" encoding="utf-8"?>
<table xmlns="http://schemas.openxmlformats.org/spreadsheetml/2006/main" id="14" name="TableSTRUURPLN" displayName="TableSTRUURPLN" ref="A42:O49" totalsRowShown="0">
  <autoFilter ref="A42:O49"/>
  <sortState ref="A44:R51">
    <sortCondition ref="N10:N18"/>
  </sortState>
  <tableColumns count="15">
    <tableColumn id="1" name="UDC" dataDxfId="21">
      <calculatedColumnFormula>TableSTRUURPLN[[#This Row],[Study Package Code]]</calculatedColumnFormula>
    </tableColumn>
    <tableColumn id="9" name="V" dataDxfId="20">
      <calculatedColumnFormula>TableSTRUURPLN[[#This Row],[Ver]]</calculatedColumnFormula>
    </tableColumn>
    <tableColumn id="10" name="OUA Code"/>
    <tableColumn id="11" name="Unit Title" dataDxfId="19">
      <calculatedColumnFormula>TableSTRUURPLN[[#This Row],[Structure Line]]</calculatedColumnFormula>
    </tableColumn>
    <tableColumn id="12" name="CPs" dataDxfId="18">
      <calculatedColumnFormula>TableSTRUURPLN[[#This Row],[Credit Points]]</calculatedColumnFormula>
    </tableColumn>
    <tableColumn id="13" name="No."/>
    <tableColumn id="2" name="Component Type"/>
    <tableColumn id="3" name="Year Level"/>
    <tableColumn id="4" name="Study Period"/>
    <tableColumn id="5" name="Study Package Code"/>
    <tableColumn id="6" name="Ver"/>
    <tableColumn id="7" name="Structure Line"/>
    <tableColumn id="8" name="Credit Points"/>
    <tableColumn id="14" name="Effective" dataDxfId="17"/>
    <tableColumn id="15" name="Discont." dataDxfId="16"/>
  </tableColumns>
  <tableStyleInfo name="TableStyleLight1" showFirstColumn="0" showLastColumn="0" showRowStripes="1" showColumnStripes="0"/>
</table>
</file>

<file path=xl/tables/table15.xml><?xml version="1.0" encoding="utf-8"?>
<table xmlns="http://schemas.openxmlformats.org/spreadsheetml/2006/main" id="11" name="Table15" displayName="Table15" ref="Q2:R31" totalsRowShown="0">
  <autoFilter ref="Q2:R31"/>
  <tableColumns count="2">
    <tableColumn id="5" name="SPK"/>
    <tableColumn id="6" name="Ver"/>
  </tableColumns>
  <tableStyleInfo name="TableStyleLight4" showFirstColumn="0" showLastColumn="0" showRowStripes="1" showColumnStripes="0"/>
</table>
</file>

<file path=xl/tables/table16.xml><?xml version="1.0" encoding="utf-8"?>
<table xmlns="http://schemas.openxmlformats.org/spreadsheetml/2006/main" id="15" name="Table1516" displayName="Table1516" ref="Q33:R40" totalsRowShown="0">
  <autoFilter ref="Q33:R40"/>
  <tableColumns count="2">
    <tableColumn id="5" name="SPK"/>
    <tableColumn id="6" name="Ver"/>
  </tableColumns>
  <tableStyleInfo name="TableStyleLight4" showFirstColumn="0" showLastColumn="0" showRowStripes="1" showColumnStripes="0"/>
</table>
</file>

<file path=xl/tables/table17.xml><?xml version="1.0" encoding="utf-8"?>
<table xmlns="http://schemas.openxmlformats.org/spreadsheetml/2006/main" id="17" name="Table151618" displayName="Table151618" ref="Q42:R49" totalsRowShown="0">
  <autoFilter ref="Q42:R49"/>
  <tableColumns count="2">
    <tableColumn id="5" name="SPK"/>
    <tableColumn id="6" name="Ver"/>
  </tableColumns>
  <tableStyleInfo name="TableStyleLight4" showFirstColumn="0" showLastColumn="0" showRowStripes="1" showColumnStripes="0"/>
</table>
</file>

<file path=xl/tables/table18.xml><?xml version="1.0" encoding="utf-8"?>
<table xmlns="http://schemas.openxmlformats.org/spreadsheetml/2006/main" id="18" name="Table151619" displayName="Table151619" ref="Q51:R57" totalsRowShown="0">
  <autoFilter ref="Q51:R57"/>
  <tableColumns count="2">
    <tableColumn id="5" name="SPK"/>
    <tableColumn id="6" name="Ver"/>
  </tableColumns>
  <tableStyleInfo name="TableStyleLight4" showFirstColumn="0" showLastColumn="0" showRowStripes="1" showColumnStripes="0"/>
</table>
</file>

<file path=xl/tables/table19.xml><?xml version="1.0" encoding="utf-8"?>
<table xmlns="http://schemas.openxmlformats.org/spreadsheetml/2006/main" id="19" name="Table15161920" displayName="Table15161920" ref="Q59:R65" totalsRowShown="0">
  <autoFilter ref="Q59:R65"/>
  <tableColumns count="2">
    <tableColumn id="5" name="SPK"/>
    <tableColumn id="6" name="Ver"/>
  </tableColumns>
  <tableStyleInfo name="TableStyleLight4" showFirstColumn="0" showLastColumn="0" showRowStripes="1" showColumnStripes="0"/>
</table>
</file>

<file path=xl/tables/table2.xml><?xml version="1.0" encoding="utf-8"?>
<table xmlns="http://schemas.openxmlformats.org/spreadsheetml/2006/main" id="4" name="TableStudyPeriod" displayName="TableStudyPeriod" ref="A15:C17" totalsRowShown="0" dataDxfId="133">
  <autoFilter ref="A15:C17"/>
  <tableColumns count="3">
    <tableColumn id="1" name="Choose your commencing study period (drop-down list)" dataDxfId="132"/>
    <tableColumn id="2" name="START" dataDxfId="131"/>
    <tableColumn id="3" name="Next" dataDxfId="130"/>
  </tableColumns>
  <tableStyleInfo name="TableStyleLight8" showFirstColumn="0" showLastColumn="0" showRowStripes="1" showColumnStripes="0"/>
</table>
</file>

<file path=xl/tables/table20.xml><?xml version="1.0" encoding="utf-8"?>
<table xmlns="http://schemas.openxmlformats.org/spreadsheetml/2006/main" id="20" name="Table15161921" displayName="Table15161921" ref="Q67:R73" totalsRowShown="0">
  <autoFilter ref="Q67:R73"/>
  <tableColumns count="2">
    <tableColumn id="5" name="SPK"/>
    <tableColumn id="6" name="Ver"/>
  </tableColumns>
  <tableStyleInfo name="TableStyleLight4" showFirstColumn="0" showLastColumn="0" showRowStripes="1" showColumnStripes="0"/>
</table>
</file>

<file path=xl/tables/table21.xml><?xml version="1.0" encoding="utf-8"?>
<table xmlns="http://schemas.openxmlformats.org/spreadsheetml/2006/main" id="21" name="Table15161922" displayName="Table15161922" ref="Q75:R83" totalsRowShown="0">
  <autoFilter ref="Q75:R83"/>
  <tableColumns count="2">
    <tableColumn id="5" name="SPK"/>
    <tableColumn id="6" name="Ver"/>
  </tableColumns>
  <tableStyleInfo name="TableStyleLight4" showFirstColumn="0" showLastColumn="0" showRowStripes="1" showColumnStripes="0"/>
</table>
</file>

<file path=xl/tables/table22.xml><?xml version="1.0" encoding="utf-8"?>
<table xmlns="http://schemas.openxmlformats.org/spreadsheetml/2006/main" id="22" name="Table1516192223" displayName="Table1516192223" ref="Q85:R91" totalsRowShown="0">
  <autoFilter ref="Q85:R91"/>
  <tableColumns count="2">
    <tableColumn id="5" name="SPK"/>
    <tableColumn id="6" name="Ver"/>
  </tableColumns>
  <tableStyleInfo name="TableStyleLight4" showFirstColumn="0" showLastColumn="0" showRowStripes="1" showColumnStripes="0"/>
</table>
</file>

<file path=xl/tables/table23.xml><?xml version="1.0" encoding="utf-8"?>
<table xmlns="http://schemas.openxmlformats.org/spreadsheetml/2006/main" id="23" name="TableUHGEOGY" displayName="TableUHGEOGY" ref="A94:O101" totalsRowShown="0">
  <autoFilter ref="A94:O101"/>
  <sortState ref="A95:R102">
    <sortCondition ref="N10:N18"/>
  </sortState>
  <tableColumns count="15">
    <tableColumn id="1" name="UDC" dataDxfId="15">
      <calculatedColumnFormula>TableUHGEOGY[[#This Row],[Study Package Code]]</calculatedColumnFormula>
    </tableColumn>
    <tableColumn id="9" name="V" dataDxfId="14">
      <calculatedColumnFormula>TableUHGEOGY[[#This Row],[Ver]]</calculatedColumnFormula>
    </tableColumn>
    <tableColumn id="10" name="OUA Code"/>
    <tableColumn id="11" name="Unit Title" dataDxfId="13">
      <calculatedColumnFormula>TableUHGEOGY[[#This Row],[Structure Line]]</calculatedColumnFormula>
    </tableColumn>
    <tableColumn id="12" name="CPs" dataDxfId="12">
      <calculatedColumnFormula>TableUHGEOGY[[#This Row],[Credit Points]]</calculatedColumnFormula>
    </tableColumn>
    <tableColumn id="13" name="No."/>
    <tableColumn id="2" name="Component Type"/>
    <tableColumn id="3" name="Year Level"/>
    <tableColumn id="4" name="Study Period"/>
    <tableColumn id="5" name="Study Package Code"/>
    <tableColumn id="6" name="Ver"/>
    <tableColumn id="7" name="Structure Line"/>
    <tableColumn id="8" name="Credit Points"/>
    <tableColumn id="14" name="Effective" dataDxfId="11"/>
    <tableColumn id="15" name="Discont." dataDxfId="10"/>
  </tableColumns>
  <tableStyleInfo name="TableStyleLight1" showFirstColumn="0" showLastColumn="0" showRowStripes="1" showColumnStripes="0"/>
</table>
</file>

<file path=xl/tables/table24.xml><?xml version="1.0" encoding="utf-8"?>
<table xmlns="http://schemas.openxmlformats.org/spreadsheetml/2006/main" id="25" name="Table15161826" displayName="Table15161826" ref="Q94:R101" totalsRowShown="0">
  <autoFilter ref="Q94:R101"/>
  <tableColumns count="2">
    <tableColumn id="5" name="SPK"/>
    <tableColumn id="6" name="Ver"/>
  </tableColumns>
  <tableStyleInfo name="TableStyleLight4" showFirstColumn="0" showLastColumn="0" showRowStripes="1" showColumnStripes="0"/>
</table>
</file>

<file path=xl/tables/table25.xml><?xml version="1.0" encoding="utf-8"?>
<table xmlns="http://schemas.openxmlformats.org/spreadsheetml/2006/main" id="26" name="TableUHURPLAN" displayName="TableUHURPLAN" ref="A104:O108" totalsRowShown="0">
  <autoFilter ref="A104:O108"/>
  <sortState ref="A105:R112">
    <sortCondition ref="N10:N18"/>
  </sortState>
  <tableColumns count="15">
    <tableColumn id="1" name="UDC" dataDxfId="9">
      <calculatedColumnFormula>TableUHURPLAN[[#This Row],[Study Package Code]]</calculatedColumnFormula>
    </tableColumn>
    <tableColumn id="9" name="V" dataDxfId="8">
      <calculatedColumnFormula>TableUHURPLAN[[#This Row],[Ver]]</calculatedColumnFormula>
    </tableColumn>
    <tableColumn id="10" name="OUA Code"/>
    <tableColumn id="11" name="Unit Title" dataDxfId="7">
      <calculatedColumnFormula>TableUHURPLAN[[#This Row],[Structure Line]]</calculatedColumnFormula>
    </tableColumn>
    <tableColumn id="12" name="CPs" dataDxfId="6">
      <calculatedColumnFormula>TableUHURPLAN[[#This Row],[Credit Points]]</calculatedColumnFormula>
    </tableColumn>
    <tableColumn id="13" name="No."/>
    <tableColumn id="2" name="Component Type"/>
    <tableColumn id="3" name="Year Level"/>
    <tableColumn id="4" name="Study Period"/>
    <tableColumn id="5" name="Study Package Code"/>
    <tableColumn id="6" name="Ver"/>
    <tableColumn id="7" name="Structure Line"/>
    <tableColumn id="8" name="Credit Points"/>
    <tableColumn id="14" name="Effective" dataDxfId="5"/>
    <tableColumn id="15" name="Discont." dataDxfId="4"/>
  </tableColumns>
  <tableStyleInfo name="TableStyleLight1" showFirstColumn="0" showLastColumn="0" showRowStripes="1" showColumnStripes="0"/>
</table>
</file>

<file path=xl/tables/table26.xml><?xml version="1.0" encoding="utf-8"?>
<table xmlns="http://schemas.openxmlformats.org/spreadsheetml/2006/main" id="27" name="Table1516182628" displayName="Table1516182628" ref="Q104:R108" totalsRowShown="0">
  <autoFilter ref="Q104:R108"/>
  <tableColumns count="2">
    <tableColumn id="5" name="SPK"/>
    <tableColumn id="6" name="Ver"/>
  </tableColumns>
  <tableStyleInfo name="TableStyleLight4" showFirstColumn="0" showLastColumn="0" showRowStripes="1" showColumnStripes="0"/>
</table>
</file>

<file path=xl/tables/table27.xml><?xml version="1.0" encoding="utf-8"?>
<table xmlns="http://schemas.openxmlformats.org/spreadsheetml/2006/main" id="13" name="TableAvailabilities" displayName="TableAvailabilities" ref="A3:E50" totalsRowShown="0">
  <autoFilter ref="A3:E50"/>
  <sortState ref="A4:E50">
    <sortCondition ref="A3:A50"/>
  </sortState>
  <tableColumns count="5">
    <tableColumn id="1" name="Row Labels"/>
    <tableColumn id="2" name="Internal" dataDxfId="3"/>
    <tableColumn id="3" name="Online" dataDxfId="2"/>
    <tableColumn id="4" name="Internal2" dataDxfId="1"/>
    <tableColumn id="5" name="Online3" dataDxfId="0"/>
  </tableColumns>
  <tableStyleInfo name="TableStyleLight7" showFirstColumn="0" showLastColumn="0" showRowStripes="1" showColumnStripes="0"/>
</table>
</file>

<file path=xl/tables/table3.xml><?xml version="1.0" encoding="utf-8"?>
<table xmlns="http://schemas.openxmlformats.org/spreadsheetml/2006/main" id="5" name="TableSpecialisations" displayName="TableSpecialisations" ref="A24:F29" totalsRowShown="0" dataDxfId="129">
  <autoFilter ref="A24:F29"/>
  <tableColumns count="6">
    <tableColumn id="1" name="Choose your Specialisation (drop-down list)" dataDxfId="128"/>
    <tableColumn id="2" name="UDC" dataDxfId="127"/>
    <tableColumn id="3" name="Version" dataDxfId="126"/>
    <tableColumn id="4" name="Credit Points" dataDxfId="125"/>
    <tableColumn id="5" name="Effective Date" dataDxfId="124"/>
    <tableColumn id="6" name="Akari Update" dataDxfId="123"/>
  </tableColumns>
  <tableStyleInfo name="TableStyleLight8" showFirstColumn="0" showLastColumn="0" showRowStripes="1" showColumnStripes="0"/>
</table>
</file>

<file path=xl/tables/table4.xml><?xml version="1.0" encoding="utf-8"?>
<table xmlns="http://schemas.openxmlformats.org/spreadsheetml/2006/main" id="16" name="TableStream" displayName="TableStream" ref="A19:F21" totalsRowShown="0" headerRowDxfId="122" tableBorderDxfId="121">
  <autoFilter ref="A19:F21"/>
  <tableColumns count="6">
    <tableColumn id="1" name="Choose your Stream" dataDxfId="120"/>
    <tableColumn id="2" name="UDC" dataDxfId="119"/>
    <tableColumn id="3" name="Version" dataDxfId="118"/>
    <tableColumn id="4" name="Credit Points" dataDxfId="117"/>
    <tableColumn id="5" name="Effective Date" dataDxfId="116"/>
    <tableColumn id="6" name="Akari Update" dataDxfId="115"/>
  </tableColumns>
  <tableStyleInfo name="TableStyleLight8" showFirstColumn="0" showLastColumn="0" showRowStripes="1" showColumnStripes="0"/>
</table>
</file>

<file path=xl/tables/table5.xml><?xml version="1.0" encoding="utf-8"?>
<table xmlns="http://schemas.openxmlformats.org/spreadsheetml/2006/main" id="28" name="TableCoursesUGCerts" displayName="TableCoursesUGCerts" ref="A10:G12" totalsRowShown="0" headerRowDxfId="114" dataDxfId="113" tableBorderDxfId="112">
  <autoFilter ref="A10:G12"/>
  <tableColumns count="7">
    <tableColumn id="1" name="Choose your Course (drop-down list)" dataDxfId="111"/>
    <tableColumn id="2" name="UDC" dataDxfId="110"/>
    <tableColumn id="3" name="Version" dataDxfId="109"/>
    <tableColumn id="4" name="Credit Points" dataDxfId="108"/>
    <tableColumn id="5" name="Effective Date" dataDxfId="107"/>
    <tableColumn id="6" name="Akari Update" dataDxfId="106"/>
    <tableColumn id="7" name="Availabilities" dataDxfId="105"/>
  </tableColumns>
  <tableStyleInfo name="TableStyleLight8" showFirstColumn="0" showLastColumn="0" showRowStripes="1" showColumnStripes="0"/>
</table>
</file>

<file path=xl/tables/table6.xml><?xml version="1.0" encoding="utf-8"?>
<table xmlns="http://schemas.openxmlformats.org/spreadsheetml/2006/main" id="2" name="TableHandbook" displayName="TableHandbook" ref="A3:U72" totalsRowShown="0" headerRowDxfId="103" dataDxfId="101" headerRowBorderDxfId="102" tableBorderDxfId="100">
  <autoFilter ref="A3:U72"/>
  <sortState ref="A4:U82">
    <sortCondition ref="A3:A82"/>
  </sortState>
  <tableColumns count="21">
    <tableColumn id="1" name="UDC" dataDxfId="99"/>
    <tableColumn id="2" name="Ver" dataDxfId="98"/>
    <tableColumn id="3" name="OUA Cd" dataDxfId="97"/>
    <tableColumn id="4" name="Title" dataDxfId="96"/>
    <tableColumn id="5" name="Credits" dataDxfId="95"/>
    <tableColumn id="6" name="Pre-reqs" dataDxfId="94"/>
    <tableColumn id="12" name="S1INT" dataDxfId="93">
      <calculatedColumnFormula>IFERROR(IF(VLOOKUP(TableHandbook[[#This Row],[UDC]],TableAvailabilities[],2,FALSE)&gt;0,"Y",""),"")</calculatedColumnFormula>
    </tableColumn>
    <tableColumn id="13" name="S1FO" dataDxfId="92">
      <calculatedColumnFormula>IFERROR(IF(VLOOKUP(TableHandbook[[#This Row],[UDC]],TableAvailabilities[],3,FALSE)&gt;0,"Y",""),"")</calculatedColumnFormula>
    </tableColumn>
    <tableColumn id="14" name="S2INT" dataDxfId="91">
      <calculatedColumnFormula>IFERROR(IF(VLOOKUP(TableHandbook[[#This Row],[UDC]],TableAvailabilities[],4,FALSE)&gt;0,"Y",""),"")</calculatedColumnFormula>
    </tableColumn>
    <tableColumn id="15" name="S2FO" dataDxfId="90">
      <calculatedColumnFormula>IFERROR(IF(VLOOKUP(TableHandbook[[#This Row],[UDC]],TableAvailabilities[],5,FALSE)&gt;0,"Y",""),"")</calculatedColumnFormula>
    </tableColumn>
    <tableColumn id="16" name="Notes" dataDxfId="89"/>
    <tableColumn id="8" name="B-CONM" dataDxfId="88">
      <calculatedColumnFormula>IFERROR(VLOOKUP(TableHandbook[[#This Row],[UDC]],TableBURPLAN2[],7,FALSE),"")</calculatedColumnFormula>
    </tableColumn>
    <tableColumn id="9" name="STRH-URPLN" dataDxfId="87">
      <calculatedColumnFormula>IFERROR(VLOOKUP(TableHandbook[[#This Row],[UDC]],TableSTRHURPLN[],7,FALSE),"")</calculatedColumnFormula>
    </tableColumn>
    <tableColumn id="10" name="STRU-URPLN" dataDxfId="86">
      <calculatedColumnFormula>IFERROR(VLOOKUP(TableHandbook[[#This Row],[UDC]],TableSTRUURPLN[],7,FALSE),"")</calculatedColumnFormula>
    </tableColumn>
    <tableColumn id="20" name="SPUC-ENVSP" dataDxfId="85">
      <calculatedColumnFormula>IFERROR(VLOOKUP(TableHandbook[[#This Row],[UDC]],TableSPUCENVSP[],7,FALSE),"")</calculatedColumnFormula>
    </tableColumn>
    <tableColumn id="21" name="SPUC-GRAPH" dataDxfId="84">
      <calculatedColumnFormula>IFERROR(VLOOKUP(TableHandbook[[#This Row],[UDC]],TableSPUCGRAPH[],7,FALSE),"")</calculatedColumnFormula>
    </tableColumn>
    <tableColumn id="17" name="SPUC-INTLD" dataDxfId="83">
      <calculatedColumnFormula>IFERROR(VLOOKUP(TableHandbook[[#This Row],[UDC]],TableSPUCINTLD[],7,FALSE),"")</calculatedColumnFormula>
    </tableColumn>
    <tableColumn id="7" name="SPUC-LANDN" dataDxfId="82">
      <calculatedColumnFormula>IFERROR(VLOOKUP(TableHandbook[[#This Row],[UDC]],TableSPUCLANDN[],7,FALSE),"")</calculatedColumnFormula>
    </tableColumn>
    <tableColumn id="18" name="SPUC-SOCJU" dataDxfId="81">
      <calculatedColumnFormula>IFERROR(VLOOKUP(TableHandbook[[#This Row],[UDC]],TableSPUCSOCJU[],7,FALSE),"")</calculatedColumnFormula>
    </tableColumn>
    <tableColumn id="23" name="UH-GEOGY" dataDxfId="80">
      <calculatedColumnFormula>IFERROR(VLOOKUP(TableHandbook[[#This Row],[UDC]],TableUHGEOGY[],7,FALSE),"")</calculatedColumnFormula>
    </tableColumn>
    <tableColumn id="22" name="UH-URPLAN" dataDxfId="79">
      <calculatedColumnFormula>IFERROR(VLOOKUP(TableHandbook[[#This Row],[UDC]],TableUHURPLAN[],7,FALSE),"")</calculatedColumnFormula>
    </tableColumn>
  </tableColumns>
  <tableStyleInfo name="TableStyleLight8" showFirstColumn="0" showLastColumn="0" showRowStripes="1" showColumnStripes="0"/>
</table>
</file>

<file path=xl/tables/table7.xml><?xml version="1.0" encoding="utf-8"?>
<table xmlns="http://schemas.openxmlformats.org/spreadsheetml/2006/main" id="1" name="TableBURPLAN2" displayName="TableBURPLAN2" ref="A2:O31" totalsRowShown="0">
  <autoFilter ref="A2:O31"/>
  <sortState ref="A3:M31">
    <sortCondition ref="F2:F31"/>
  </sortState>
  <tableColumns count="15">
    <tableColumn id="1" name="UDC" dataDxfId="64">
      <calculatedColumnFormula>TableBURPLAN2[[#This Row],[Study Package Code]]</calculatedColumnFormula>
    </tableColumn>
    <tableColumn id="9" name="V" dataDxfId="63">
      <calculatedColumnFormula>TableBURPLAN2[[#This Row],[Ver]]</calculatedColumnFormula>
    </tableColumn>
    <tableColumn id="10" name="OUA Code"/>
    <tableColumn id="11" name="Unit Title" dataDxfId="62">
      <calculatedColumnFormula>TableBURPLAN2[[#This Row],[Structure Line]]</calculatedColumnFormula>
    </tableColumn>
    <tableColumn id="12" name="CPs" dataDxfId="61">
      <calculatedColumnFormula>TableBURPLAN2[[#This Row],[Credit Points]]</calculatedColumnFormula>
    </tableColumn>
    <tableColumn id="13" name="No."/>
    <tableColumn id="2" name="Component Type"/>
    <tableColumn id="3" name="Year Level"/>
    <tableColumn id="4" name="Study Period"/>
    <tableColumn id="5" name="Study Package Code"/>
    <tableColumn id="6" name="Ver" dataDxfId="60"/>
    <tableColumn id="7" name="Structure Line" dataDxfId="59"/>
    <tableColumn id="8" name="Credit Points" dataDxfId="58"/>
    <tableColumn id="14" name="Effective" dataDxfId="57"/>
    <tableColumn id="15" name="Discont." dataDxfId="56"/>
  </tableColumns>
  <tableStyleInfo name="TableStyleLight1" showFirstColumn="0" showLastColumn="0" showRowStripes="1" showColumnStripes="0"/>
</table>
</file>

<file path=xl/tables/table8.xml><?xml version="1.0" encoding="utf-8"?>
<table xmlns="http://schemas.openxmlformats.org/spreadsheetml/2006/main" id="6" name="TableSPUCENVSP" displayName="TableSPUCENVSP" ref="A51:O57" totalsRowShown="0">
  <autoFilter ref="A51:O57"/>
  <sortState ref="P11:AI18">
    <sortCondition ref="U10:U18"/>
  </sortState>
  <tableColumns count="15">
    <tableColumn id="1" name="UDC" dataDxfId="55">
      <calculatedColumnFormula>TableSPUCENVSP[[#This Row],[Study Package Code]]</calculatedColumnFormula>
    </tableColumn>
    <tableColumn id="9" name="V" dataDxfId="54">
      <calculatedColumnFormula>TableSPUCENVSP[[#This Row],[Ver]]</calculatedColumnFormula>
    </tableColumn>
    <tableColumn id="10" name="OUA Code"/>
    <tableColumn id="11" name="Unit Title" dataDxfId="53">
      <calculatedColumnFormula>TableSPUCENVSP[[#This Row],[Structure Line]]</calculatedColumnFormula>
    </tableColumn>
    <tableColumn id="12" name="CPs" dataDxfId="52">
      <calculatedColumnFormula>TableSPUCENVSP[[#This Row],[Credit Points]]</calculatedColumnFormula>
    </tableColumn>
    <tableColumn id="13" name="No."/>
    <tableColumn id="2" name="Component Type"/>
    <tableColumn id="3" name="Year Level"/>
    <tableColumn id="4" name="Study Period"/>
    <tableColumn id="5" name="Study Package Code"/>
    <tableColumn id="6" name="Ver"/>
    <tableColumn id="7" name="Structure Line"/>
    <tableColumn id="8" name="Credit Points"/>
    <tableColumn id="14" name="Effective" dataDxfId="51"/>
    <tableColumn id="15" name="Discont." dataDxfId="50"/>
  </tableColumns>
  <tableStyleInfo name="TableStyleLight1" showFirstColumn="0" showLastColumn="0" showRowStripes="1" showColumnStripes="0"/>
</table>
</file>

<file path=xl/tables/table9.xml><?xml version="1.0" encoding="utf-8"?>
<table xmlns="http://schemas.openxmlformats.org/spreadsheetml/2006/main" id="7" name="TableSPUCGRAPH" displayName="TableSPUCGRAPH" ref="A59:O65" totalsRowShown="0">
  <autoFilter ref="A59:O65"/>
  <sortState ref="A42:M45">
    <sortCondition ref="J41:J45"/>
  </sortState>
  <tableColumns count="15">
    <tableColumn id="1" name="UDC" dataDxfId="49">
      <calculatedColumnFormula>TableSPUCGRAPH[[#This Row],[Study Package Code]]</calculatedColumnFormula>
    </tableColumn>
    <tableColumn id="9" name="V" dataDxfId="48">
      <calculatedColumnFormula>TableSPUCGRAPH[[#This Row],[Ver]]</calculatedColumnFormula>
    </tableColumn>
    <tableColumn id="10" name="OUA Code"/>
    <tableColumn id="11" name="Unit Title" dataDxfId="47">
      <calculatedColumnFormula>TableSPUCGRAPH[[#This Row],[Structure Line]]</calculatedColumnFormula>
    </tableColumn>
    <tableColumn id="12" name="CPs" dataDxfId="46">
      <calculatedColumnFormula>TableSPUCGRAPH[[#This Row],[Credit Points]]</calculatedColumnFormula>
    </tableColumn>
    <tableColumn id="13" name="No."/>
    <tableColumn id="2" name="Component Type"/>
    <tableColumn id="3" name="Year Level"/>
    <tableColumn id="4" name="Study Period"/>
    <tableColumn id="5" name="Study Package Code"/>
    <tableColumn id="6" name="Ver"/>
    <tableColumn id="7" name="Structure Line"/>
    <tableColumn id="8" name="Credit Points"/>
    <tableColumn id="14" name="Effective"/>
    <tableColumn id="15" name="Discont."/>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students.connect.curtin.edu.au/"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students.connect.curtin.edu.au/" TargetMode="External"/></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3.bin"/><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table" Target="../tables/table3.xml"/></Relationships>
</file>

<file path=xl/worksheets/_rels/sheet4.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table" Target="../tables/table13.xml"/><Relationship Id="rId13" Type="http://schemas.openxmlformats.org/officeDocument/2006/relationships/table" Target="../tables/table18.xml"/><Relationship Id="rId18" Type="http://schemas.openxmlformats.org/officeDocument/2006/relationships/table" Target="../tables/table23.xml"/><Relationship Id="rId3" Type="http://schemas.openxmlformats.org/officeDocument/2006/relationships/table" Target="../tables/table8.xml"/><Relationship Id="rId21" Type="http://schemas.openxmlformats.org/officeDocument/2006/relationships/table" Target="../tables/table26.xml"/><Relationship Id="rId7" Type="http://schemas.openxmlformats.org/officeDocument/2006/relationships/table" Target="../tables/table12.xml"/><Relationship Id="rId12" Type="http://schemas.openxmlformats.org/officeDocument/2006/relationships/table" Target="../tables/table17.xml"/><Relationship Id="rId17" Type="http://schemas.openxmlformats.org/officeDocument/2006/relationships/table" Target="../tables/table22.xml"/><Relationship Id="rId2" Type="http://schemas.openxmlformats.org/officeDocument/2006/relationships/table" Target="../tables/table7.xml"/><Relationship Id="rId16" Type="http://schemas.openxmlformats.org/officeDocument/2006/relationships/table" Target="../tables/table21.xml"/><Relationship Id="rId20" Type="http://schemas.openxmlformats.org/officeDocument/2006/relationships/table" Target="../tables/table25.xml"/><Relationship Id="rId1" Type="http://schemas.openxmlformats.org/officeDocument/2006/relationships/printerSettings" Target="../printerSettings/printerSettings5.bin"/><Relationship Id="rId6" Type="http://schemas.openxmlformats.org/officeDocument/2006/relationships/table" Target="../tables/table11.xml"/><Relationship Id="rId11" Type="http://schemas.openxmlformats.org/officeDocument/2006/relationships/table" Target="../tables/table16.xml"/><Relationship Id="rId5" Type="http://schemas.openxmlformats.org/officeDocument/2006/relationships/table" Target="../tables/table10.xml"/><Relationship Id="rId15" Type="http://schemas.openxmlformats.org/officeDocument/2006/relationships/table" Target="../tables/table20.xml"/><Relationship Id="rId10" Type="http://schemas.openxmlformats.org/officeDocument/2006/relationships/table" Target="../tables/table15.xml"/><Relationship Id="rId19" Type="http://schemas.openxmlformats.org/officeDocument/2006/relationships/table" Target="../tables/table24.xml"/><Relationship Id="rId4" Type="http://schemas.openxmlformats.org/officeDocument/2006/relationships/table" Target="../tables/table9.xml"/><Relationship Id="rId9" Type="http://schemas.openxmlformats.org/officeDocument/2006/relationships/table" Target="../tables/table14.xml"/><Relationship Id="rId14" Type="http://schemas.openxmlformats.org/officeDocument/2006/relationships/table" Target="../tables/table19.xml"/></Relationships>
</file>

<file path=xl/worksheets/_rels/sheet6.xml.rels><?xml version="1.0" encoding="UTF-8" standalone="yes"?>
<Relationships xmlns="http://schemas.openxmlformats.org/package/2006/relationships"><Relationship Id="rId1" Type="http://schemas.openxmlformats.org/officeDocument/2006/relationships/table" Target="../tables/table2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P64"/>
  <sheetViews>
    <sheetView showGridLines="0" tabSelected="1" topLeftCell="A3" zoomScaleNormal="100" workbookViewId="0">
      <selection activeCell="D5" sqref="D5"/>
    </sheetView>
  </sheetViews>
  <sheetFormatPr defaultRowHeight="15" x14ac:dyDescent="0.25"/>
  <cols>
    <col min="1" max="1" width="11.75" style="274" customWidth="1"/>
    <col min="2" max="2" width="3.25" style="274" customWidth="1"/>
    <col min="3" max="3" width="5.875" style="274" customWidth="1"/>
    <col min="4" max="4" width="47.625" style="264" bestFit="1" customWidth="1"/>
    <col min="5" max="5" width="8.5" style="264" customWidth="1"/>
    <col min="6" max="6" width="24" style="264" customWidth="1"/>
    <col min="7" max="7" width="5.625" style="264" customWidth="1"/>
    <col min="8" max="11" width="4.625" style="264" customWidth="1"/>
    <col min="12" max="12" width="15.625" style="264" customWidth="1"/>
    <col min="13" max="13" width="2.5" style="264" hidden="1" customWidth="1"/>
    <col min="14" max="16384" width="9" style="264"/>
  </cols>
  <sheetData>
    <row r="1" spans="1:16" hidden="1" x14ac:dyDescent="0.25">
      <c r="A1" s="260" t="s">
        <v>0</v>
      </c>
      <c r="B1" s="261" t="s">
        <v>1</v>
      </c>
      <c r="C1" s="261" t="s">
        <v>2</v>
      </c>
      <c r="D1" s="262" t="s">
        <v>3</v>
      </c>
      <c r="E1" s="262"/>
      <c r="F1" s="262" t="s">
        <v>4</v>
      </c>
      <c r="G1" s="262" t="s">
        <v>5</v>
      </c>
      <c r="H1" s="263" t="s">
        <v>6</v>
      </c>
      <c r="I1" s="262"/>
      <c r="J1" s="262"/>
      <c r="K1" s="262"/>
      <c r="L1" s="262" t="s">
        <v>7</v>
      </c>
    </row>
    <row r="2" spans="1:16" hidden="1" x14ac:dyDescent="0.25">
      <c r="A2" s="265"/>
      <c r="B2" s="266">
        <v>2</v>
      </c>
      <c r="C2" s="266">
        <v>3</v>
      </c>
      <c r="D2" s="266">
        <v>4</v>
      </c>
      <c r="E2" s="266"/>
      <c r="F2" s="266">
        <v>6</v>
      </c>
      <c r="G2" s="266">
        <v>5</v>
      </c>
      <c r="H2" s="266">
        <v>7</v>
      </c>
      <c r="I2" s="266">
        <v>8</v>
      </c>
      <c r="J2" s="266">
        <v>9</v>
      </c>
      <c r="K2" s="266">
        <v>10</v>
      </c>
      <c r="L2" s="266"/>
    </row>
    <row r="3" spans="1:16" ht="39.950000000000003" customHeight="1" x14ac:dyDescent="0.25">
      <c r="A3" s="355" t="s">
        <v>8</v>
      </c>
      <c r="B3" s="355"/>
      <c r="C3" s="355"/>
      <c r="D3" s="355"/>
      <c r="E3" s="267"/>
      <c r="F3" s="267"/>
      <c r="G3" s="267"/>
      <c r="H3" s="267"/>
      <c r="I3" s="267"/>
      <c r="J3" s="267"/>
      <c r="K3" s="267"/>
      <c r="L3" s="267"/>
    </row>
    <row r="4" spans="1:16" ht="26.25" x14ac:dyDescent="0.25">
      <c r="A4" s="268"/>
      <c r="B4" s="269"/>
      <c r="C4" s="269"/>
      <c r="D4" s="270"/>
      <c r="E4" s="271" t="s">
        <v>9</v>
      </c>
      <c r="F4" s="269"/>
      <c r="G4" s="272"/>
      <c r="H4" s="272"/>
      <c r="I4" s="272"/>
      <c r="J4" s="272"/>
      <c r="K4" s="272"/>
      <c r="L4" s="273" t="e">
        <f>CONCATENATE(VLOOKUP(D5,TableCourses[],2,FALSE),VLOOKUP(D7,TableStudyPeriod[],2,FALSE))</f>
        <v>#N/A</v>
      </c>
    </row>
    <row r="5" spans="1:16" ht="20.100000000000001" customHeight="1" x14ac:dyDescent="0.25">
      <c r="B5" s="275"/>
      <c r="C5" s="275" t="s">
        <v>10</v>
      </c>
      <c r="D5" s="352" t="s">
        <v>250</v>
      </c>
      <c r="E5" s="276"/>
      <c r="F5" s="275" t="s">
        <v>11</v>
      </c>
      <c r="G5" s="276" t="str">
        <f>IFERROR(CONCATENATE(VLOOKUP(D5,TableCourses[],2,FALSE)," ",VLOOKUP(D5,TableCourses[],3,FALSE)),"")</f>
        <v/>
      </c>
      <c r="H5" s="276"/>
      <c r="I5" s="276"/>
      <c r="J5" s="276"/>
      <c r="K5" s="276"/>
      <c r="L5" s="277"/>
    </row>
    <row r="6" spans="1:16" ht="20.100000000000001" customHeight="1" x14ac:dyDescent="0.25">
      <c r="B6" s="275"/>
      <c r="C6" s="275" t="s">
        <v>12</v>
      </c>
      <c r="D6" s="353" t="s">
        <v>252</v>
      </c>
      <c r="E6" s="276"/>
      <c r="F6" s="275" t="s">
        <v>14</v>
      </c>
      <c r="G6" s="276" t="str">
        <f>IFERROR(CONCATENATE(VLOOKUP(D6,TableSpecialisations[],2,FALSE)," ",VLOOKUP(D6,TableSpecialisations[],3,FALSE)),"")</f>
        <v/>
      </c>
      <c r="H6" s="276"/>
      <c r="I6" s="276"/>
      <c r="J6" s="276"/>
      <c r="K6" s="276"/>
      <c r="L6" s="278" t="e">
        <f>VLOOKUP(D6,TableSpecialisations[],2,FALSE)</f>
        <v>#N/A</v>
      </c>
    </row>
    <row r="7" spans="1:16" ht="20.100000000000001" customHeight="1" x14ac:dyDescent="0.25">
      <c r="A7" s="279"/>
      <c r="B7" s="280"/>
      <c r="C7" s="275" t="s">
        <v>15</v>
      </c>
      <c r="D7" s="354" t="s">
        <v>251</v>
      </c>
      <c r="E7" s="281"/>
      <c r="F7" s="275" t="s">
        <v>17</v>
      </c>
      <c r="G7" s="276" t="str">
        <f>IFERROR(VLOOKUP($D$5,TableCourses[],4,FALSE),"")</f>
        <v/>
      </c>
      <c r="H7" s="282"/>
      <c r="I7" s="282"/>
      <c r="J7" s="282"/>
      <c r="K7" s="282"/>
      <c r="L7" s="282"/>
    </row>
    <row r="8" spans="1:16" s="290" customFormat="1" ht="14.1" customHeight="1" x14ac:dyDescent="0.25">
      <c r="A8" s="283"/>
      <c r="B8" s="283"/>
      <c r="C8" s="283"/>
      <c r="D8" s="284"/>
      <c r="E8" s="285"/>
      <c r="F8" s="283"/>
      <c r="G8" s="283"/>
      <c r="H8" s="286" t="s">
        <v>18</v>
      </c>
      <c r="I8" s="287"/>
      <c r="J8" s="287"/>
      <c r="K8" s="288"/>
      <c r="L8" s="285"/>
      <c r="M8" s="289"/>
      <c r="N8" s="289"/>
      <c r="O8" s="289"/>
    </row>
    <row r="9" spans="1:16" s="290" customFormat="1" ht="21" x14ac:dyDescent="0.25">
      <c r="A9" s="283" t="s">
        <v>19</v>
      </c>
      <c r="B9" s="283"/>
      <c r="C9" s="283"/>
      <c r="D9" s="284" t="s">
        <v>3</v>
      </c>
      <c r="E9" s="291" t="s">
        <v>20</v>
      </c>
      <c r="F9" s="292" t="s">
        <v>21</v>
      </c>
      <c r="G9" s="283" t="s">
        <v>22</v>
      </c>
      <c r="H9" s="293" t="s">
        <v>23</v>
      </c>
      <c r="I9" s="291" t="s">
        <v>24</v>
      </c>
      <c r="J9" s="291" t="s">
        <v>25</v>
      </c>
      <c r="K9" s="294" t="s">
        <v>26</v>
      </c>
      <c r="L9" s="283" t="s">
        <v>27</v>
      </c>
      <c r="M9" s="289"/>
      <c r="N9" s="289"/>
      <c r="O9" s="289"/>
    </row>
    <row r="10" spans="1:16" s="303" customFormat="1" ht="20.100000000000001" customHeight="1" x14ac:dyDescent="0.15">
      <c r="A10" s="295" t="str">
        <f>IFERROR(IF(HLOOKUP($L$4,RangeUnitsets,M10,FALSE)=0,"",HLOOKUP($L$4,RangeUnitsets,M10,FALSE)),"")</f>
        <v/>
      </c>
      <c r="B10" s="296" t="str">
        <f>IFERROR(IF(VLOOKUP($A10,TableHandbook[],2,FALSE)=0,"",VLOOKUP($A10,TableHandbook[],2,FALSE)),"")</f>
        <v/>
      </c>
      <c r="C10" s="296" t="str">
        <f>IFERROR(IF(VLOOKUP($A10,TableHandbook[],3,FALSE)=0,"",VLOOKUP($A10,TableHandbook[],3,FALSE)),"")</f>
        <v/>
      </c>
      <c r="D10" s="297" t="str">
        <f>IFERROR(IF(VLOOKUP($A10,TableHandbook[],4,FALSE)=0,"",VLOOKUP($A10,TableHandbook[],4,FALSE)),"")</f>
        <v/>
      </c>
      <c r="E10" s="296" t="str">
        <f>IF(A10="","",VLOOKUP($D$7,TableStudyPeriod[],2,FALSE))</f>
        <v/>
      </c>
      <c r="F10" s="298" t="str">
        <f>IFERROR(IF(VLOOKUP($A10,TableHandbook[],6,FALSE)=0,"",VLOOKUP($A10,TableHandbook[],6,FALSE)),"")</f>
        <v/>
      </c>
      <c r="G10" s="296" t="str">
        <f>IFERROR(IF(VLOOKUP($A10,TableHandbook[],5,FALSE)=0,"",VLOOKUP($A10,TableHandbook[],5,FALSE)),"")</f>
        <v/>
      </c>
      <c r="H10" s="299" t="str">
        <f>IFERROR(VLOOKUP($A10,TableHandbook[],H$2,FALSE),"")</f>
        <v/>
      </c>
      <c r="I10" s="296" t="str">
        <f>IFERROR(VLOOKUP($A10,TableHandbook[],I$2,FALSE),"")</f>
        <v/>
      </c>
      <c r="J10" s="296" t="str">
        <f>IFERROR(VLOOKUP($A10,TableHandbook[],J$2,FALSE),"")</f>
        <v/>
      </c>
      <c r="K10" s="300" t="str">
        <f>IFERROR(VLOOKUP($A10,TableHandbook[],K$2,FALSE),"")</f>
        <v/>
      </c>
      <c r="L10" s="73"/>
      <c r="M10" s="301">
        <v>2</v>
      </c>
      <c r="N10" s="302"/>
      <c r="O10" s="302"/>
    </row>
    <row r="11" spans="1:16" s="303" customFormat="1" ht="20.100000000000001" customHeight="1" x14ac:dyDescent="0.15">
      <c r="A11" s="295" t="str">
        <f>IFERROR(IF(HLOOKUP($L$4,RangeUnitsets,M11,FALSE)=0,"",HLOOKUP($L$4,RangeUnitsets,M11,FALSE)),"")</f>
        <v/>
      </c>
      <c r="B11" s="296" t="str">
        <f>IFERROR(IF(VLOOKUP($A11,TableHandbook[],2,FALSE)=0,"",VLOOKUP($A11,TableHandbook[],2,FALSE)),"")</f>
        <v/>
      </c>
      <c r="C11" s="296" t="str">
        <f>IFERROR(IF(VLOOKUP($A11,TableHandbook[],3,FALSE)=0,"",VLOOKUP($A11,TableHandbook[],3,FALSE)),"")</f>
        <v/>
      </c>
      <c r="D11" s="297" t="str">
        <f>IFERROR(IF(VLOOKUP($A11,TableHandbook[],4,FALSE)=0,"",VLOOKUP($A11,TableHandbook[],4,FALSE)),"")</f>
        <v/>
      </c>
      <c r="E11" s="296" t="str">
        <f>IF(A11="","",E10)</f>
        <v/>
      </c>
      <c r="F11" s="298" t="str">
        <f>IFERROR(IF(VLOOKUP($A11,TableHandbook[],6,FALSE)=0,"",VLOOKUP($A11,TableHandbook[],6,FALSE)),"")</f>
        <v/>
      </c>
      <c r="G11" s="296" t="str">
        <f>IFERROR(IF(VLOOKUP($A11,TableHandbook[],5,FALSE)=0,"",VLOOKUP($A11,TableHandbook[],5,FALSE)),"")</f>
        <v/>
      </c>
      <c r="H11" s="299" t="str">
        <f>IFERROR(VLOOKUP($A11,TableHandbook[],H$2,FALSE),"")</f>
        <v/>
      </c>
      <c r="I11" s="296" t="str">
        <f>IFERROR(VLOOKUP($A11,TableHandbook[],I$2,FALSE),"")</f>
        <v/>
      </c>
      <c r="J11" s="296" t="str">
        <f>IFERROR(VLOOKUP($A11,TableHandbook[],J$2,FALSE),"")</f>
        <v/>
      </c>
      <c r="K11" s="300" t="str">
        <f>IFERROR(VLOOKUP($A11,TableHandbook[],K$2,FALSE),"")</f>
        <v/>
      </c>
      <c r="L11" s="73"/>
      <c r="M11" s="301">
        <v>3</v>
      </c>
      <c r="N11" s="302"/>
      <c r="O11" s="302"/>
    </row>
    <row r="12" spans="1:16" s="303" customFormat="1" ht="20.100000000000001" customHeight="1" x14ac:dyDescent="0.15">
      <c r="A12" s="295" t="str">
        <f>IFERROR(IF(HLOOKUP($L$4,RangeUnitsets,M12,FALSE)=0,"",HLOOKUP($L$4,RangeUnitsets,M12,FALSE)),"")</f>
        <v/>
      </c>
      <c r="B12" s="296" t="str">
        <f>IFERROR(IF(VLOOKUP($A12,TableHandbook[],2,FALSE)=0,"",VLOOKUP($A12,TableHandbook[],2,FALSE)),"")</f>
        <v/>
      </c>
      <c r="C12" s="296" t="str">
        <f>IFERROR(IF(VLOOKUP($A12,TableHandbook[],3,FALSE)=0,"",VLOOKUP($A12,TableHandbook[],3,FALSE)),"")</f>
        <v/>
      </c>
      <c r="D12" s="297" t="str">
        <f>IFERROR(IF(VLOOKUP($A12,TableHandbook[],4,FALSE)=0,"",VLOOKUP($A12,TableHandbook[],4,FALSE)),"")</f>
        <v/>
      </c>
      <c r="E12" s="296" t="str">
        <f>IF(A12="","",E11)</f>
        <v/>
      </c>
      <c r="F12" s="298" t="str">
        <f>IFERROR(IF(VLOOKUP($A12,TableHandbook[],6,FALSE)=0,"",VLOOKUP($A12,TableHandbook[],6,FALSE)),"")</f>
        <v/>
      </c>
      <c r="G12" s="296" t="str">
        <f>IFERROR(IF(VLOOKUP($A12,TableHandbook[],5,FALSE)=0,"",VLOOKUP($A12,TableHandbook[],5,FALSE)),"")</f>
        <v/>
      </c>
      <c r="H12" s="299" t="str">
        <f>IFERROR(VLOOKUP($A12,TableHandbook[],H$2,FALSE),"")</f>
        <v/>
      </c>
      <c r="I12" s="296" t="str">
        <f>IFERROR(VLOOKUP($A12,TableHandbook[],I$2,FALSE),"")</f>
        <v/>
      </c>
      <c r="J12" s="296" t="str">
        <f>IFERROR(VLOOKUP($A12,TableHandbook[],J$2,FALSE),"")</f>
        <v/>
      </c>
      <c r="K12" s="300" t="str">
        <f>IFERROR(VLOOKUP($A12,TableHandbook[],K$2,FALSE),"")</f>
        <v/>
      </c>
      <c r="L12" s="74"/>
      <c r="M12" s="301">
        <v>4</v>
      </c>
      <c r="N12" s="302"/>
      <c r="O12" s="302"/>
    </row>
    <row r="13" spans="1:16" s="303" customFormat="1" ht="20.100000000000001" customHeight="1" x14ac:dyDescent="0.15">
      <c r="A13" s="295" t="str">
        <f>IFERROR(IF(HLOOKUP($L$4,RangeUnitsets,M13,FALSE)=0,"",HLOOKUP($L$4,RangeUnitsets,M13,FALSE)),"")</f>
        <v/>
      </c>
      <c r="B13" s="296" t="str">
        <f>IFERROR(IF(VLOOKUP($A13,TableHandbook[],2,FALSE)=0,"",VLOOKUP($A13,TableHandbook[],2,FALSE)),"")</f>
        <v/>
      </c>
      <c r="C13" s="296" t="str">
        <f>IFERROR(IF(VLOOKUP($A13,TableHandbook[],3,FALSE)=0,"",VLOOKUP($A13,TableHandbook[],3,FALSE)),"")</f>
        <v/>
      </c>
      <c r="D13" s="297" t="str">
        <f>IFERROR(IF(VLOOKUP($A13,TableHandbook[],4,FALSE)=0,"",VLOOKUP($A13,TableHandbook[],4,FALSE)),"")</f>
        <v/>
      </c>
      <c r="E13" s="296" t="str">
        <f>IF(A13="","",E12)</f>
        <v/>
      </c>
      <c r="F13" s="298" t="str">
        <f>IFERROR(IF(VLOOKUP($A13,TableHandbook[],6,FALSE)=0,"",VLOOKUP($A13,TableHandbook[],6,FALSE)),"")</f>
        <v/>
      </c>
      <c r="G13" s="296" t="str">
        <f>IFERROR(IF(VLOOKUP($A13,TableHandbook[],5,FALSE)=0,"",VLOOKUP($A13,TableHandbook[],5,FALSE)),"")</f>
        <v/>
      </c>
      <c r="H13" s="299" t="str">
        <f>IFERROR(VLOOKUP($A13,TableHandbook[],H$2,FALSE),"")</f>
        <v/>
      </c>
      <c r="I13" s="296" t="str">
        <f>IFERROR(VLOOKUP($A13,TableHandbook[],I$2,FALSE),"")</f>
        <v/>
      </c>
      <c r="J13" s="296" t="str">
        <f>IFERROR(VLOOKUP($A13,TableHandbook[],J$2,FALSE),"")</f>
        <v/>
      </c>
      <c r="K13" s="300" t="str">
        <f>IFERROR(VLOOKUP($A13,TableHandbook[],K$2,FALSE),"")</f>
        <v/>
      </c>
      <c r="L13" s="73"/>
      <c r="M13" s="301">
        <v>5</v>
      </c>
      <c r="N13" s="302"/>
      <c r="O13" s="302"/>
    </row>
    <row r="14" spans="1:16" s="303" customFormat="1" ht="5.0999999999999996" customHeight="1" x14ac:dyDescent="0.15">
      <c r="A14" s="304"/>
      <c r="B14" s="305"/>
      <c r="C14" s="305"/>
      <c r="D14" s="306"/>
      <c r="E14" s="305"/>
      <c r="F14" s="307"/>
      <c r="G14" s="305"/>
      <c r="H14" s="308"/>
      <c r="I14" s="305"/>
      <c r="J14" s="305"/>
      <c r="K14" s="309"/>
      <c r="L14" s="171"/>
      <c r="M14" s="301"/>
      <c r="N14" s="302"/>
      <c r="O14" s="302"/>
      <c r="P14" s="302"/>
    </row>
    <row r="15" spans="1:16" s="303" customFormat="1" ht="20.100000000000001" customHeight="1" x14ac:dyDescent="0.15">
      <c r="A15" s="295" t="str">
        <f>IFERROR(IF(HLOOKUP($L$4,RangeUnitsets,M15,FALSE)=0,"",HLOOKUP($L$4,RangeUnitsets,M15,FALSE)),"")</f>
        <v/>
      </c>
      <c r="B15" s="310" t="str">
        <f>IFERROR(IF(VLOOKUP($A15,TableHandbook[],2,FALSE)=0,"",VLOOKUP($A15,TableHandbook[],2,FALSE)),"")</f>
        <v/>
      </c>
      <c r="C15" s="310" t="str">
        <f>IFERROR(IF(VLOOKUP($A15,TableHandbook[],3,FALSE)=0,"",VLOOKUP($A15,TableHandbook[],3,FALSE)),"")</f>
        <v/>
      </c>
      <c r="D15" s="297" t="str">
        <f>IFERROR(IF(VLOOKUP($A15,TableHandbook[],4,FALSE)=0,"",VLOOKUP($A15,TableHandbook[],4,FALSE)),"")</f>
        <v/>
      </c>
      <c r="E15" s="296" t="str">
        <f>IF(A15="","",VLOOKUP($D$7,TableStudyPeriod[],3,FALSE))</f>
        <v/>
      </c>
      <c r="F15" s="298" t="str">
        <f>IFERROR(IF(VLOOKUP($A15,TableHandbook[],6,FALSE)=0,"",VLOOKUP($A15,TableHandbook[],6,FALSE)),"")</f>
        <v/>
      </c>
      <c r="G15" s="310" t="str">
        <f>IFERROR(IF(VLOOKUP($A15,TableHandbook[],5,FALSE)=0,"",VLOOKUP($A15,TableHandbook[],5,FALSE)),"")</f>
        <v/>
      </c>
      <c r="H15" s="311" t="str">
        <f>IFERROR(VLOOKUP($A15,TableHandbook[],H$2,FALSE),"")</f>
        <v/>
      </c>
      <c r="I15" s="310" t="str">
        <f>IFERROR(VLOOKUP($A15,TableHandbook[],I$2,FALSE),"")</f>
        <v/>
      </c>
      <c r="J15" s="310" t="str">
        <f>IFERROR(VLOOKUP($A15,TableHandbook[],J$2,FALSE),"")</f>
        <v/>
      </c>
      <c r="K15" s="312" t="str">
        <f>IFERROR(VLOOKUP($A15,TableHandbook[],K$2,FALSE),"")</f>
        <v/>
      </c>
      <c r="L15" s="74"/>
      <c r="M15" s="301">
        <v>6</v>
      </c>
      <c r="N15" s="302"/>
      <c r="O15" s="302"/>
    </row>
    <row r="16" spans="1:16" s="314" customFormat="1" ht="20.100000000000001" customHeight="1" x14ac:dyDescent="0.15">
      <c r="A16" s="295" t="str">
        <f>IFERROR(IF(HLOOKUP($L$4,RangeUnitsets,M16,FALSE)=0,"",HLOOKUP($L$4,RangeUnitsets,M16,FALSE)),"")</f>
        <v/>
      </c>
      <c r="B16" s="310" t="str">
        <f>IFERROR(IF(VLOOKUP($A16,TableHandbook[],2,FALSE)=0,"",VLOOKUP($A16,TableHandbook[],2,FALSE)),"")</f>
        <v/>
      </c>
      <c r="C16" s="310" t="str">
        <f>IFERROR(IF(VLOOKUP($A16,TableHandbook[],3,FALSE)=0,"",VLOOKUP($A16,TableHandbook[],3,FALSE)),"")</f>
        <v/>
      </c>
      <c r="D16" s="297" t="str">
        <f>IFERROR(IF(VLOOKUP($A16,TableHandbook[],4,FALSE)=0,"",VLOOKUP($A16,TableHandbook[],4,FALSE)),"")</f>
        <v/>
      </c>
      <c r="E16" s="296" t="str">
        <f>IF(A16="","",E15)</f>
        <v/>
      </c>
      <c r="F16" s="298" t="str">
        <f>IFERROR(IF(VLOOKUP($A16,TableHandbook[],6,FALSE)=0,"",VLOOKUP($A16,TableHandbook[],6,FALSE)),"")</f>
        <v/>
      </c>
      <c r="G16" s="310" t="str">
        <f>IFERROR(IF(VLOOKUP($A16,TableHandbook[],5,FALSE)=0,"",VLOOKUP($A16,TableHandbook[],5,FALSE)),"")</f>
        <v/>
      </c>
      <c r="H16" s="311" t="str">
        <f>IFERROR(VLOOKUP($A16,TableHandbook[],H$2,FALSE),"")</f>
        <v/>
      </c>
      <c r="I16" s="310" t="str">
        <f>IFERROR(VLOOKUP($A16,TableHandbook[],I$2,FALSE),"")</f>
        <v/>
      </c>
      <c r="J16" s="310" t="str">
        <f>IFERROR(VLOOKUP($A16,TableHandbook[],J$2,FALSE),"")</f>
        <v/>
      </c>
      <c r="K16" s="312" t="str">
        <f>IFERROR(VLOOKUP($A16,TableHandbook[],K$2,FALSE),"")</f>
        <v/>
      </c>
      <c r="L16" s="74"/>
      <c r="M16" s="301">
        <v>7</v>
      </c>
      <c r="N16" s="313"/>
      <c r="O16" s="313"/>
    </row>
    <row r="17" spans="1:16" s="314" customFormat="1" ht="20.100000000000001" customHeight="1" x14ac:dyDescent="0.15">
      <c r="A17" s="295" t="str">
        <f>IFERROR(IF(HLOOKUP($L$4,RangeUnitsets,M17,FALSE)=0,"",HLOOKUP($L$4,RangeUnitsets,M17,FALSE)),"")</f>
        <v/>
      </c>
      <c r="B17" s="310" t="str">
        <f>IFERROR(IF(VLOOKUP($A17,TableHandbook[],2,FALSE)=0,"",VLOOKUP($A17,TableHandbook[],2,FALSE)),"")</f>
        <v/>
      </c>
      <c r="C17" s="310" t="str">
        <f>IFERROR(IF(VLOOKUP($A17,TableHandbook[],3,FALSE)=0,"",VLOOKUP($A17,TableHandbook[],3,FALSE)),"")</f>
        <v/>
      </c>
      <c r="D17" s="297" t="str">
        <f>IFERROR(IF(VLOOKUP($A17,TableHandbook[],4,FALSE)=0,"",VLOOKUP($A17,TableHandbook[],4,FALSE)),"")</f>
        <v/>
      </c>
      <c r="E17" s="296" t="str">
        <f>IF(A17="","",E16)</f>
        <v/>
      </c>
      <c r="F17" s="298" t="str">
        <f>IFERROR(IF(VLOOKUP($A17,TableHandbook[],6,FALSE)=0,"",VLOOKUP($A17,TableHandbook[],6,FALSE)),"")</f>
        <v/>
      </c>
      <c r="G17" s="310" t="str">
        <f>IFERROR(IF(VLOOKUP($A17,TableHandbook[],5,FALSE)=0,"",VLOOKUP($A17,TableHandbook[],5,FALSE)),"")</f>
        <v/>
      </c>
      <c r="H17" s="311" t="str">
        <f>IFERROR(VLOOKUP($A17,TableHandbook[],H$2,FALSE),"")</f>
        <v/>
      </c>
      <c r="I17" s="310" t="str">
        <f>IFERROR(VLOOKUP($A17,TableHandbook[],I$2,FALSE),"")</f>
        <v/>
      </c>
      <c r="J17" s="310" t="str">
        <f>IFERROR(VLOOKUP($A17,TableHandbook[],J$2,FALSE),"")</f>
        <v/>
      </c>
      <c r="K17" s="312" t="str">
        <f>IFERROR(VLOOKUP($A17,TableHandbook[],K$2,FALSE),"")</f>
        <v/>
      </c>
      <c r="L17" s="74"/>
      <c r="M17" s="301">
        <v>8</v>
      </c>
      <c r="N17" s="313"/>
      <c r="O17" s="313"/>
    </row>
    <row r="18" spans="1:16" s="314" customFormat="1" ht="20.100000000000001" customHeight="1" x14ac:dyDescent="0.15">
      <c r="A18" s="295" t="str">
        <f>IFERROR(IF(HLOOKUP($L$4,RangeUnitsets,M18,FALSE)=0,"",HLOOKUP($L$4,RangeUnitsets,M18,FALSE)),"")</f>
        <v/>
      </c>
      <c r="B18" s="310" t="str">
        <f>IFERROR(IF(VLOOKUP($A18,TableHandbook[],2,FALSE)=0,"",VLOOKUP($A18,TableHandbook[],2,FALSE)),"")</f>
        <v/>
      </c>
      <c r="C18" s="310" t="str">
        <f>IFERROR(IF(VLOOKUP($A18,TableHandbook[],3,FALSE)=0,"",VLOOKUP($A18,TableHandbook[],3,FALSE)),"")</f>
        <v/>
      </c>
      <c r="D18" s="315" t="str">
        <f>IFERROR(IF(VLOOKUP($A18,TableHandbook[],4,FALSE)=0,"",VLOOKUP($A18,TableHandbook[],4,FALSE)),"")</f>
        <v/>
      </c>
      <c r="E18" s="310" t="str">
        <f>IF(A18="","",E17)</f>
        <v/>
      </c>
      <c r="F18" s="298" t="str">
        <f>IFERROR(IF(VLOOKUP($A18,TableHandbook[],6,FALSE)=0,"",VLOOKUP($A18,TableHandbook[],6,FALSE)),"")</f>
        <v/>
      </c>
      <c r="G18" s="310" t="str">
        <f>IFERROR(IF(VLOOKUP($A18,TableHandbook[],5,FALSE)=0,"",VLOOKUP($A18,TableHandbook[],5,FALSE)),"")</f>
        <v/>
      </c>
      <c r="H18" s="311" t="str">
        <f>IFERROR(VLOOKUP($A18,TableHandbook[],H$2,FALSE),"")</f>
        <v/>
      </c>
      <c r="I18" s="310" t="str">
        <f>IFERROR(VLOOKUP($A18,TableHandbook[],I$2,FALSE),"")</f>
        <v/>
      </c>
      <c r="J18" s="310" t="str">
        <f>IFERROR(VLOOKUP($A18,TableHandbook[],J$2,FALSE),"")</f>
        <v/>
      </c>
      <c r="K18" s="312" t="str">
        <f>IFERROR(VLOOKUP($A18,TableHandbook[],K$2,FALSE),"")</f>
        <v/>
      </c>
      <c r="L18" s="74"/>
      <c r="M18" s="301">
        <v>9</v>
      </c>
      <c r="N18" s="313"/>
      <c r="O18" s="313"/>
    </row>
    <row r="19" spans="1:16" s="290" customFormat="1" ht="21" x14ac:dyDescent="0.25">
      <c r="A19" s="283" t="s">
        <v>28</v>
      </c>
      <c r="B19" s="283"/>
      <c r="C19" s="283"/>
      <c r="D19" s="284" t="s">
        <v>3</v>
      </c>
      <c r="E19" s="291" t="s">
        <v>20</v>
      </c>
      <c r="F19" s="292" t="s">
        <v>21</v>
      </c>
      <c r="G19" s="283" t="s">
        <v>22</v>
      </c>
      <c r="H19" s="293" t="s">
        <v>23</v>
      </c>
      <c r="I19" s="291" t="s">
        <v>24</v>
      </c>
      <c r="J19" s="291" t="s">
        <v>25</v>
      </c>
      <c r="K19" s="294" t="s">
        <v>26</v>
      </c>
      <c r="L19" s="283" t="s">
        <v>27</v>
      </c>
      <c r="M19" s="316"/>
      <c r="N19" s="289"/>
      <c r="O19" s="289"/>
    </row>
    <row r="20" spans="1:16" s="303" customFormat="1" ht="20.100000000000001" customHeight="1" x14ac:dyDescent="0.15">
      <c r="A20" s="295" t="str">
        <f>IFERROR(IF(HLOOKUP($L$4,RangeUnitsets,M20,FALSE)=0,"",HLOOKUP($L$4,RangeUnitsets,M20,FALSE)),"")</f>
        <v/>
      </c>
      <c r="B20" s="310" t="str">
        <f>IFERROR(IF(VLOOKUP($A20,TableHandbook[],2,FALSE)=0,"",VLOOKUP($A20,TableHandbook[],2,FALSE)),"")</f>
        <v/>
      </c>
      <c r="C20" s="310" t="str">
        <f>IFERROR(IF(VLOOKUP($A20,TableHandbook[],3,FALSE)=0,"",VLOOKUP($A20,TableHandbook[],3,FALSE)),"")</f>
        <v/>
      </c>
      <c r="D20" s="317" t="str">
        <f>IFERROR(IF(VLOOKUP($A20,TableHandbook[],4,FALSE)=0,"",VLOOKUP($A20,TableHandbook[],4,FALSE)),"")</f>
        <v/>
      </c>
      <c r="E20" s="310" t="str">
        <f>IF(A20="","",VLOOKUP($D$7,TableStudyPeriod[],2,FALSE))</f>
        <v/>
      </c>
      <c r="F20" s="298" t="str">
        <f>IFERROR(IF(VLOOKUP($A20,TableHandbook[],6,FALSE)=0,"",VLOOKUP($A20,TableHandbook[],6,FALSE)),"")</f>
        <v/>
      </c>
      <c r="G20" s="296" t="str">
        <f>IFERROR(IF(VLOOKUP($A20,TableHandbook[],5,FALSE)=0,"",VLOOKUP($A20,TableHandbook[],5,FALSE)),"")</f>
        <v/>
      </c>
      <c r="H20" s="299" t="str">
        <f>IFERROR(VLOOKUP($A20,TableHandbook[],H$2,FALSE),"")</f>
        <v/>
      </c>
      <c r="I20" s="296" t="str">
        <f>IFERROR(VLOOKUP($A20,TableHandbook[],I$2,FALSE),"")</f>
        <v/>
      </c>
      <c r="J20" s="296" t="str">
        <f>IFERROR(VLOOKUP($A20,TableHandbook[],J$2,FALSE),"")</f>
        <v/>
      </c>
      <c r="K20" s="300" t="str">
        <f>IFERROR(VLOOKUP($A20,TableHandbook[],K$2,FALSE),"")</f>
        <v/>
      </c>
      <c r="L20" s="70"/>
      <c r="M20" s="301">
        <v>10</v>
      </c>
      <c r="N20" s="302"/>
      <c r="O20" s="302"/>
    </row>
    <row r="21" spans="1:16" s="303" customFormat="1" ht="20.100000000000001" customHeight="1" x14ac:dyDescent="0.15">
      <c r="A21" s="295" t="str">
        <f>IFERROR(IF(HLOOKUP($L$4,RangeUnitsets,M21,FALSE)=0,"",HLOOKUP($L$4,RangeUnitsets,M21,FALSE)),"")</f>
        <v/>
      </c>
      <c r="B21" s="310" t="str">
        <f>IFERROR(IF(VLOOKUP($A21,TableHandbook[],2,FALSE)=0,"",VLOOKUP($A21,TableHandbook[],2,FALSE)),"")</f>
        <v/>
      </c>
      <c r="C21" s="310" t="str">
        <f>IFERROR(IF(VLOOKUP($A21,TableHandbook[],3,FALSE)=0,"",VLOOKUP($A21,TableHandbook[],3,FALSE)),"")</f>
        <v/>
      </c>
      <c r="D21" s="315" t="str">
        <f>IFERROR(IF(VLOOKUP($A21,TableHandbook[],4,FALSE)=0,"",VLOOKUP($A21,TableHandbook[],4,FALSE)),"")</f>
        <v/>
      </c>
      <c r="E21" s="310" t="str">
        <f>IF(A21="","",E20)</f>
        <v/>
      </c>
      <c r="F21" s="298" t="str">
        <f>IFERROR(IF(VLOOKUP($A21,TableHandbook[],6,FALSE)=0,"",VLOOKUP($A21,TableHandbook[],6,FALSE)),"")</f>
        <v/>
      </c>
      <c r="G21" s="296" t="str">
        <f>IFERROR(IF(VLOOKUP($A21,TableHandbook[],5,FALSE)=0,"",VLOOKUP($A21,TableHandbook[],5,FALSE)),"")</f>
        <v/>
      </c>
      <c r="H21" s="299" t="str">
        <f>IFERROR(VLOOKUP($A21,TableHandbook[],H$2,FALSE),"")</f>
        <v/>
      </c>
      <c r="I21" s="296" t="str">
        <f>IFERROR(VLOOKUP($A21,TableHandbook[],I$2,FALSE),"")</f>
        <v/>
      </c>
      <c r="J21" s="296" t="str">
        <f>IFERROR(VLOOKUP($A21,TableHandbook[],J$2,FALSE),"")</f>
        <v/>
      </c>
      <c r="K21" s="300" t="str">
        <f>IFERROR(VLOOKUP($A21,TableHandbook[],K$2,FALSE),"")</f>
        <v/>
      </c>
      <c r="L21" s="70"/>
      <c r="M21" s="301">
        <v>11</v>
      </c>
      <c r="N21" s="302"/>
      <c r="O21" s="302"/>
    </row>
    <row r="22" spans="1:16" s="303" customFormat="1" ht="20.100000000000001" customHeight="1" x14ac:dyDescent="0.15">
      <c r="A22" s="295" t="str">
        <f>IFERROR(IF(HLOOKUP($L$4,RangeUnitsets,M22,FALSE)=0,"",HLOOKUP($L$4,RangeUnitsets,M22,FALSE)),"")</f>
        <v/>
      </c>
      <c r="B22" s="310" t="str">
        <f>IFERROR(IF(VLOOKUP($A22,TableHandbook[],2,FALSE)=0,"",VLOOKUP($A22,TableHandbook[],2,FALSE)),"")</f>
        <v/>
      </c>
      <c r="C22" s="310" t="str">
        <f>IFERROR(IF(VLOOKUP($A22,TableHandbook[],3,FALSE)=0,"",VLOOKUP($A22,TableHandbook[],3,FALSE)),"")</f>
        <v/>
      </c>
      <c r="D22" s="315" t="str">
        <f>IFERROR(IF(VLOOKUP($A22,TableHandbook[],4,FALSE)=0,"",VLOOKUP($A22,TableHandbook[],4,FALSE)),"")</f>
        <v/>
      </c>
      <c r="E22" s="310" t="str">
        <f>IF(A22="","",E21)</f>
        <v/>
      </c>
      <c r="F22" s="298" t="str">
        <f>IFERROR(IF(VLOOKUP($A22,TableHandbook[],6,FALSE)=0,"",VLOOKUP($A22,TableHandbook[],6,FALSE)),"")</f>
        <v/>
      </c>
      <c r="G22" s="296" t="str">
        <f>IFERROR(IF(VLOOKUP($A22,TableHandbook[],5,FALSE)=0,"",VLOOKUP($A22,TableHandbook[],5,FALSE)),"")</f>
        <v/>
      </c>
      <c r="H22" s="299" t="str">
        <f>IFERROR(VLOOKUP($A22,TableHandbook[],H$2,FALSE),"")</f>
        <v/>
      </c>
      <c r="I22" s="296" t="str">
        <f>IFERROR(VLOOKUP($A22,TableHandbook[],I$2,FALSE),"")</f>
        <v/>
      </c>
      <c r="J22" s="296" t="str">
        <f>IFERROR(VLOOKUP($A22,TableHandbook[],J$2,FALSE),"")</f>
        <v/>
      </c>
      <c r="K22" s="300" t="str">
        <f>IFERROR(VLOOKUP($A22,TableHandbook[],K$2,FALSE),"")</f>
        <v/>
      </c>
      <c r="L22" s="70"/>
      <c r="M22" s="301">
        <v>12</v>
      </c>
      <c r="N22" s="302"/>
      <c r="O22" s="302"/>
    </row>
    <row r="23" spans="1:16" s="303" customFormat="1" ht="20.100000000000001" customHeight="1" x14ac:dyDescent="0.15">
      <c r="A23" s="295" t="str">
        <f>IFERROR(IF(HLOOKUP($L$4,RangeUnitsets,M23,FALSE)=0,"",HLOOKUP($L$4,RangeUnitsets,M23,FALSE)),"")</f>
        <v/>
      </c>
      <c r="B23" s="310" t="str">
        <f>IFERROR(IF(VLOOKUP($A23,TableHandbook[],2,FALSE)=0,"",VLOOKUP($A23,TableHandbook[],2,FALSE)),"")</f>
        <v/>
      </c>
      <c r="C23" s="310" t="str">
        <f>IFERROR(IF(VLOOKUP($A23,TableHandbook[],3,FALSE)=0,"",VLOOKUP($A23,TableHandbook[],3,FALSE)),"")</f>
        <v/>
      </c>
      <c r="D23" s="315" t="str">
        <f>IFERROR(IF(VLOOKUP($A23,TableHandbook[],4,FALSE)=0,"",VLOOKUP($A23,TableHandbook[],4,FALSE)),"")</f>
        <v/>
      </c>
      <c r="E23" s="310" t="str">
        <f>IF(A23="","",E22)</f>
        <v/>
      </c>
      <c r="F23" s="298" t="str">
        <f>IFERROR(IF(VLOOKUP($A23,TableHandbook[],6,FALSE)=0,"",VLOOKUP($A23,TableHandbook[],6,FALSE)),"")</f>
        <v/>
      </c>
      <c r="G23" s="296" t="str">
        <f>IFERROR(IF(VLOOKUP($A23,TableHandbook[],5,FALSE)=0,"",VLOOKUP($A23,TableHandbook[],5,FALSE)),"")</f>
        <v/>
      </c>
      <c r="H23" s="299" t="str">
        <f>IFERROR(VLOOKUP($A23,TableHandbook[],H$2,FALSE),"")</f>
        <v/>
      </c>
      <c r="I23" s="296" t="str">
        <f>IFERROR(VLOOKUP($A23,TableHandbook[],I$2,FALSE),"")</f>
        <v/>
      </c>
      <c r="J23" s="296" t="str">
        <f>IFERROR(VLOOKUP($A23,TableHandbook[],J$2,FALSE),"")</f>
        <v/>
      </c>
      <c r="K23" s="300" t="str">
        <f>IFERROR(VLOOKUP($A23,TableHandbook[],K$2,FALSE),"")</f>
        <v/>
      </c>
      <c r="L23" s="70"/>
      <c r="M23" s="301">
        <v>13</v>
      </c>
      <c r="N23" s="302"/>
      <c r="O23" s="302"/>
    </row>
    <row r="24" spans="1:16" s="303" customFormat="1" ht="5.0999999999999996" customHeight="1" x14ac:dyDescent="0.15">
      <c r="A24" s="304"/>
      <c r="B24" s="305"/>
      <c r="C24" s="305"/>
      <c r="D24" s="306"/>
      <c r="E24" s="305"/>
      <c r="F24" s="307"/>
      <c r="G24" s="305"/>
      <c r="H24" s="308"/>
      <c r="I24" s="305"/>
      <c r="J24" s="305"/>
      <c r="K24" s="309"/>
      <c r="L24" s="171"/>
      <c r="M24" s="301"/>
      <c r="N24" s="302"/>
      <c r="O24" s="302"/>
      <c r="P24" s="302"/>
    </row>
    <row r="25" spans="1:16" s="303" customFormat="1" ht="20.100000000000001" customHeight="1" x14ac:dyDescent="0.15">
      <c r="A25" s="295" t="str">
        <f>IFERROR(IF(HLOOKUP($L$4,RangeUnitsets,M25,FALSE)=0,"",HLOOKUP($L$4,RangeUnitsets,M25,FALSE)),"")</f>
        <v/>
      </c>
      <c r="B25" s="310" t="str">
        <f>IFERROR(IF(VLOOKUP($A25,TableHandbook[],2,FALSE)=0,"",VLOOKUP($A25,TableHandbook[],2,FALSE)),"")</f>
        <v/>
      </c>
      <c r="C25" s="310" t="str">
        <f>IFERROR(IF(VLOOKUP($A25,TableHandbook[],3,FALSE)=0,"",VLOOKUP($A25,TableHandbook[],3,FALSE)),"")</f>
        <v/>
      </c>
      <c r="D25" s="315" t="str">
        <f>IFERROR(IF(VLOOKUP($A25,TableHandbook[],4,FALSE)=0,"",VLOOKUP($A25,TableHandbook[],4,FALSE)),"")</f>
        <v/>
      </c>
      <c r="E25" s="310" t="str">
        <f>IF(A25="","",VLOOKUP($D$7,TableStudyPeriod[],3,FALSE))</f>
        <v/>
      </c>
      <c r="F25" s="298" t="str">
        <f>IFERROR(IF(VLOOKUP($A25,TableHandbook[],6,FALSE)=0,"",VLOOKUP($A25,TableHandbook[],6,FALSE)),"")</f>
        <v/>
      </c>
      <c r="G25" s="296" t="str">
        <f>IFERROR(IF(VLOOKUP($A25,TableHandbook[],5,FALSE)=0,"",VLOOKUP($A25,TableHandbook[],5,FALSE)),"")</f>
        <v/>
      </c>
      <c r="H25" s="299" t="str">
        <f>IFERROR(VLOOKUP($A25,TableHandbook[],H$2,FALSE),"")</f>
        <v/>
      </c>
      <c r="I25" s="296" t="str">
        <f>IFERROR(VLOOKUP($A25,TableHandbook[],I$2,FALSE),"")</f>
        <v/>
      </c>
      <c r="J25" s="296" t="str">
        <f>IFERROR(VLOOKUP($A25,TableHandbook[],J$2,FALSE),"")</f>
        <v/>
      </c>
      <c r="K25" s="300" t="str">
        <f>IFERROR(VLOOKUP($A25,TableHandbook[],K$2,FALSE),"")</f>
        <v/>
      </c>
      <c r="L25" s="70"/>
      <c r="M25" s="301">
        <v>14</v>
      </c>
      <c r="N25" s="302"/>
      <c r="O25" s="302"/>
    </row>
    <row r="26" spans="1:16" s="303" customFormat="1" ht="20.100000000000001" customHeight="1" x14ac:dyDescent="0.15">
      <c r="A26" s="295" t="str">
        <f>IFERROR(IF(HLOOKUP($L$4,RangeUnitsets,M26,FALSE)=0,"",HLOOKUP($L$4,RangeUnitsets,M26,FALSE)),"")</f>
        <v/>
      </c>
      <c r="B26" s="310" t="str">
        <f>IFERROR(IF(VLOOKUP($A26,TableHandbook[],2,FALSE)=0,"",VLOOKUP($A26,TableHandbook[],2,FALSE)),"")</f>
        <v/>
      </c>
      <c r="C26" s="310" t="str">
        <f>IFERROR(IF(VLOOKUP($A26,TableHandbook[],3,FALSE)=0,"",VLOOKUP($A26,TableHandbook[],3,FALSE)),"")</f>
        <v/>
      </c>
      <c r="D26" s="315" t="str">
        <f>IFERROR(IF(VLOOKUP($A26,TableHandbook[],4,FALSE)=0,"",VLOOKUP($A26,TableHandbook[],4,FALSE)),"")</f>
        <v/>
      </c>
      <c r="E26" s="310" t="str">
        <f>IF(A26="","",E25)</f>
        <v/>
      </c>
      <c r="F26" s="298" t="str">
        <f>IFERROR(IF(VLOOKUP($A26,TableHandbook[],6,FALSE)=0,"",VLOOKUP($A26,TableHandbook[],6,FALSE)),"")</f>
        <v/>
      </c>
      <c r="G26" s="296" t="str">
        <f>IFERROR(IF(VLOOKUP($A26,TableHandbook[],5,FALSE)=0,"",VLOOKUP($A26,TableHandbook[],5,FALSE)),"")</f>
        <v/>
      </c>
      <c r="H26" s="299" t="str">
        <f>IFERROR(VLOOKUP($A26,TableHandbook[],H$2,FALSE),"")</f>
        <v/>
      </c>
      <c r="I26" s="296" t="str">
        <f>IFERROR(VLOOKUP($A26,TableHandbook[],I$2,FALSE),"")</f>
        <v/>
      </c>
      <c r="J26" s="296" t="str">
        <f>IFERROR(VLOOKUP($A26,TableHandbook[],J$2,FALSE),"")</f>
        <v/>
      </c>
      <c r="K26" s="300" t="str">
        <f>IFERROR(VLOOKUP($A26,TableHandbook[],K$2,FALSE),"")</f>
        <v/>
      </c>
      <c r="L26" s="70"/>
      <c r="M26" s="301">
        <v>15</v>
      </c>
      <c r="N26" s="302"/>
      <c r="O26" s="302"/>
    </row>
    <row r="27" spans="1:16" s="314" customFormat="1" ht="20.100000000000001" customHeight="1" x14ac:dyDescent="0.15">
      <c r="A27" s="295" t="str">
        <f>IFERROR(IF(HLOOKUP($L$4,RangeUnitsets,M27,FALSE)=0,"",HLOOKUP($L$4,RangeUnitsets,M27,FALSE)),"")</f>
        <v/>
      </c>
      <c r="B27" s="310" t="str">
        <f>IFERROR(IF(VLOOKUP($A27,TableHandbook[],2,FALSE)=0,"",VLOOKUP($A27,TableHandbook[],2,FALSE)),"")</f>
        <v/>
      </c>
      <c r="C27" s="310" t="str">
        <f>IFERROR(IF(VLOOKUP($A27,TableHandbook[],3,FALSE)=0,"",VLOOKUP($A27,TableHandbook[],3,FALSE)),"")</f>
        <v/>
      </c>
      <c r="D27" s="315" t="str">
        <f>IFERROR(IF(VLOOKUP($A27,TableHandbook[],4,FALSE)=0,"",VLOOKUP($A27,TableHandbook[],4,FALSE)),"")</f>
        <v/>
      </c>
      <c r="E27" s="310" t="str">
        <f>IF(A27="","",E26)</f>
        <v/>
      </c>
      <c r="F27" s="298" t="str">
        <f>IFERROR(IF(VLOOKUP($A27,TableHandbook[],6,FALSE)=0,"",VLOOKUP($A27,TableHandbook[],6,FALSE)),"")</f>
        <v/>
      </c>
      <c r="G27" s="296" t="str">
        <f>IFERROR(IF(VLOOKUP($A27,TableHandbook[],5,FALSE)=0,"",VLOOKUP($A27,TableHandbook[],5,FALSE)),"")</f>
        <v/>
      </c>
      <c r="H27" s="299" t="str">
        <f>IFERROR(VLOOKUP($A27,TableHandbook[],H$2,FALSE),"")</f>
        <v/>
      </c>
      <c r="I27" s="296" t="str">
        <f>IFERROR(VLOOKUP($A27,TableHandbook[],I$2,FALSE),"")</f>
        <v/>
      </c>
      <c r="J27" s="296" t="str">
        <f>IFERROR(VLOOKUP($A27,TableHandbook[],J$2,FALSE),"")</f>
        <v/>
      </c>
      <c r="K27" s="300" t="str">
        <f>IFERROR(VLOOKUP($A27,TableHandbook[],K$2,FALSE),"")</f>
        <v/>
      </c>
      <c r="L27" s="70"/>
      <c r="M27" s="301">
        <v>16</v>
      </c>
      <c r="N27" s="313"/>
      <c r="O27" s="313"/>
    </row>
    <row r="28" spans="1:16" s="314" customFormat="1" ht="20.100000000000001" customHeight="1" x14ac:dyDescent="0.15">
      <c r="A28" s="295" t="str">
        <f>IFERROR(IF(HLOOKUP($L$4,RangeUnitsets,M28,FALSE)=0,"",HLOOKUP($L$4,RangeUnitsets,M28,FALSE)),"")</f>
        <v/>
      </c>
      <c r="B28" s="310" t="str">
        <f>IFERROR(IF(VLOOKUP($A28,TableHandbook[],2,FALSE)=0,"",VLOOKUP($A28,TableHandbook[],2,FALSE)),"")</f>
        <v/>
      </c>
      <c r="C28" s="310" t="str">
        <f>IFERROR(IF(VLOOKUP($A28,TableHandbook[],3,FALSE)=0,"",VLOOKUP($A28,TableHandbook[],3,FALSE)),"")</f>
        <v/>
      </c>
      <c r="D28" s="315" t="str">
        <f>IFERROR(IF(VLOOKUP($A28,TableHandbook[],4,FALSE)=0,"",VLOOKUP($A28,TableHandbook[],4,FALSE)),"")</f>
        <v/>
      </c>
      <c r="E28" s="296" t="str">
        <f>IF(A28="","",E27)</f>
        <v/>
      </c>
      <c r="F28" s="298" t="str">
        <f>IFERROR(IF(VLOOKUP($A28,TableHandbook[],6,FALSE)=0,"",VLOOKUP($A28,TableHandbook[],6,FALSE)),"")</f>
        <v/>
      </c>
      <c r="G28" s="296" t="str">
        <f>IFERROR(IF(VLOOKUP($A28,TableHandbook[],5,FALSE)=0,"",VLOOKUP($A28,TableHandbook[],5,FALSE)),"")</f>
        <v/>
      </c>
      <c r="H28" s="299" t="str">
        <f>IFERROR(VLOOKUP($A28,TableHandbook[],H$2,FALSE),"")</f>
        <v/>
      </c>
      <c r="I28" s="296" t="str">
        <f>IFERROR(VLOOKUP($A28,TableHandbook[],I$2,FALSE),"")</f>
        <v/>
      </c>
      <c r="J28" s="296" t="str">
        <f>IFERROR(VLOOKUP($A28,TableHandbook[],J$2,FALSE),"")</f>
        <v/>
      </c>
      <c r="K28" s="300" t="str">
        <f>IFERROR(VLOOKUP($A28,TableHandbook[],K$2,FALSE),"")</f>
        <v/>
      </c>
      <c r="L28" s="70"/>
      <c r="M28" s="301">
        <v>17</v>
      </c>
      <c r="N28" s="313"/>
      <c r="O28" s="313"/>
    </row>
    <row r="29" spans="1:16" s="290" customFormat="1" ht="21" x14ac:dyDescent="0.25">
      <c r="A29" s="283" t="s">
        <v>29</v>
      </c>
      <c r="B29" s="283"/>
      <c r="C29" s="283"/>
      <c r="D29" s="284" t="s">
        <v>3</v>
      </c>
      <c r="E29" s="291" t="s">
        <v>20</v>
      </c>
      <c r="F29" s="292" t="s">
        <v>21</v>
      </c>
      <c r="G29" s="283" t="s">
        <v>22</v>
      </c>
      <c r="H29" s="293" t="s">
        <v>23</v>
      </c>
      <c r="I29" s="291" t="s">
        <v>24</v>
      </c>
      <c r="J29" s="291" t="s">
        <v>25</v>
      </c>
      <c r="K29" s="294" t="s">
        <v>26</v>
      </c>
      <c r="L29" s="283" t="s">
        <v>27</v>
      </c>
      <c r="M29" s="316"/>
      <c r="N29" s="289"/>
      <c r="O29" s="289"/>
    </row>
    <row r="30" spans="1:16" s="303" customFormat="1" ht="20.100000000000001" customHeight="1" x14ac:dyDescent="0.15">
      <c r="A30" s="295" t="str">
        <f>IFERROR(IF(HLOOKUP($L$4,RangeUnitsets,M30,FALSE)=0,"",HLOOKUP($L$4,RangeUnitsets,M30,FALSE)),"")</f>
        <v/>
      </c>
      <c r="B30" s="310" t="str">
        <f>IFERROR(IF(VLOOKUP($A30,TableHandbook[],2,FALSE)=0,"",VLOOKUP($A30,TableHandbook[],2,FALSE)),"")</f>
        <v/>
      </c>
      <c r="C30" s="310" t="str">
        <f>IFERROR(IF(VLOOKUP($A30,TableHandbook[],3,FALSE)=0,"",VLOOKUP($A30,TableHandbook[],3,FALSE)),"")</f>
        <v/>
      </c>
      <c r="D30" s="317" t="str">
        <f>IFERROR(IF(VLOOKUP($A30,TableHandbook[],4,FALSE)=0,"",VLOOKUP($A30,TableHandbook[],4,FALSE)),"")</f>
        <v/>
      </c>
      <c r="E30" s="310" t="str">
        <f>IF(A30="","",VLOOKUP($D$7,TableStudyPeriod[],2,FALSE))</f>
        <v/>
      </c>
      <c r="F30" s="298" t="str">
        <f>IFERROR(IF(VLOOKUP($A30,TableHandbook[],6,FALSE)=0,"",VLOOKUP($A30,TableHandbook[],6,FALSE)),"")</f>
        <v/>
      </c>
      <c r="G30" s="296" t="str">
        <f>IFERROR(IF(VLOOKUP($A30,TableHandbook[],5,FALSE)=0,"",VLOOKUP($A30,TableHandbook[],5,FALSE)),"")</f>
        <v/>
      </c>
      <c r="H30" s="299" t="str">
        <f>IFERROR(VLOOKUP($A30,TableHandbook[],H$2,FALSE),"")</f>
        <v/>
      </c>
      <c r="I30" s="296" t="str">
        <f>IFERROR(VLOOKUP($A30,TableHandbook[],I$2,FALSE),"")</f>
        <v/>
      </c>
      <c r="J30" s="296" t="str">
        <f>IFERROR(VLOOKUP($A30,TableHandbook[],J$2,FALSE),"")</f>
        <v/>
      </c>
      <c r="K30" s="300" t="str">
        <f>IFERROR(VLOOKUP($A30,TableHandbook[],K$2,FALSE),"")</f>
        <v/>
      </c>
      <c r="L30" s="70"/>
      <c r="M30" s="301">
        <v>18</v>
      </c>
      <c r="N30" s="302"/>
      <c r="O30" s="302"/>
    </row>
    <row r="31" spans="1:16" s="303" customFormat="1" ht="20.100000000000001" customHeight="1" x14ac:dyDescent="0.15">
      <c r="A31" s="295" t="str">
        <f>IFERROR(IF(HLOOKUP($L$4,RangeUnitsets,M31,FALSE)=0,"",HLOOKUP($L$4,RangeUnitsets,M31,FALSE)),"")</f>
        <v/>
      </c>
      <c r="B31" s="310" t="str">
        <f>IFERROR(IF(VLOOKUP($A31,TableHandbook[],2,FALSE)=0,"",VLOOKUP($A31,TableHandbook[],2,FALSE)),"")</f>
        <v/>
      </c>
      <c r="C31" s="310" t="str">
        <f>IFERROR(IF(VLOOKUP($A31,TableHandbook[],3,FALSE)=0,"",VLOOKUP($A31,TableHandbook[],3,FALSE)),"")</f>
        <v/>
      </c>
      <c r="D31" s="315" t="str">
        <f>IFERROR(IF(VLOOKUP($A31,TableHandbook[],4,FALSE)=0,"",VLOOKUP($A31,TableHandbook[],4,FALSE)),"")</f>
        <v/>
      </c>
      <c r="E31" s="310" t="str">
        <f>IF(A31="","",E30)</f>
        <v/>
      </c>
      <c r="F31" s="298" t="str">
        <f>IFERROR(IF(VLOOKUP($A31,TableHandbook[],6,FALSE)=0,"",VLOOKUP($A31,TableHandbook[],6,FALSE)),"")</f>
        <v/>
      </c>
      <c r="G31" s="296" t="str">
        <f>IFERROR(IF(VLOOKUP($A31,TableHandbook[],5,FALSE)=0,"",VLOOKUP($A31,TableHandbook[],5,FALSE)),"")</f>
        <v/>
      </c>
      <c r="H31" s="299" t="str">
        <f>IFERROR(VLOOKUP($A31,TableHandbook[],H$2,FALSE),"")</f>
        <v/>
      </c>
      <c r="I31" s="296" t="str">
        <f>IFERROR(VLOOKUP($A31,TableHandbook[],I$2,FALSE),"")</f>
        <v/>
      </c>
      <c r="J31" s="296" t="str">
        <f>IFERROR(VLOOKUP($A31,TableHandbook[],J$2,FALSE),"")</f>
        <v/>
      </c>
      <c r="K31" s="300" t="str">
        <f>IFERROR(VLOOKUP($A31,TableHandbook[],K$2,FALSE),"")</f>
        <v/>
      </c>
      <c r="L31" s="70"/>
      <c r="M31" s="301">
        <v>19</v>
      </c>
      <c r="N31" s="302"/>
      <c r="O31" s="302"/>
    </row>
    <row r="32" spans="1:16" s="303" customFormat="1" ht="20.100000000000001" customHeight="1" x14ac:dyDescent="0.15">
      <c r="A32" s="295" t="str">
        <f>IFERROR(IF(HLOOKUP($L$4,RangeUnitsets,M32,FALSE)=0,"",HLOOKUP($L$4,RangeUnitsets,M32,FALSE)),"")</f>
        <v/>
      </c>
      <c r="B32" s="310" t="str">
        <f>IFERROR(IF(VLOOKUP($A32,TableHandbook[],2,FALSE)=0,"",VLOOKUP($A32,TableHandbook[],2,FALSE)),"")</f>
        <v/>
      </c>
      <c r="C32" s="310" t="str">
        <f>IFERROR(IF(VLOOKUP($A32,TableHandbook[],3,FALSE)=0,"",VLOOKUP($A32,TableHandbook[],3,FALSE)),"")</f>
        <v/>
      </c>
      <c r="D32" s="315" t="str">
        <f>IFERROR(IF(VLOOKUP($A32,TableHandbook[],4,FALSE)=0,"",VLOOKUP($A32,TableHandbook[],4,FALSE)),"")</f>
        <v/>
      </c>
      <c r="E32" s="310" t="str">
        <f>IF(A32="","",E31)</f>
        <v/>
      </c>
      <c r="F32" s="298" t="str">
        <f>IFERROR(IF(VLOOKUP($A32,TableHandbook[],6,FALSE)=0,"",VLOOKUP($A32,TableHandbook[],6,FALSE)),"")</f>
        <v/>
      </c>
      <c r="G32" s="296" t="str">
        <f>IFERROR(IF(VLOOKUP($A32,TableHandbook[],5,FALSE)=0,"",VLOOKUP($A32,TableHandbook[],5,FALSE)),"")</f>
        <v/>
      </c>
      <c r="H32" s="299" t="str">
        <f>IFERROR(VLOOKUP($A32,TableHandbook[],H$2,FALSE),"")</f>
        <v/>
      </c>
      <c r="I32" s="296" t="str">
        <f>IFERROR(VLOOKUP($A32,TableHandbook[],I$2,FALSE),"")</f>
        <v/>
      </c>
      <c r="J32" s="296" t="str">
        <f>IFERROR(VLOOKUP($A32,TableHandbook[],J$2,FALSE),"")</f>
        <v/>
      </c>
      <c r="K32" s="300" t="str">
        <f>IFERROR(VLOOKUP($A32,TableHandbook[],K$2,FALSE),"")</f>
        <v/>
      </c>
      <c r="L32" s="70"/>
      <c r="M32" s="301">
        <v>20</v>
      </c>
      <c r="N32" s="302"/>
      <c r="O32" s="302"/>
    </row>
    <row r="33" spans="1:16" s="303" customFormat="1" ht="20.100000000000001" customHeight="1" x14ac:dyDescent="0.15">
      <c r="A33" s="295" t="str">
        <f>IFERROR(IF(HLOOKUP($L$4,RangeUnitsets,M33,FALSE)=0,"",HLOOKUP($L$4,RangeUnitsets,M33,FALSE)),"")</f>
        <v/>
      </c>
      <c r="B33" s="310" t="str">
        <f>IFERROR(IF(VLOOKUP($A33,TableHandbook[],2,FALSE)=0,"",VLOOKUP($A33,TableHandbook[],2,FALSE)),"")</f>
        <v/>
      </c>
      <c r="C33" s="310" t="str">
        <f>IFERROR(IF(VLOOKUP($A33,TableHandbook[],3,FALSE)=0,"",VLOOKUP($A33,TableHandbook[],3,FALSE)),"")</f>
        <v/>
      </c>
      <c r="D33" s="315" t="str">
        <f>IFERROR(IF(VLOOKUP($A33,TableHandbook[],4,FALSE)=0,"",VLOOKUP($A33,TableHandbook[],4,FALSE)),"")</f>
        <v/>
      </c>
      <c r="E33" s="310" t="str">
        <f>IF(A33="","",E32)</f>
        <v/>
      </c>
      <c r="F33" s="298" t="str">
        <f>IFERROR(IF(VLOOKUP($A33,TableHandbook[],6,FALSE)=0,"",VLOOKUP($A33,TableHandbook[],6,FALSE)),"")</f>
        <v/>
      </c>
      <c r="G33" s="296" t="str">
        <f>IFERROR(IF(VLOOKUP($A33,TableHandbook[],5,FALSE)=0,"",VLOOKUP($A33,TableHandbook[],5,FALSE)),"")</f>
        <v/>
      </c>
      <c r="H33" s="299" t="str">
        <f>IFERROR(VLOOKUP($A33,TableHandbook[],H$2,FALSE),"")</f>
        <v/>
      </c>
      <c r="I33" s="296" t="str">
        <f>IFERROR(VLOOKUP($A33,TableHandbook[],I$2,FALSE),"")</f>
        <v/>
      </c>
      <c r="J33" s="296" t="str">
        <f>IFERROR(VLOOKUP($A33,TableHandbook[],J$2,FALSE),"")</f>
        <v/>
      </c>
      <c r="K33" s="300" t="str">
        <f>IFERROR(VLOOKUP($A33,TableHandbook[],K$2,FALSE),"")</f>
        <v/>
      </c>
      <c r="L33" s="70"/>
      <c r="M33" s="301">
        <v>21</v>
      </c>
      <c r="N33" s="302"/>
      <c r="O33" s="302"/>
    </row>
    <row r="34" spans="1:16" s="303" customFormat="1" ht="5.0999999999999996" customHeight="1" x14ac:dyDescent="0.15">
      <c r="A34" s="304"/>
      <c r="B34" s="305"/>
      <c r="C34" s="305"/>
      <c r="D34" s="306"/>
      <c r="E34" s="305"/>
      <c r="F34" s="307"/>
      <c r="G34" s="305"/>
      <c r="H34" s="308"/>
      <c r="I34" s="305"/>
      <c r="J34" s="305"/>
      <c r="K34" s="309"/>
      <c r="L34" s="171"/>
      <c r="M34" s="301"/>
      <c r="N34" s="302"/>
      <c r="O34" s="302"/>
      <c r="P34" s="302"/>
    </row>
    <row r="35" spans="1:16" s="303" customFormat="1" ht="20.100000000000001" customHeight="1" x14ac:dyDescent="0.15">
      <c r="A35" s="295" t="str">
        <f>IFERROR(IF(HLOOKUP($L$4,RangeUnitsets,M35,FALSE)=0,"",HLOOKUP($L$4,RangeUnitsets,M35,FALSE)),"")</f>
        <v/>
      </c>
      <c r="B35" s="310" t="str">
        <f>IFERROR(IF(VLOOKUP($A35,TableHandbook[],2,FALSE)=0,"",VLOOKUP($A35,TableHandbook[],2,FALSE)),"")</f>
        <v/>
      </c>
      <c r="C35" s="310" t="str">
        <f>IFERROR(IF(VLOOKUP($A35,TableHandbook[],3,FALSE)=0,"",VLOOKUP($A35,TableHandbook[],3,FALSE)),"")</f>
        <v/>
      </c>
      <c r="D35" s="315" t="str">
        <f>IFERROR(IF(VLOOKUP($A35,TableHandbook[],4,FALSE)=0,"",VLOOKUP($A35,TableHandbook[],4,FALSE)),"")</f>
        <v/>
      </c>
      <c r="E35" s="310" t="str">
        <f>IF(A35="","",VLOOKUP($D$7,TableStudyPeriod[],3,FALSE))</f>
        <v/>
      </c>
      <c r="F35" s="298" t="str">
        <f>IFERROR(IF(VLOOKUP($A35,TableHandbook[],6,FALSE)=0,"",VLOOKUP($A35,TableHandbook[],6,FALSE)),"")</f>
        <v/>
      </c>
      <c r="G35" s="296" t="str">
        <f>IFERROR(IF(VLOOKUP($A35,TableHandbook[],5,FALSE)=0,"",VLOOKUP($A35,TableHandbook[],5,FALSE)),"")</f>
        <v/>
      </c>
      <c r="H35" s="299" t="str">
        <f>IFERROR(VLOOKUP($A35,TableHandbook[],H$2,FALSE),"")</f>
        <v/>
      </c>
      <c r="I35" s="296" t="str">
        <f>IFERROR(VLOOKUP($A35,TableHandbook[],I$2,FALSE),"")</f>
        <v/>
      </c>
      <c r="J35" s="296" t="str">
        <f>IFERROR(VLOOKUP($A35,TableHandbook[],J$2,FALSE),"")</f>
        <v/>
      </c>
      <c r="K35" s="300" t="str">
        <f>IFERROR(VLOOKUP($A35,TableHandbook[],K$2,FALSE),"")</f>
        <v/>
      </c>
      <c r="L35" s="70"/>
      <c r="M35" s="301">
        <v>22</v>
      </c>
      <c r="N35" s="302"/>
      <c r="O35" s="302"/>
    </row>
    <row r="36" spans="1:16" s="303" customFormat="1" ht="20.100000000000001" customHeight="1" x14ac:dyDescent="0.15">
      <c r="A36" s="295" t="str">
        <f>IFERROR(IF(HLOOKUP($L$4,RangeUnitsets,M36,FALSE)=0,"",HLOOKUP($L$4,RangeUnitsets,M36,FALSE)),"")</f>
        <v/>
      </c>
      <c r="B36" s="310" t="str">
        <f>IFERROR(IF(VLOOKUP($A36,TableHandbook[],2,FALSE)=0,"",VLOOKUP($A36,TableHandbook[],2,FALSE)),"")</f>
        <v/>
      </c>
      <c r="C36" s="310" t="str">
        <f>IFERROR(IF(VLOOKUP($A36,TableHandbook[],3,FALSE)=0,"",VLOOKUP($A36,TableHandbook[],3,FALSE)),"")</f>
        <v/>
      </c>
      <c r="D36" s="315" t="str">
        <f>IFERROR(IF(VLOOKUP($A36,TableHandbook[],4,FALSE)=0,"",VLOOKUP($A36,TableHandbook[],4,FALSE)),"")</f>
        <v/>
      </c>
      <c r="E36" s="310" t="str">
        <f>IF(A36="","",E35)</f>
        <v/>
      </c>
      <c r="F36" s="298" t="str">
        <f>IFERROR(IF(VLOOKUP($A36,TableHandbook[],6,FALSE)=0,"",VLOOKUP($A36,TableHandbook[],6,FALSE)),"")</f>
        <v/>
      </c>
      <c r="G36" s="296" t="str">
        <f>IFERROR(IF(VLOOKUP($A36,TableHandbook[],5,FALSE)=0,"",VLOOKUP($A36,TableHandbook[],5,FALSE)),"")</f>
        <v/>
      </c>
      <c r="H36" s="299" t="str">
        <f>IFERROR(VLOOKUP($A36,TableHandbook[],H$2,FALSE),"")</f>
        <v/>
      </c>
      <c r="I36" s="296" t="str">
        <f>IFERROR(VLOOKUP($A36,TableHandbook[],I$2,FALSE),"")</f>
        <v/>
      </c>
      <c r="J36" s="296" t="str">
        <f>IFERROR(VLOOKUP($A36,TableHandbook[],J$2,FALSE),"")</f>
        <v/>
      </c>
      <c r="K36" s="300" t="str">
        <f>IFERROR(VLOOKUP($A36,TableHandbook[],K$2,FALSE),"")</f>
        <v/>
      </c>
      <c r="L36" s="70"/>
      <c r="M36" s="301">
        <v>23</v>
      </c>
      <c r="N36" s="302"/>
      <c r="O36" s="302"/>
    </row>
    <row r="37" spans="1:16" s="314" customFormat="1" ht="20.100000000000001" customHeight="1" x14ac:dyDescent="0.15">
      <c r="A37" s="295" t="str">
        <f>IFERROR(IF(HLOOKUP($L$4,RangeUnitsets,M37,FALSE)=0,"",HLOOKUP($L$4,RangeUnitsets,M37,FALSE)),"")</f>
        <v/>
      </c>
      <c r="B37" s="310" t="str">
        <f>IFERROR(IF(VLOOKUP($A37,TableHandbook[],2,FALSE)=0,"",VLOOKUP($A37,TableHandbook[],2,FALSE)),"")</f>
        <v/>
      </c>
      <c r="C37" s="310" t="str">
        <f>IFERROR(IF(VLOOKUP($A37,TableHandbook[],3,FALSE)=0,"",VLOOKUP($A37,TableHandbook[],3,FALSE)),"")</f>
        <v/>
      </c>
      <c r="D37" s="315" t="str">
        <f>IFERROR(IF(VLOOKUP($A37,TableHandbook[],4,FALSE)=0,"",VLOOKUP($A37,TableHandbook[],4,FALSE)),"")</f>
        <v/>
      </c>
      <c r="E37" s="310" t="str">
        <f>IF(A37="","",E36)</f>
        <v/>
      </c>
      <c r="F37" s="298" t="str">
        <f>IFERROR(IF(VLOOKUP($A37,TableHandbook[],6,FALSE)=0,"",VLOOKUP($A37,TableHandbook[],6,FALSE)),"")</f>
        <v/>
      </c>
      <c r="G37" s="296" t="str">
        <f>IFERROR(IF(VLOOKUP($A37,TableHandbook[],5,FALSE)=0,"",VLOOKUP($A37,TableHandbook[],5,FALSE)),"")</f>
        <v/>
      </c>
      <c r="H37" s="299" t="str">
        <f>IFERROR(VLOOKUP($A37,TableHandbook[],H$2,FALSE),"")</f>
        <v/>
      </c>
      <c r="I37" s="296" t="str">
        <f>IFERROR(VLOOKUP($A37,TableHandbook[],I$2,FALSE),"")</f>
        <v/>
      </c>
      <c r="J37" s="296" t="str">
        <f>IFERROR(VLOOKUP($A37,TableHandbook[],J$2,FALSE),"")</f>
        <v/>
      </c>
      <c r="K37" s="300" t="str">
        <f>IFERROR(VLOOKUP($A37,TableHandbook[],K$2,FALSE),"")</f>
        <v/>
      </c>
      <c r="L37" s="70"/>
      <c r="M37" s="301">
        <v>24</v>
      </c>
      <c r="N37" s="313"/>
      <c r="O37" s="313"/>
    </row>
    <row r="38" spans="1:16" s="314" customFormat="1" ht="20.100000000000001" customHeight="1" x14ac:dyDescent="0.15">
      <c r="A38" s="295" t="str">
        <f>IFERROR(IF(HLOOKUP($L$4,RangeUnitsets,M38,FALSE)=0,"",HLOOKUP($L$4,RangeUnitsets,M38,FALSE)),"")</f>
        <v/>
      </c>
      <c r="B38" s="310" t="str">
        <f>IFERROR(IF(VLOOKUP($A38,TableHandbook[],2,FALSE)=0,"",VLOOKUP($A38,TableHandbook[],2,FALSE)),"")</f>
        <v/>
      </c>
      <c r="C38" s="310" t="str">
        <f>IFERROR(IF(VLOOKUP($A38,TableHandbook[],3,FALSE)=0,"",VLOOKUP($A38,TableHandbook[],3,FALSE)),"")</f>
        <v/>
      </c>
      <c r="D38" s="315" t="str">
        <f>IFERROR(IF(VLOOKUP($A38,TableHandbook[],4,FALSE)=0,"",VLOOKUP($A38,TableHandbook[],4,FALSE)),"")</f>
        <v/>
      </c>
      <c r="E38" s="296" t="str">
        <f>IF(A38="","",E37)</f>
        <v/>
      </c>
      <c r="F38" s="298" t="str">
        <f>IFERROR(IF(VLOOKUP($A38,TableHandbook[],6,FALSE)=0,"",VLOOKUP($A38,TableHandbook[],6,FALSE)),"")</f>
        <v/>
      </c>
      <c r="G38" s="296" t="str">
        <f>IFERROR(IF(VLOOKUP($A38,TableHandbook[],5,FALSE)=0,"",VLOOKUP($A38,TableHandbook[],5,FALSE)),"")</f>
        <v/>
      </c>
      <c r="H38" s="299" t="str">
        <f>IFERROR(VLOOKUP($A38,TableHandbook[],H$2,FALSE),"")</f>
        <v/>
      </c>
      <c r="I38" s="296" t="str">
        <f>IFERROR(VLOOKUP($A38,TableHandbook[],I$2,FALSE),"")</f>
        <v/>
      </c>
      <c r="J38" s="296" t="str">
        <f>IFERROR(VLOOKUP($A38,TableHandbook[],J$2,FALSE),"")</f>
        <v/>
      </c>
      <c r="K38" s="300" t="str">
        <f>IFERROR(VLOOKUP($A38,TableHandbook[],K$2,FALSE),"")</f>
        <v/>
      </c>
      <c r="L38" s="70"/>
      <c r="M38" s="301">
        <v>25</v>
      </c>
      <c r="N38" s="313"/>
      <c r="O38" s="313"/>
    </row>
    <row r="39" spans="1:16" s="314" customFormat="1" ht="21" x14ac:dyDescent="0.15">
      <c r="A39" s="283" t="s">
        <v>30</v>
      </c>
      <c r="B39" s="283"/>
      <c r="C39" s="283"/>
      <c r="D39" s="284" t="s">
        <v>3</v>
      </c>
      <c r="E39" s="291" t="s">
        <v>20</v>
      </c>
      <c r="F39" s="292" t="s">
        <v>21</v>
      </c>
      <c r="G39" s="283" t="s">
        <v>22</v>
      </c>
      <c r="H39" s="293" t="s">
        <v>23</v>
      </c>
      <c r="I39" s="291" t="s">
        <v>24</v>
      </c>
      <c r="J39" s="291" t="s">
        <v>25</v>
      </c>
      <c r="K39" s="294" t="s">
        <v>26</v>
      </c>
      <c r="L39" s="283" t="s">
        <v>27</v>
      </c>
      <c r="M39" s="316"/>
      <c r="N39" s="313"/>
      <c r="O39" s="313"/>
    </row>
    <row r="40" spans="1:16" s="314" customFormat="1" ht="20.100000000000001" customHeight="1" x14ac:dyDescent="0.15">
      <c r="A40" s="295" t="str">
        <f>IFERROR(IF(HLOOKUP($L$4,RangeUnitsets,M40,FALSE)=0,"",HLOOKUP($L$4,RangeUnitsets,M40,FALSE)),"")</f>
        <v/>
      </c>
      <c r="B40" s="310" t="str">
        <f>IFERROR(IF(VLOOKUP($A40,TableHandbook[],2,FALSE)=0,"",VLOOKUP($A40,TableHandbook[],2,FALSE)),"")</f>
        <v/>
      </c>
      <c r="C40" s="310" t="str">
        <f>IFERROR(IF(VLOOKUP($A40,TableHandbook[],3,FALSE)=0,"",VLOOKUP($A40,TableHandbook[],3,FALSE)),"")</f>
        <v/>
      </c>
      <c r="D40" s="317" t="str">
        <f>IFERROR(IF(VLOOKUP($A40,TableHandbook[],4,FALSE)=0,"",VLOOKUP($A40,TableHandbook[],4,FALSE)),"")</f>
        <v/>
      </c>
      <c r="E40" s="310" t="str">
        <f>IF(A40="","",VLOOKUP($D$7,TableStudyPeriod[],2,FALSE))</f>
        <v/>
      </c>
      <c r="F40" s="298" t="str">
        <f>IFERROR(IF(VLOOKUP($A40,TableHandbook[],6,FALSE)=0,"",VLOOKUP($A40,TableHandbook[],6,FALSE)),"")</f>
        <v/>
      </c>
      <c r="G40" s="296" t="str">
        <f>IFERROR(IF(VLOOKUP($A40,TableHandbook[],5,FALSE)=0,"",VLOOKUP($A40,TableHandbook[],5,FALSE)),"")</f>
        <v/>
      </c>
      <c r="H40" s="299" t="str">
        <f>IFERROR(VLOOKUP($A40,TableHandbook[],H$2,FALSE),"")</f>
        <v/>
      </c>
      <c r="I40" s="296" t="str">
        <f>IFERROR(VLOOKUP($A40,TableHandbook[],I$2,FALSE),"")</f>
        <v/>
      </c>
      <c r="J40" s="296" t="str">
        <f>IFERROR(VLOOKUP($A40,TableHandbook[],J$2,FALSE),"")</f>
        <v/>
      </c>
      <c r="K40" s="300" t="str">
        <f>IFERROR(VLOOKUP($A40,TableHandbook[],K$2,FALSE),"")</f>
        <v/>
      </c>
      <c r="L40" s="70"/>
      <c r="M40" s="301">
        <v>26</v>
      </c>
      <c r="N40" s="313"/>
      <c r="O40" s="313"/>
    </row>
    <row r="41" spans="1:16" s="314" customFormat="1" ht="20.100000000000001" customHeight="1" x14ac:dyDescent="0.15">
      <c r="A41" s="295" t="str">
        <f>IFERROR(IF(HLOOKUP($L$4,RangeUnitsets,M41,FALSE)=0,"",HLOOKUP($L$4,RangeUnitsets,M41,FALSE)),"")</f>
        <v/>
      </c>
      <c r="B41" s="310" t="str">
        <f>IFERROR(IF(VLOOKUP($A41,TableHandbook[],2,FALSE)=0,"",VLOOKUP($A41,TableHandbook[],2,FALSE)),"")</f>
        <v/>
      </c>
      <c r="C41" s="310" t="str">
        <f>IFERROR(IF(VLOOKUP($A41,TableHandbook[],3,FALSE)=0,"",VLOOKUP($A41,TableHandbook[],3,FALSE)),"")</f>
        <v/>
      </c>
      <c r="D41" s="315" t="str">
        <f>IFERROR(IF(VLOOKUP($A41,TableHandbook[],4,FALSE)=0,"",VLOOKUP($A41,TableHandbook[],4,FALSE)),"")</f>
        <v/>
      </c>
      <c r="E41" s="310" t="str">
        <f>IF(A41="","",E40)</f>
        <v/>
      </c>
      <c r="F41" s="298" t="str">
        <f>IFERROR(IF(VLOOKUP($A41,TableHandbook[],6,FALSE)=0,"",VLOOKUP($A41,TableHandbook[],6,FALSE)),"")</f>
        <v/>
      </c>
      <c r="G41" s="296" t="str">
        <f>IFERROR(IF(VLOOKUP($A41,TableHandbook[],5,FALSE)=0,"",VLOOKUP($A41,TableHandbook[],5,FALSE)),"")</f>
        <v/>
      </c>
      <c r="H41" s="299" t="str">
        <f>IFERROR(VLOOKUP($A41,TableHandbook[],H$2,FALSE),"")</f>
        <v/>
      </c>
      <c r="I41" s="296" t="str">
        <f>IFERROR(VLOOKUP($A41,TableHandbook[],I$2,FALSE),"")</f>
        <v/>
      </c>
      <c r="J41" s="296" t="str">
        <f>IFERROR(VLOOKUP($A41,TableHandbook[],J$2,FALSE),"")</f>
        <v/>
      </c>
      <c r="K41" s="300" t="str">
        <f>IFERROR(VLOOKUP($A41,TableHandbook[],K$2,FALSE),"")</f>
        <v/>
      </c>
      <c r="L41" s="70"/>
      <c r="M41" s="301">
        <v>27</v>
      </c>
      <c r="N41" s="313"/>
      <c r="O41" s="313"/>
    </row>
    <row r="42" spans="1:16" s="314" customFormat="1" ht="20.100000000000001" customHeight="1" x14ac:dyDescent="0.15">
      <c r="A42" s="295" t="str">
        <f>IFERROR(IF(HLOOKUP($L$4,RangeUnitsets,M42,FALSE)=0,"",HLOOKUP($L$4,RangeUnitsets,M42,FALSE)),"")</f>
        <v/>
      </c>
      <c r="B42" s="310" t="str">
        <f>IFERROR(IF(VLOOKUP($A42,TableHandbook[],2,FALSE)=0,"",VLOOKUP($A42,TableHandbook[],2,FALSE)),"")</f>
        <v/>
      </c>
      <c r="C42" s="310" t="str">
        <f>IFERROR(IF(VLOOKUP($A42,TableHandbook[],3,FALSE)=0,"",VLOOKUP($A42,TableHandbook[],3,FALSE)),"")</f>
        <v/>
      </c>
      <c r="D42" s="315" t="str">
        <f>IFERROR(IF(VLOOKUP($A42,TableHandbook[],4,FALSE)=0,"",VLOOKUP($A42,TableHandbook[],4,FALSE)),"")</f>
        <v/>
      </c>
      <c r="E42" s="310" t="str">
        <f>IF(A42="","",E41)</f>
        <v/>
      </c>
      <c r="F42" s="298" t="str">
        <f>IFERROR(IF(VLOOKUP($A42,TableHandbook[],6,FALSE)=0,"",VLOOKUP($A42,TableHandbook[],6,FALSE)),"")</f>
        <v/>
      </c>
      <c r="G42" s="296" t="str">
        <f>IFERROR(IF(VLOOKUP($A42,TableHandbook[],5,FALSE)=0,"",VLOOKUP($A42,TableHandbook[],5,FALSE)),"")</f>
        <v/>
      </c>
      <c r="H42" s="299" t="str">
        <f>IFERROR(VLOOKUP($A42,TableHandbook[],H$2,FALSE),"")</f>
        <v/>
      </c>
      <c r="I42" s="296" t="str">
        <f>IFERROR(VLOOKUP($A42,TableHandbook[],I$2,FALSE),"")</f>
        <v/>
      </c>
      <c r="J42" s="296" t="str">
        <f>IFERROR(VLOOKUP($A42,TableHandbook[],J$2,FALSE),"")</f>
        <v/>
      </c>
      <c r="K42" s="300" t="str">
        <f>IFERROR(VLOOKUP($A42,TableHandbook[],K$2,FALSE),"")</f>
        <v/>
      </c>
      <c r="L42" s="70"/>
      <c r="M42" s="301">
        <v>28</v>
      </c>
      <c r="N42" s="313"/>
      <c r="O42" s="313"/>
    </row>
    <row r="43" spans="1:16" s="314" customFormat="1" ht="20.100000000000001" customHeight="1" x14ac:dyDescent="0.15">
      <c r="A43" s="295" t="str">
        <f>IFERROR(IF(HLOOKUP($L$4,RangeUnitsets,M43,FALSE)=0,"",HLOOKUP($L$4,RangeUnitsets,M43,FALSE)),"")</f>
        <v/>
      </c>
      <c r="B43" s="310" t="str">
        <f>IFERROR(IF(VLOOKUP($A43,TableHandbook[],2,FALSE)=0,"",VLOOKUP($A43,TableHandbook[],2,FALSE)),"")</f>
        <v/>
      </c>
      <c r="C43" s="310" t="str">
        <f>IFERROR(IF(VLOOKUP($A43,TableHandbook[],3,FALSE)=0,"",VLOOKUP($A43,TableHandbook[],3,FALSE)),"")</f>
        <v/>
      </c>
      <c r="D43" s="315" t="str">
        <f>IFERROR(IF(VLOOKUP($A43,TableHandbook[],4,FALSE)=0,"",VLOOKUP($A43,TableHandbook[],4,FALSE)),"")</f>
        <v/>
      </c>
      <c r="E43" s="310" t="str">
        <f>IF(A43="","",E42)</f>
        <v/>
      </c>
      <c r="F43" s="298" t="str">
        <f>IFERROR(IF(VLOOKUP($A43,TableHandbook[],6,FALSE)=0,"",VLOOKUP($A43,TableHandbook[],6,FALSE)),"")</f>
        <v/>
      </c>
      <c r="G43" s="296" t="str">
        <f>IFERROR(IF(VLOOKUP($A43,TableHandbook[],5,FALSE)=0,"",VLOOKUP($A43,TableHandbook[],5,FALSE)),"")</f>
        <v/>
      </c>
      <c r="H43" s="299" t="str">
        <f>IFERROR(VLOOKUP($A43,TableHandbook[],H$2,FALSE),"")</f>
        <v/>
      </c>
      <c r="I43" s="296" t="str">
        <f>IFERROR(VLOOKUP($A43,TableHandbook[],I$2,FALSE),"")</f>
        <v/>
      </c>
      <c r="J43" s="296" t="str">
        <f>IFERROR(VLOOKUP($A43,TableHandbook[],J$2,FALSE),"")</f>
        <v/>
      </c>
      <c r="K43" s="300" t="str">
        <f>IFERROR(VLOOKUP($A43,TableHandbook[],K$2,FALSE),"")</f>
        <v/>
      </c>
      <c r="L43" s="70"/>
      <c r="M43" s="301">
        <v>29</v>
      </c>
      <c r="N43" s="313"/>
      <c r="O43" s="313"/>
    </row>
    <row r="44" spans="1:16" s="314" customFormat="1" ht="4.5" customHeight="1" x14ac:dyDescent="0.15">
      <c r="A44" s="304"/>
      <c r="B44" s="305"/>
      <c r="C44" s="305"/>
      <c r="D44" s="306"/>
      <c r="E44" s="305"/>
      <c r="F44" s="307"/>
      <c r="G44" s="305"/>
      <c r="H44" s="308"/>
      <c r="I44" s="305"/>
      <c r="J44" s="305"/>
      <c r="K44" s="309"/>
      <c r="L44" s="171"/>
      <c r="M44" s="301"/>
      <c r="N44" s="313"/>
      <c r="O44" s="313"/>
    </row>
    <row r="45" spans="1:16" s="314" customFormat="1" ht="20.100000000000001" customHeight="1" x14ac:dyDescent="0.15">
      <c r="A45" s="295" t="str">
        <f>IFERROR(IF(HLOOKUP($L$4,RangeUnitsets,M45,FALSE)=0,"",HLOOKUP($L$4,RangeUnitsets,M45,FALSE)),"")</f>
        <v/>
      </c>
      <c r="B45" s="310" t="str">
        <f>IFERROR(IF(VLOOKUP($A45,TableHandbook[],2,FALSE)=0,"",VLOOKUP($A45,TableHandbook[],2,FALSE)),"")</f>
        <v/>
      </c>
      <c r="C45" s="310" t="str">
        <f>IFERROR(IF(VLOOKUP($A45,TableHandbook[],3,FALSE)=0,"",VLOOKUP($A45,TableHandbook[],3,FALSE)),"")</f>
        <v/>
      </c>
      <c r="D45" s="315" t="str">
        <f>IFERROR(IF(VLOOKUP($A45,TableHandbook[],4,FALSE)=0,"",VLOOKUP($A45,TableHandbook[],4,FALSE)),"")</f>
        <v/>
      </c>
      <c r="E45" s="310" t="str">
        <f>IF(A45="","",VLOOKUP($D$7,TableStudyPeriod[],3,FALSE))</f>
        <v/>
      </c>
      <c r="F45" s="298" t="str">
        <f>IFERROR(IF(VLOOKUP($A45,TableHandbook[],6,FALSE)=0,"",VLOOKUP($A45,TableHandbook[],6,FALSE)),"")</f>
        <v/>
      </c>
      <c r="G45" s="296" t="str">
        <f>IFERROR(IF(VLOOKUP($A45,TableHandbook[],5,FALSE)=0,"",VLOOKUP($A45,TableHandbook[],5,FALSE)),"")</f>
        <v/>
      </c>
      <c r="H45" s="299" t="str">
        <f>IFERROR(VLOOKUP($A45,TableHandbook[],H$2,FALSE),"")</f>
        <v/>
      </c>
      <c r="I45" s="296" t="str">
        <f>IFERROR(VLOOKUP($A45,TableHandbook[],I$2,FALSE),"")</f>
        <v/>
      </c>
      <c r="J45" s="296" t="str">
        <f>IFERROR(VLOOKUP($A45,TableHandbook[],J$2,FALSE),"")</f>
        <v/>
      </c>
      <c r="K45" s="300" t="str">
        <f>IFERROR(VLOOKUP($A45,TableHandbook[],K$2,FALSE),"")</f>
        <v/>
      </c>
      <c r="L45" s="70"/>
      <c r="M45" s="301">
        <v>30</v>
      </c>
      <c r="N45" s="313"/>
      <c r="O45" s="313"/>
    </row>
    <row r="46" spans="1:16" s="314" customFormat="1" ht="20.100000000000001" customHeight="1" x14ac:dyDescent="0.15">
      <c r="A46" s="295" t="str">
        <f>IFERROR(IF(HLOOKUP($L$4,RangeUnitsets,M46,FALSE)=0,"",HLOOKUP($L$4,RangeUnitsets,M46,FALSE)),"")</f>
        <v/>
      </c>
      <c r="B46" s="310" t="str">
        <f>IFERROR(IF(VLOOKUP($A46,TableHandbook[],2,FALSE)=0,"",VLOOKUP($A46,TableHandbook[],2,FALSE)),"")</f>
        <v/>
      </c>
      <c r="C46" s="310" t="str">
        <f>IFERROR(IF(VLOOKUP($A46,TableHandbook[],3,FALSE)=0,"",VLOOKUP($A46,TableHandbook[],3,FALSE)),"")</f>
        <v/>
      </c>
      <c r="D46" s="315" t="str">
        <f>IFERROR(IF(VLOOKUP($A46,TableHandbook[],4,FALSE)=0,"",VLOOKUP($A46,TableHandbook[],4,FALSE)),"")</f>
        <v/>
      </c>
      <c r="E46" s="310" t="str">
        <f>IF(A46="","",E45)</f>
        <v/>
      </c>
      <c r="F46" s="298" t="str">
        <f>IFERROR(IF(VLOOKUP($A46,TableHandbook[],6,FALSE)=0,"",VLOOKUP($A46,TableHandbook[],6,FALSE)),"")</f>
        <v/>
      </c>
      <c r="G46" s="296" t="str">
        <f>IFERROR(IF(VLOOKUP($A46,TableHandbook[],5,FALSE)=0,"",VLOOKUP($A46,TableHandbook[],5,FALSE)),"")</f>
        <v/>
      </c>
      <c r="H46" s="299" t="str">
        <f>IFERROR(VLOOKUP($A46,TableHandbook[],H$2,FALSE),"")</f>
        <v/>
      </c>
      <c r="I46" s="296" t="str">
        <f>IFERROR(VLOOKUP($A46,TableHandbook[],I$2,FALSE),"")</f>
        <v/>
      </c>
      <c r="J46" s="296" t="str">
        <f>IFERROR(VLOOKUP($A46,TableHandbook[],J$2,FALSE),"")</f>
        <v/>
      </c>
      <c r="K46" s="300" t="str">
        <f>IFERROR(VLOOKUP($A46,TableHandbook[],K$2,FALSE),"")</f>
        <v/>
      </c>
      <c r="L46" s="70"/>
      <c r="M46" s="301">
        <v>31</v>
      </c>
      <c r="N46" s="313"/>
      <c r="O46" s="313"/>
    </row>
    <row r="47" spans="1:16" s="314" customFormat="1" ht="20.100000000000001" customHeight="1" x14ac:dyDescent="0.15">
      <c r="A47" s="295" t="str">
        <f>IFERROR(IF(HLOOKUP($L$4,RangeUnitsets,M47,FALSE)=0,"",HLOOKUP($L$4,RangeUnitsets,M47,FALSE)),"")</f>
        <v/>
      </c>
      <c r="B47" s="310" t="str">
        <f>IFERROR(IF(VLOOKUP($A47,TableHandbook[],2,FALSE)=0,"",VLOOKUP($A47,TableHandbook[],2,FALSE)),"")</f>
        <v/>
      </c>
      <c r="C47" s="310" t="str">
        <f>IFERROR(IF(VLOOKUP($A47,TableHandbook[],3,FALSE)=0,"",VLOOKUP($A47,TableHandbook[],3,FALSE)),"")</f>
        <v/>
      </c>
      <c r="D47" s="315" t="str">
        <f>IFERROR(IF(VLOOKUP($A47,TableHandbook[],4,FALSE)=0,"",VLOOKUP($A47,TableHandbook[],4,FALSE)),"")</f>
        <v/>
      </c>
      <c r="E47" s="310" t="str">
        <f>IF(A47="","",E46)</f>
        <v/>
      </c>
      <c r="F47" s="298" t="str">
        <f>IFERROR(IF(VLOOKUP($A47,TableHandbook[],6,FALSE)=0,"",VLOOKUP($A47,TableHandbook[],6,FALSE)),"")</f>
        <v/>
      </c>
      <c r="G47" s="296" t="str">
        <f>IFERROR(IF(VLOOKUP($A47,TableHandbook[],5,FALSE)=0,"",VLOOKUP($A47,TableHandbook[],5,FALSE)),"")</f>
        <v/>
      </c>
      <c r="H47" s="299" t="str">
        <f>IFERROR(VLOOKUP($A47,TableHandbook[],H$2,FALSE),"")</f>
        <v/>
      </c>
      <c r="I47" s="296" t="str">
        <f>IFERROR(VLOOKUP($A47,TableHandbook[],I$2,FALSE),"")</f>
        <v/>
      </c>
      <c r="J47" s="296" t="str">
        <f>IFERROR(VLOOKUP($A47,TableHandbook[],J$2,FALSE),"")</f>
        <v/>
      </c>
      <c r="K47" s="300" t="str">
        <f>IFERROR(VLOOKUP($A47,TableHandbook[],K$2,FALSE),"")</f>
        <v/>
      </c>
      <c r="L47" s="70"/>
      <c r="M47" s="301">
        <v>32</v>
      </c>
      <c r="N47" s="313"/>
      <c r="O47" s="313"/>
    </row>
    <row r="48" spans="1:16" s="314" customFormat="1" ht="20.100000000000001" customHeight="1" x14ac:dyDescent="0.15">
      <c r="A48" s="295" t="str">
        <f>IFERROR(IF(HLOOKUP($L$4,RangeUnitsets,M48,FALSE)=0,"",HLOOKUP($L$4,RangeUnitsets,M48,FALSE)),"")</f>
        <v/>
      </c>
      <c r="B48" s="310" t="str">
        <f>IFERROR(IF(VLOOKUP($A48,TableHandbook[],2,FALSE)=0,"",VLOOKUP($A48,TableHandbook[],2,FALSE)),"")</f>
        <v/>
      </c>
      <c r="C48" s="310" t="str">
        <f>IFERROR(IF(VLOOKUP($A48,TableHandbook[],3,FALSE)=0,"",VLOOKUP($A48,TableHandbook[],3,FALSE)),"")</f>
        <v/>
      </c>
      <c r="D48" s="315" t="str">
        <f>IFERROR(IF(VLOOKUP($A48,TableHandbook[],4,FALSE)=0,"",VLOOKUP($A48,TableHandbook[],4,FALSE)),"")</f>
        <v/>
      </c>
      <c r="E48" s="296" t="str">
        <f>IF(A48="","",E47)</f>
        <v/>
      </c>
      <c r="F48" s="298" t="str">
        <f>IFERROR(IF(VLOOKUP($A48,TableHandbook[],6,FALSE)=0,"",VLOOKUP($A48,TableHandbook[],6,FALSE)),"")</f>
        <v/>
      </c>
      <c r="G48" s="296" t="str">
        <f>IFERROR(IF(VLOOKUP($A48,TableHandbook[],5,FALSE)=0,"",VLOOKUP($A48,TableHandbook[],5,FALSE)),"")</f>
        <v/>
      </c>
      <c r="H48" s="299" t="str">
        <f>IFERROR(VLOOKUP($A48,TableHandbook[],H$2,FALSE),"")</f>
        <v/>
      </c>
      <c r="I48" s="296" t="str">
        <f>IFERROR(VLOOKUP($A48,TableHandbook[],I$2,FALSE),"")</f>
        <v/>
      </c>
      <c r="J48" s="296" t="str">
        <f>IFERROR(VLOOKUP($A48,TableHandbook[],J$2,FALSE),"")</f>
        <v/>
      </c>
      <c r="K48" s="300" t="str">
        <f>IFERROR(VLOOKUP($A48,TableHandbook[],K$2,FALSE),"")</f>
        <v/>
      </c>
      <c r="L48" s="70"/>
      <c r="M48" s="301">
        <v>33</v>
      </c>
      <c r="N48" s="313"/>
      <c r="O48" s="313"/>
    </row>
    <row r="49" spans="1:15" s="324" customFormat="1" ht="13.9" customHeight="1" x14ac:dyDescent="0.2">
      <c r="A49" s="318"/>
      <c r="B49" s="318"/>
      <c r="C49" s="318"/>
      <c r="D49" s="319"/>
      <c r="E49" s="319"/>
      <c r="F49" s="320"/>
      <c r="G49" s="321"/>
      <c r="H49" s="321"/>
      <c r="I49" s="321"/>
      <c r="J49" s="321"/>
      <c r="K49" s="321"/>
      <c r="L49" s="321"/>
      <c r="M49" s="322"/>
      <c r="N49" s="323"/>
      <c r="O49" s="323"/>
    </row>
    <row r="50" spans="1:15" ht="15" customHeight="1" x14ac:dyDescent="0.25">
      <c r="A50" s="325" t="str">
        <f>D6</f>
        <v>Choose your Specialisation (drop-down list)</v>
      </c>
      <c r="B50" s="326"/>
      <c r="C50" s="326"/>
      <c r="D50" s="327"/>
      <c r="E50" s="328"/>
      <c r="F50" s="329"/>
      <c r="G50" s="328"/>
      <c r="H50" s="286" t="s">
        <v>18</v>
      </c>
      <c r="I50" s="287"/>
      <c r="J50" s="287"/>
      <c r="K50" s="288"/>
      <c r="L50" s="330"/>
      <c r="M50" s="331"/>
    </row>
    <row r="51" spans="1:15" s="337" customFormat="1" ht="21" x14ac:dyDescent="0.25">
      <c r="A51" s="332"/>
      <c r="B51" s="332"/>
      <c r="C51" s="332"/>
      <c r="D51" s="284" t="s">
        <v>3</v>
      </c>
      <c r="E51" s="333"/>
      <c r="F51" s="334" t="s">
        <v>21</v>
      </c>
      <c r="G51" s="335" t="s">
        <v>22</v>
      </c>
      <c r="H51" s="293" t="s">
        <v>23</v>
      </c>
      <c r="I51" s="291" t="s">
        <v>24</v>
      </c>
      <c r="J51" s="291" t="s">
        <v>25</v>
      </c>
      <c r="K51" s="294" t="s">
        <v>26</v>
      </c>
      <c r="L51" s="336"/>
      <c r="M51" s="331"/>
    </row>
    <row r="52" spans="1:15" x14ac:dyDescent="0.25">
      <c r="A52" s="338" t="str">
        <f t="shared" ref="A52:A61" si="0">IFERROR(IF(HLOOKUP($L$6,RangeSpecSets,M52,FALSE)=0,"",HLOOKUP($L$6,RangeSpecSets,M52,FALSE)),"")</f>
        <v/>
      </c>
      <c r="B52" s="339" t="str">
        <f>IFERROR(IF(VLOOKUP($A52,TableHandbook[],2,FALSE)=0,"",VLOOKUP($A52,TableHandbook[],2,FALSE)),"")</f>
        <v/>
      </c>
      <c r="C52" s="340" t="str">
        <f>IFERROR(IF(VLOOKUP($A52,TableHandbook[],3,FALSE)=0,"",VLOOKUP($A52,TableHandbook[],3,FALSE)),"")</f>
        <v/>
      </c>
      <c r="D52" s="340" t="str">
        <f>IFERROR(IF(VLOOKUP($A52,TableHandbook[],4,FALSE)=0,"",VLOOKUP($A52,TableHandbook[],4,FALSE)),"")</f>
        <v/>
      </c>
      <c r="E52" s="341"/>
      <c r="F52" s="298" t="str">
        <f>IFERROR(IF(VLOOKUP($A52,TableHandbook[],6,FALSE)=0,"",VLOOKUP($A52,TableHandbook[],6,FALSE)),"")</f>
        <v/>
      </c>
      <c r="G52" s="342" t="str">
        <f>IFERROR(IF(VLOOKUP($A52,TableHandbook[],5,FALSE)=0,"",VLOOKUP($A52,TableHandbook[],5,FALSE)),"")</f>
        <v/>
      </c>
      <c r="H52" s="343" t="str">
        <f>IFERROR(VLOOKUP($A52,TableHandbook[],H$2,FALSE),"")</f>
        <v/>
      </c>
      <c r="I52" s="344" t="str">
        <f>IFERROR(VLOOKUP($A52,TableHandbook[],I$2,FALSE),"")</f>
        <v/>
      </c>
      <c r="J52" s="344" t="str">
        <f>IFERROR(VLOOKUP($A52,TableHandbook[],J$2,FALSE),"")</f>
        <v/>
      </c>
      <c r="K52" s="345" t="str">
        <f>IFERROR(VLOOKUP($A52,TableHandbook[],K$2,FALSE),"")</f>
        <v/>
      </c>
      <c r="L52" s="74"/>
      <c r="M52" s="301">
        <v>2</v>
      </c>
    </row>
    <row r="53" spans="1:15" x14ac:dyDescent="0.25">
      <c r="A53" s="338" t="str">
        <f t="shared" si="0"/>
        <v/>
      </c>
      <c r="B53" s="339" t="str">
        <f>IFERROR(IF(VLOOKUP($A53,TableHandbook[],2,FALSE)=0,"",VLOOKUP($A53,TableHandbook[],2,FALSE)),"")</f>
        <v/>
      </c>
      <c r="C53" s="340" t="str">
        <f>IFERROR(IF(VLOOKUP($A53,TableHandbook[],3,FALSE)=0,"",VLOOKUP($A53,TableHandbook[],3,FALSE)),"")</f>
        <v/>
      </c>
      <c r="D53" s="340" t="str">
        <f>IFERROR(IF(VLOOKUP($A53,TableHandbook[],4,FALSE)=0,"",VLOOKUP($A53,TableHandbook[],4,FALSE)),"")</f>
        <v/>
      </c>
      <c r="E53" s="341"/>
      <c r="F53" s="298" t="str">
        <f>IFERROR(IF(VLOOKUP($A53,TableHandbook[],6,FALSE)=0,"",VLOOKUP($A53,TableHandbook[],6,FALSE)),"")</f>
        <v/>
      </c>
      <c r="G53" s="342" t="str">
        <f>IFERROR(IF(VLOOKUP($A53,TableHandbook[],5,FALSE)=0,"",VLOOKUP($A53,TableHandbook[],5,FALSE)),"")</f>
        <v/>
      </c>
      <c r="H53" s="343" t="str">
        <f>IFERROR(VLOOKUP($A53,TableHandbook[],H$2,FALSE),"")</f>
        <v/>
      </c>
      <c r="I53" s="344" t="str">
        <f>IFERROR(VLOOKUP($A53,TableHandbook[],I$2,FALSE),"")</f>
        <v/>
      </c>
      <c r="J53" s="344" t="str">
        <f>IFERROR(VLOOKUP($A53,TableHandbook[],J$2,FALSE),"")</f>
        <v/>
      </c>
      <c r="K53" s="345" t="str">
        <f>IFERROR(VLOOKUP($A53,TableHandbook[],K$2,FALSE),"")</f>
        <v/>
      </c>
      <c r="L53" s="74"/>
      <c r="M53" s="301">
        <v>3</v>
      </c>
    </row>
    <row r="54" spans="1:15" x14ac:dyDescent="0.25">
      <c r="A54" s="338" t="str">
        <f t="shared" si="0"/>
        <v/>
      </c>
      <c r="B54" s="339" t="str">
        <f>IFERROR(IF(VLOOKUP($A54,TableHandbook[],2,FALSE)=0,"",VLOOKUP($A54,TableHandbook[],2,FALSE)),"")</f>
        <v/>
      </c>
      <c r="C54" s="340" t="str">
        <f>IFERROR(IF(VLOOKUP($A54,TableHandbook[],3,FALSE)=0,"",VLOOKUP($A54,TableHandbook[],3,FALSE)),"")</f>
        <v/>
      </c>
      <c r="D54" s="340" t="str">
        <f>IFERROR(IF(VLOOKUP($A54,TableHandbook[],4,FALSE)=0,"",VLOOKUP($A54,TableHandbook[],4,FALSE)),"")</f>
        <v/>
      </c>
      <c r="E54" s="341"/>
      <c r="F54" s="298" t="str">
        <f>IFERROR(IF(VLOOKUP($A54,TableHandbook[],6,FALSE)=0,"",VLOOKUP($A54,TableHandbook[],6,FALSE)),"")</f>
        <v/>
      </c>
      <c r="G54" s="342" t="str">
        <f>IFERROR(IF(VLOOKUP($A54,TableHandbook[],5,FALSE)=0,"",VLOOKUP($A54,TableHandbook[],5,FALSE)),"")</f>
        <v/>
      </c>
      <c r="H54" s="343" t="str">
        <f>IFERROR(VLOOKUP($A54,TableHandbook[],H$2,FALSE),"")</f>
        <v/>
      </c>
      <c r="I54" s="344" t="str">
        <f>IFERROR(VLOOKUP($A54,TableHandbook[],I$2,FALSE),"")</f>
        <v/>
      </c>
      <c r="J54" s="344" t="str">
        <f>IFERROR(VLOOKUP($A54,TableHandbook[],J$2,FALSE),"")</f>
        <v/>
      </c>
      <c r="K54" s="345" t="str">
        <f>IFERROR(VLOOKUP($A54,TableHandbook[],K$2,FALSE),"")</f>
        <v/>
      </c>
      <c r="L54" s="74"/>
      <c r="M54" s="301">
        <v>4</v>
      </c>
    </row>
    <row r="55" spans="1:15" x14ac:dyDescent="0.25">
      <c r="A55" s="338" t="str">
        <f t="shared" si="0"/>
        <v/>
      </c>
      <c r="B55" s="339" t="str">
        <f>IFERROR(IF(VLOOKUP($A55,TableHandbook[],2,FALSE)=0,"",VLOOKUP($A55,TableHandbook[],2,FALSE)),"")</f>
        <v/>
      </c>
      <c r="C55" s="340" t="str">
        <f>IFERROR(IF(VLOOKUP($A55,TableHandbook[],3,FALSE)=0,"",VLOOKUP($A55,TableHandbook[],3,FALSE)),"")</f>
        <v/>
      </c>
      <c r="D55" s="340" t="str">
        <f>IFERROR(IF(VLOOKUP($A55,TableHandbook[],4,FALSE)=0,"",VLOOKUP($A55,TableHandbook[],4,FALSE)),"")</f>
        <v/>
      </c>
      <c r="E55" s="341"/>
      <c r="F55" s="298" t="str">
        <f>IFERROR(IF(VLOOKUP($A55,TableHandbook[],6,FALSE)=0,"",VLOOKUP($A55,TableHandbook[],6,FALSE)),"")</f>
        <v/>
      </c>
      <c r="G55" s="342" t="str">
        <f>IFERROR(IF(VLOOKUP($A55,TableHandbook[],5,FALSE)=0,"",VLOOKUP($A55,TableHandbook[],5,FALSE)),"")</f>
        <v/>
      </c>
      <c r="H55" s="343" t="str">
        <f>IFERROR(VLOOKUP($A55,TableHandbook[],H$2,FALSE),"")</f>
        <v/>
      </c>
      <c r="I55" s="344" t="str">
        <f>IFERROR(VLOOKUP($A55,TableHandbook[],I$2,FALSE),"")</f>
        <v/>
      </c>
      <c r="J55" s="344" t="str">
        <f>IFERROR(VLOOKUP($A55,TableHandbook[],J$2,FALSE),"")</f>
        <v/>
      </c>
      <c r="K55" s="345" t="str">
        <f>IFERROR(VLOOKUP($A55,TableHandbook[],K$2,FALSE),"")</f>
        <v/>
      </c>
      <c r="L55" s="74"/>
      <c r="M55" s="301">
        <v>5</v>
      </c>
    </row>
    <row r="56" spans="1:15" x14ac:dyDescent="0.25">
      <c r="A56" s="338" t="str">
        <f t="shared" si="0"/>
        <v/>
      </c>
      <c r="B56" s="339" t="str">
        <f>IFERROR(IF(VLOOKUP($A56,TableHandbook[],2,FALSE)=0,"",VLOOKUP($A56,TableHandbook[],2,FALSE)),"")</f>
        <v/>
      </c>
      <c r="C56" s="340" t="str">
        <f>IFERROR(IF(VLOOKUP($A56,TableHandbook[],3,FALSE)=0,"",VLOOKUP($A56,TableHandbook[],3,FALSE)),"")</f>
        <v/>
      </c>
      <c r="D56" s="340" t="str">
        <f>IFERROR(IF(VLOOKUP($A56,TableHandbook[],4,FALSE)=0,"",VLOOKUP($A56,TableHandbook[],4,FALSE)),"")</f>
        <v/>
      </c>
      <c r="E56" s="341"/>
      <c r="F56" s="346" t="str">
        <f>IFERROR(IF(VLOOKUP($A56,TableHandbook[],6,FALSE)=0,"",VLOOKUP($A56,TableHandbook[],6,FALSE)),"")</f>
        <v/>
      </c>
      <c r="G56" s="342" t="str">
        <f>IFERROR(IF(VLOOKUP($A56,TableHandbook[],5,FALSE)=0,"",VLOOKUP($A56,TableHandbook[],5,FALSE)),"")</f>
        <v/>
      </c>
      <c r="H56" s="299" t="str">
        <f>IFERROR(VLOOKUP($A56,TableHandbook[],H$2,FALSE),"")</f>
        <v/>
      </c>
      <c r="I56" s="296" t="str">
        <f>IFERROR(VLOOKUP($A56,TableHandbook[],I$2,FALSE),"")</f>
        <v/>
      </c>
      <c r="J56" s="296" t="str">
        <f>IFERROR(VLOOKUP($A56,TableHandbook[],J$2,FALSE),"")</f>
        <v/>
      </c>
      <c r="K56" s="300" t="str">
        <f>IFERROR(VLOOKUP($A56,TableHandbook[],K$2,FALSE),"")</f>
        <v/>
      </c>
      <c r="L56" s="74"/>
      <c r="M56" s="301">
        <v>6</v>
      </c>
    </row>
    <row r="57" spans="1:15" x14ac:dyDescent="0.25">
      <c r="A57" s="338" t="str">
        <f t="shared" si="0"/>
        <v/>
      </c>
      <c r="B57" s="339" t="str">
        <f>IFERROR(IF(VLOOKUP($A57,TableHandbook[],2,FALSE)=0,"",VLOOKUP($A57,TableHandbook[],2,FALSE)),"")</f>
        <v/>
      </c>
      <c r="C57" s="340" t="str">
        <f>IFERROR(IF(VLOOKUP($A57,TableHandbook[],3,FALSE)=0,"",VLOOKUP($A57,TableHandbook[],3,FALSE)),"")</f>
        <v/>
      </c>
      <c r="D57" s="340" t="str">
        <f>IFERROR(IF(VLOOKUP($A57,TableHandbook[],4,FALSE)=0,"",VLOOKUP($A57,TableHandbook[],4,FALSE)),"")</f>
        <v/>
      </c>
      <c r="E57" s="341"/>
      <c r="F57" s="346" t="str">
        <f>IFERROR(IF(VLOOKUP($A57,TableHandbook[],6,FALSE)=0,"",VLOOKUP($A57,TableHandbook[],6,FALSE)),"")</f>
        <v/>
      </c>
      <c r="G57" s="342" t="str">
        <f>IFERROR(IF(VLOOKUP($A57,TableHandbook[],5,FALSE)=0,"",VLOOKUP($A57,TableHandbook[],5,FALSE)),"")</f>
        <v/>
      </c>
      <c r="H57" s="299" t="str">
        <f>IFERROR(VLOOKUP($A57,TableHandbook[],H$2,FALSE),"")</f>
        <v/>
      </c>
      <c r="I57" s="296" t="str">
        <f>IFERROR(VLOOKUP($A57,TableHandbook[],I$2,FALSE),"")</f>
        <v/>
      </c>
      <c r="J57" s="296" t="str">
        <f>IFERROR(VLOOKUP($A57,TableHandbook[],J$2,FALSE),"")</f>
        <v/>
      </c>
      <c r="K57" s="300" t="str">
        <f>IFERROR(VLOOKUP($A57,TableHandbook[],K$2,FALSE),"")</f>
        <v/>
      </c>
      <c r="L57" s="74"/>
      <c r="M57" s="301">
        <v>7</v>
      </c>
    </row>
    <row r="58" spans="1:15" x14ac:dyDescent="0.25">
      <c r="A58" s="338" t="str">
        <f t="shared" si="0"/>
        <v/>
      </c>
      <c r="B58" s="339" t="str">
        <f>IFERROR(IF(VLOOKUP($A58,TableHandbook[],2,FALSE)=0,"",VLOOKUP($A58,TableHandbook[],2,FALSE)),"")</f>
        <v/>
      </c>
      <c r="C58" s="340" t="str">
        <f>IFERROR(IF(VLOOKUP($A58,TableHandbook[],3,FALSE)=0,"",VLOOKUP($A58,TableHandbook[],3,FALSE)),"")</f>
        <v/>
      </c>
      <c r="D58" s="340" t="str">
        <f>IFERROR(IF(VLOOKUP($A58,TableHandbook[],4,FALSE)=0,"",VLOOKUP($A58,TableHandbook[],4,FALSE)),"")</f>
        <v/>
      </c>
      <c r="E58" s="341"/>
      <c r="F58" s="346" t="str">
        <f>IFERROR(IF(VLOOKUP($A58,TableHandbook[],6,FALSE)=0,"",VLOOKUP($A58,TableHandbook[],6,FALSE)),"")</f>
        <v/>
      </c>
      <c r="G58" s="342" t="str">
        <f>IFERROR(IF(VLOOKUP($A58,TableHandbook[],5,FALSE)=0,"",VLOOKUP($A58,TableHandbook[],5,FALSE)),"")</f>
        <v/>
      </c>
      <c r="H58" s="299" t="str">
        <f>IFERROR(VLOOKUP($A58,TableHandbook[],H$2,FALSE),"")</f>
        <v/>
      </c>
      <c r="I58" s="296" t="str">
        <f>IFERROR(VLOOKUP($A58,TableHandbook[],I$2,FALSE),"")</f>
        <v/>
      </c>
      <c r="J58" s="296" t="str">
        <f>IFERROR(VLOOKUP($A58,TableHandbook[],J$2,FALSE),"")</f>
        <v/>
      </c>
      <c r="K58" s="300" t="str">
        <f>IFERROR(VLOOKUP($A58,TableHandbook[],K$2,FALSE),"")</f>
        <v/>
      </c>
      <c r="L58" s="74"/>
      <c r="M58" s="301">
        <v>8</v>
      </c>
    </row>
    <row r="59" spans="1:15" x14ac:dyDescent="0.25">
      <c r="A59" s="338" t="str">
        <f t="shared" si="0"/>
        <v/>
      </c>
      <c r="B59" s="339" t="str">
        <f>IFERROR(IF(VLOOKUP($A59,TableHandbook[],2,FALSE)=0,"",VLOOKUP($A59,TableHandbook[],2,FALSE)),"")</f>
        <v/>
      </c>
      <c r="C59" s="340" t="str">
        <f>IFERROR(IF(VLOOKUP($A59,TableHandbook[],3,FALSE)=0,"",VLOOKUP($A59,TableHandbook[],3,FALSE)),"")</f>
        <v/>
      </c>
      <c r="D59" s="340" t="str">
        <f>IFERROR(IF(VLOOKUP($A59,TableHandbook[],4,FALSE)=0,"",VLOOKUP($A59,TableHandbook[],4,FALSE)),"")</f>
        <v/>
      </c>
      <c r="E59" s="341"/>
      <c r="F59" s="346" t="str">
        <f>IFERROR(IF(VLOOKUP($A59,TableHandbook[],6,FALSE)=0,"",VLOOKUP($A59,TableHandbook[],6,FALSE)),"")</f>
        <v/>
      </c>
      <c r="G59" s="342" t="str">
        <f>IFERROR(IF(VLOOKUP($A59,TableHandbook[],5,FALSE)=0,"",VLOOKUP($A59,TableHandbook[],5,FALSE)),"")</f>
        <v/>
      </c>
      <c r="H59" s="299" t="str">
        <f>IFERROR(VLOOKUP($A59,TableHandbook[],H$2,FALSE),"")</f>
        <v/>
      </c>
      <c r="I59" s="296" t="str">
        <f>IFERROR(VLOOKUP($A59,TableHandbook[],I$2,FALSE),"")</f>
        <v/>
      </c>
      <c r="J59" s="296" t="str">
        <f>IFERROR(VLOOKUP($A59,TableHandbook[],J$2,FALSE),"")</f>
        <v/>
      </c>
      <c r="K59" s="300" t="str">
        <f>IFERROR(VLOOKUP($A59,TableHandbook[],K$2,FALSE),"")</f>
        <v/>
      </c>
      <c r="L59" s="74"/>
      <c r="M59" s="301">
        <v>9</v>
      </c>
    </row>
    <row r="60" spans="1:15" x14ac:dyDescent="0.25">
      <c r="A60" s="338" t="str">
        <f t="shared" si="0"/>
        <v/>
      </c>
      <c r="B60" s="339" t="str">
        <f>IFERROR(IF(VLOOKUP($A60,TableHandbook[],2,FALSE)=0,"",VLOOKUP($A60,TableHandbook[],2,FALSE)),"")</f>
        <v/>
      </c>
      <c r="C60" s="340" t="str">
        <f>IFERROR(IF(VLOOKUP($A60,TableHandbook[],3,FALSE)=0,"",VLOOKUP($A60,TableHandbook[],3,FALSE)),"")</f>
        <v/>
      </c>
      <c r="D60" s="340" t="str">
        <f>IFERROR(IF(VLOOKUP($A60,TableHandbook[],4,FALSE)=0,"",VLOOKUP($A60,TableHandbook[],4,FALSE)),"")</f>
        <v/>
      </c>
      <c r="E60" s="341"/>
      <c r="F60" s="346" t="str">
        <f>IFERROR(IF(VLOOKUP($A60,TableHandbook[],6,FALSE)=0,"",VLOOKUP($A60,TableHandbook[],6,FALSE)),"")</f>
        <v/>
      </c>
      <c r="G60" s="342" t="str">
        <f>IFERROR(IF(VLOOKUP($A60,TableHandbook[],5,FALSE)=0,"",VLOOKUP($A60,TableHandbook[],5,FALSE)),"")</f>
        <v/>
      </c>
      <c r="H60" s="299" t="str">
        <f>IFERROR(VLOOKUP($A60,TableHandbook[],H$2,FALSE),"")</f>
        <v/>
      </c>
      <c r="I60" s="296" t="str">
        <f>IFERROR(VLOOKUP($A60,TableHandbook[],I$2,FALSE),"")</f>
        <v/>
      </c>
      <c r="J60" s="296" t="str">
        <f>IFERROR(VLOOKUP($A60,TableHandbook[],J$2,FALSE),"")</f>
        <v/>
      </c>
      <c r="K60" s="300" t="str">
        <f>IFERROR(VLOOKUP($A60,TableHandbook[],K$2,FALSE),"")</f>
        <v/>
      </c>
      <c r="L60" s="74"/>
      <c r="M60" s="301">
        <v>10</v>
      </c>
    </row>
    <row r="61" spans="1:15" x14ac:dyDescent="0.25">
      <c r="A61" s="338" t="str">
        <f t="shared" si="0"/>
        <v/>
      </c>
      <c r="B61" s="339" t="str">
        <f>IFERROR(IF(VLOOKUP($A61,TableHandbook[],2,FALSE)=0,"",VLOOKUP($A61,TableHandbook[],2,FALSE)),"")</f>
        <v/>
      </c>
      <c r="C61" s="340" t="str">
        <f>IFERROR(IF(VLOOKUP($A61,TableHandbook[],3,FALSE)=0,"",VLOOKUP($A61,TableHandbook[],3,FALSE)),"")</f>
        <v/>
      </c>
      <c r="D61" s="340" t="str">
        <f>IFERROR(IF(VLOOKUP($A61,TableHandbook[],4,FALSE)=0,"",VLOOKUP($A61,TableHandbook[],4,FALSE)),"")</f>
        <v/>
      </c>
      <c r="E61" s="341"/>
      <c r="F61" s="346" t="str">
        <f>IFERROR(IF(VLOOKUP($A61,TableHandbook[],6,FALSE)=0,"",VLOOKUP($A61,TableHandbook[],6,FALSE)),"")</f>
        <v/>
      </c>
      <c r="G61" s="342" t="str">
        <f>IFERROR(IF(VLOOKUP($A61,TableHandbook[],5,FALSE)=0,"",VLOOKUP($A61,TableHandbook[],5,FALSE)),"")</f>
        <v/>
      </c>
      <c r="H61" s="299" t="str">
        <f>IFERROR(VLOOKUP($A61,TableHandbook[],H$2,FALSE),"")</f>
        <v/>
      </c>
      <c r="I61" s="296" t="str">
        <f>IFERROR(VLOOKUP($A61,TableHandbook[],I$2,FALSE),"")</f>
        <v/>
      </c>
      <c r="J61" s="296" t="str">
        <f>IFERROR(VLOOKUP($A61,TableHandbook[],J$2,FALSE),"")</f>
        <v/>
      </c>
      <c r="K61" s="300" t="str">
        <f>IFERROR(VLOOKUP($A61,TableHandbook[],K$2,FALSE),"")</f>
        <v/>
      </c>
      <c r="L61" s="74"/>
      <c r="M61" s="301">
        <v>11</v>
      </c>
    </row>
    <row r="62" spans="1:15" ht="32.25" customHeight="1" x14ac:dyDescent="0.25">
      <c r="A62" s="356" t="s">
        <v>31</v>
      </c>
      <c r="B62" s="356"/>
      <c r="C62" s="356"/>
      <c r="D62" s="356"/>
      <c r="E62" s="356"/>
      <c r="F62" s="356"/>
      <c r="G62" s="356"/>
      <c r="H62" s="356"/>
      <c r="I62" s="356"/>
      <c r="J62" s="356"/>
      <c r="K62" s="356"/>
      <c r="L62" s="356"/>
    </row>
    <row r="63" spans="1:15" s="348" customFormat="1" ht="24.95" customHeight="1" x14ac:dyDescent="0.3">
      <c r="A63" s="43" t="s">
        <v>32</v>
      </c>
      <c r="B63" s="43"/>
      <c r="C63" s="43"/>
      <c r="D63" s="44"/>
      <c r="E63" s="44"/>
      <c r="F63" s="44"/>
      <c r="G63" s="44"/>
      <c r="H63" s="44"/>
      <c r="I63" s="44"/>
      <c r="J63" s="44"/>
      <c r="K63" s="44"/>
      <c r="L63" s="44"/>
      <c r="M63" s="347"/>
      <c r="N63" s="347"/>
      <c r="O63" s="347"/>
    </row>
    <row r="64" spans="1:15" ht="15" customHeight="1" x14ac:dyDescent="0.25">
      <c r="A64" s="349" t="s">
        <v>33</v>
      </c>
      <c r="B64" s="349"/>
      <c r="C64" s="349"/>
      <c r="D64" s="349"/>
      <c r="E64" s="350"/>
      <c r="F64" s="321"/>
      <c r="G64" s="351"/>
      <c r="H64" s="351"/>
      <c r="I64" s="351"/>
      <c r="J64" s="351"/>
      <c r="K64" s="351"/>
      <c r="L64" s="351" t="s">
        <v>34</v>
      </c>
    </row>
  </sheetData>
  <sheetProtection algorithmName="SHA-512" hashValue="c6xB1SW2NMW3LY+iOQAbACRbhMDtrK6z+D9kTjD7jLaCOPzJN2646OJGAByo6zTZipiQK/YXWajEhFGGv0nRfg==" saltValue="+sToxWB+QVrhBsMPxwNliA==" spinCount="100000" sheet="1" objects="1" scenarios="1" formatCells="0"/>
  <mergeCells count="2">
    <mergeCell ref="A3:D3"/>
    <mergeCell ref="A62:L62"/>
  </mergeCells>
  <conditionalFormatting sqref="D5:D7">
    <cfRule type="containsText" dxfId="152" priority="8" operator="containsText" text="Choose">
      <formula>NOT(ISERROR(SEARCH("Choose",D5)))</formula>
    </cfRule>
  </conditionalFormatting>
  <conditionalFormatting sqref="A10:K17 A20:K28 A18:G19 A30:K38 A29:G29 A40:K48 A39:G39">
    <cfRule type="expression" dxfId="151" priority="4">
      <formula>$A10="Spec"</formula>
    </cfRule>
  </conditionalFormatting>
  <conditionalFormatting sqref="D51">
    <cfRule type="expression" dxfId="150" priority="3">
      <formula>$A51="Spec"</formula>
    </cfRule>
  </conditionalFormatting>
  <conditionalFormatting sqref="H18:K18">
    <cfRule type="expression" dxfId="149" priority="2">
      <formula>$A18="Spec"</formula>
    </cfRule>
  </conditionalFormatting>
  <conditionalFormatting sqref="A52:L61">
    <cfRule type="expression" dxfId="148" priority="1">
      <formula>$A52=""</formula>
    </cfRule>
    <cfRule type="expression" dxfId="147" priority="6">
      <formula>LEFT($D52,5)="Study"</formula>
    </cfRule>
  </conditionalFormatting>
  <dataValidations count="1">
    <dataValidation type="list" allowBlank="1" showInputMessage="1" showErrorMessage="1" sqref="L24 L14 L34 L44"/>
  </dataValidations>
  <hyperlinks>
    <hyperlink ref="A63:L63" r:id="rId1" display="If you have any queries about your course, please contact Curtin Connect."/>
  </hyperlinks>
  <printOptions horizontalCentered="1"/>
  <pageMargins left="0.31496062992125984" right="0.31496062992125984" top="0.39370078740157483" bottom="0.39370078740157483" header="0.19685039370078741" footer="0.19685039370078741"/>
  <pageSetup paperSize="9" scale="63" orientation="portrait" r:id="rId2"/>
  <rowBreaks count="1" manualBreakCount="1">
    <brk id="48" max="10" man="1"/>
  </rowBreaks>
  <ignoredErrors>
    <ignoredError sqref="M34" unlockedFormula="1"/>
  </ignoredErrors>
  <drawing r:id="rId3"/>
  <extLst>
    <ext xmlns:x14="http://schemas.microsoft.com/office/spreadsheetml/2009/9/main" uri="{CCE6A557-97BC-4b89-ADB6-D9C93CAAB3DF}">
      <x14:dataValidations xmlns:xm="http://schemas.microsoft.com/office/excel/2006/main" count="3">
        <x14:dataValidation type="list" allowBlank="1" showInputMessage="1" showErrorMessage="1">
          <x14:formula1>
            <xm:f>Unitsets!$A$15:$A$17</xm:f>
          </x14:formula1>
          <xm:sqref>D7</xm:sqref>
        </x14:dataValidation>
        <x14:dataValidation type="list" showInputMessage="1" showErrorMessage="1">
          <x14:formula1>
            <xm:f>Unitsets!$A$6:$A$8</xm:f>
          </x14:formula1>
          <xm:sqref>D5</xm:sqref>
        </x14:dataValidation>
        <x14:dataValidation type="list" showInputMessage="1" showErrorMessage="1">
          <x14:formula1>
            <xm:f>Unitsets!$A$24:$A$29</xm:f>
          </x14:formula1>
          <xm:sqref>D6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23"/>
  <sheetViews>
    <sheetView showGridLines="0" topLeftCell="A3" zoomScaleNormal="100" workbookViewId="0">
      <selection activeCell="D5" sqref="D5"/>
    </sheetView>
  </sheetViews>
  <sheetFormatPr defaultRowHeight="15" x14ac:dyDescent="0.25"/>
  <cols>
    <col min="1" max="1" width="11.75" style="31" customWidth="1"/>
    <col min="2" max="2" width="3.25" style="31" customWidth="1"/>
    <col min="3" max="3" width="5.875" style="31" customWidth="1"/>
    <col min="4" max="4" width="53.125" style="30" bestFit="1" customWidth="1"/>
    <col min="5" max="5" width="8.5" style="30" customWidth="1"/>
    <col min="6" max="6" width="24" style="30" customWidth="1"/>
    <col min="7" max="7" width="5.625" style="30" customWidth="1"/>
    <col min="8" max="11" width="4.625" style="30" customWidth="1"/>
    <col min="12" max="12" width="15.625" style="30" customWidth="1"/>
    <col min="13" max="13" width="2.5" style="30" customWidth="1"/>
    <col min="14" max="16384" width="9" style="30"/>
  </cols>
  <sheetData>
    <row r="1" spans="1:23" hidden="1" x14ac:dyDescent="0.25">
      <c r="A1" s="26" t="s">
        <v>0</v>
      </c>
      <c r="B1" s="27" t="s">
        <v>1</v>
      </c>
      <c r="C1" s="27" t="s">
        <v>2</v>
      </c>
      <c r="D1" s="28" t="s">
        <v>3</v>
      </c>
      <c r="E1" s="28"/>
      <c r="F1" s="28" t="s">
        <v>4</v>
      </c>
      <c r="G1" s="28" t="s">
        <v>5</v>
      </c>
      <c r="H1" s="29" t="s">
        <v>6</v>
      </c>
      <c r="I1" s="28"/>
      <c r="J1" s="28"/>
      <c r="K1" s="28"/>
      <c r="L1" s="28" t="s">
        <v>7</v>
      </c>
    </row>
    <row r="2" spans="1:23" hidden="1" x14ac:dyDescent="0.25">
      <c r="A2" s="179"/>
      <c r="B2" s="180">
        <v>2</v>
      </c>
      <c r="C2" s="180">
        <v>3</v>
      </c>
      <c r="D2" s="180">
        <v>4</v>
      </c>
      <c r="E2" s="180"/>
      <c r="F2" s="180">
        <v>6</v>
      </c>
      <c r="G2" s="180">
        <v>5</v>
      </c>
      <c r="H2" s="180">
        <v>7</v>
      </c>
      <c r="I2" s="180">
        <v>8</v>
      </c>
      <c r="J2" s="180">
        <v>9</v>
      </c>
      <c r="K2" s="180">
        <v>10</v>
      </c>
      <c r="L2" s="180"/>
    </row>
    <row r="3" spans="1:23" ht="39.950000000000003" customHeight="1" x14ac:dyDescent="0.25">
      <c r="A3" s="357" t="s">
        <v>8</v>
      </c>
      <c r="B3" s="357"/>
      <c r="C3" s="357"/>
      <c r="D3" s="357"/>
      <c r="E3" s="147"/>
      <c r="F3" s="147"/>
      <c r="G3" s="147"/>
      <c r="H3" s="147"/>
      <c r="I3" s="147"/>
      <c r="J3" s="147"/>
      <c r="K3" s="147"/>
      <c r="L3" s="147"/>
    </row>
    <row r="4" spans="1:23" ht="26.25" x14ac:dyDescent="0.25">
      <c r="A4" s="167"/>
      <c r="B4" s="168"/>
      <c r="C4" s="168"/>
      <c r="D4" s="169"/>
      <c r="E4" s="178" t="s">
        <v>9</v>
      </c>
      <c r="F4" s="168"/>
      <c r="G4" s="170"/>
      <c r="H4" s="170"/>
      <c r="I4" s="170"/>
      <c r="J4" s="170"/>
      <c r="K4" s="170"/>
      <c r="L4" s="245" t="str">
        <f>CONCATENATE(VLOOKUP(D5,TableCoursesUGCerts[],2,FALSE),VLOOKUP(D6,TableStudyPeriod[],2,FALSE))</f>
        <v>UH-GEOGYSem1</v>
      </c>
    </row>
    <row r="5" spans="1:23" ht="20.100000000000001" customHeight="1" x14ac:dyDescent="0.25">
      <c r="B5" s="117"/>
      <c r="C5" s="117" t="s">
        <v>10</v>
      </c>
      <c r="D5" s="248" t="s">
        <v>271</v>
      </c>
      <c r="E5" s="32"/>
      <c r="F5" s="117" t="s">
        <v>11</v>
      </c>
      <c r="G5" s="32" t="str">
        <f>IFERROR(CONCATENATE(VLOOKUP(D5,TableCoursesUGCerts[],2,FALSE)," ",VLOOKUP(D5,TableCoursesUGCerts[],3,FALSE)),"")</f>
        <v>UH-GEOGY v.1</v>
      </c>
      <c r="H5" s="32"/>
      <c r="I5" s="32"/>
      <c r="J5" s="32"/>
      <c r="K5" s="32"/>
      <c r="L5" s="33"/>
    </row>
    <row r="6" spans="1:23" ht="20.100000000000001" customHeight="1" x14ac:dyDescent="0.25">
      <c r="A6" s="34"/>
      <c r="B6" s="118"/>
      <c r="C6" s="117" t="s">
        <v>15</v>
      </c>
      <c r="D6" s="32" t="s">
        <v>16</v>
      </c>
      <c r="E6" s="35"/>
      <c r="F6" s="117" t="s">
        <v>17</v>
      </c>
      <c r="G6" s="32" t="str">
        <f>IFERROR(VLOOKUP($D$5,TableCoursesUGCerts[],4,FALSE),"")</f>
        <v>100 credit points required</v>
      </c>
      <c r="H6" s="78"/>
      <c r="I6" s="78"/>
      <c r="J6" s="78"/>
      <c r="K6" s="78"/>
      <c r="L6" s="78"/>
      <c r="M6" s="36"/>
      <c r="N6" s="36"/>
      <c r="O6" s="36"/>
      <c r="P6" s="36"/>
      <c r="Q6" s="36"/>
      <c r="R6" s="36"/>
      <c r="S6" s="36"/>
      <c r="T6" s="36"/>
      <c r="U6" s="36"/>
      <c r="V6" s="36"/>
      <c r="W6" s="36"/>
    </row>
    <row r="7" spans="1:23" s="39" customFormat="1" ht="14.1" customHeight="1" x14ac:dyDescent="0.25">
      <c r="A7" s="148"/>
      <c r="B7" s="148"/>
      <c r="C7" s="148"/>
      <c r="D7" s="149"/>
      <c r="E7" s="150"/>
      <c r="F7" s="148"/>
      <c r="G7" s="148"/>
      <c r="H7" s="151" t="s">
        <v>18</v>
      </c>
      <c r="I7" s="152"/>
      <c r="J7" s="152"/>
      <c r="K7" s="153"/>
      <c r="L7" s="154"/>
      <c r="M7" s="37"/>
      <c r="N7" s="37"/>
      <c r="O7" s="37"/>
      <c r="P7" s="38"/>
      <c r="Q7" s="38"/>
      <c r="R7" s="38"/>
      <c r="S7" s="38"/>
      <c r="T7" s="38"/>
      <c r="U7" s="38"/>
      <c r="V7" s="38"/>
      <c r="W7" s="38"/>
    </row>
    <row r="8" spans="1:23" s="39" customFormat="1" ht="21" x14ac:dyDescent="0.25">
      <c r="A8" s="148" t="s">
        <v>19</v>
      </c>
      <c r="B8" s="148"/>
      <c r="C8" s="148"/>
      <c r="D8" s="149" t="s">
        <v>3</v>
      </c>
      <c r="E8" s="155" t="s">
        <v>20</v>
      </c>
      <c r="F8" s="148" t="s">
        <v>21</v>
      </c>
      <c r="G8" s="148" t="s">
        <v>22</v>
      </c>
      <c r="H8" s="156" t="s">
        <v>23</v>
      </c>
      <c r="I8" s="155" t="s">
        <v>24</v>
      </c>
      <c r="J8" s="155" t="s">
        <v>25</v>
      </c>
      <c r="K8" s="157" t="s">
        <v>26</v>
      </c>
      <c r="L8" s="158" t="s">
        <v>27</v>
      </c>
      <c r="M8" s="37"/>
      <c r="N8" s="37"/>
      <c r="O8" s="37"/>
      <c r="P8" s="38"/>
      <c r="Q8" s="38"/>
      <c r="R8" s="38"/>
      <c r="S8" s="38"/>
      <c r="T8" s="38"/>
      <c r="U8" s="38"/>
      <c r="V8" s="38"/>
      <c r="W8" s="38"/>
    </row>
    <row r="9" spans="1:23" s="42" customFormat="1" ht="20.100000000000001" customHeight="1" x14ac:dyDescent="0.15">
      <c r="A9" s="71" t="str">
        <f>IFERROR(IF(HLOOKUP($L$4,RangeUGCertUnitSets,M9,FALSE)=0,"",HLOOKUP($L$4,RangeUGCertUnitSets,M9,FALSE)),"")</f>
        <v>GEOG1000</v>
      </c>
      <c r="B9" s="68">
        <f>IFERROR(IF(VLOOKUP($A9,TableHandbook[],2,FALSE)=0,"",VLOOKUP($A9,TableHandbook[],2,FALSE)),"")</f>
        <v>1</v>
      </c>
      <c r="C9" s="68" t="str">
        <f>IFERROR(IF(VLOOKUP($A9,TableHandbook[],3,FALSE)=0,"",VLOOKUP($A9,TableHandbook[],3,FALSE)),"")</f>
        <v/>
      </c>
      <c r="D9" s="72" t="str">
        <f>IFERROR(IF(VLOOKUP($A9,TableHandbook[],4,FALSE)=0,"",VLOOKUP($A9,TableHandbook[],4,FALSE)),"")</f>
        <v>Human Geography</v>
      </c>
      <c r="E9" s="68" t="str">
        <f>IF(A9="","",VLOOKUP($D$6,TableStudyPeriod[],2,FALSE))</f>
        <v>Sem1</v>
      </c>
      <c r="F9" s="67" t="str">
        <f>IFERROR(IF(VLOOKUP($A9,TableHandbook[],6,FALSE)=0,"",VLOOKUP($A9,TableHandbook[],6,FALSE)),"")</f>
        <v>None</v>
      </c>
      <c r="G9" s="68">
        <f>IFERROR(IF(VLOOKUP($A9,TableHandbook[],5,FALSE)=0,"",VLOOKUP($A9,TableHandbook[],5,FALSE)),"")</f>
        <v>25</v>
      </c>
      <c r="H9" s="75" t="str">
        <f>IFERROR(VLOOKUP($A9,TableHandbook[],H$2,FALSE),"")</f>
        <v>Y</v>
      </c>
      <c r="I9" s="68" t="str">
        <f>IFERROR(VLOOKUP($A9,TableHandbook[],I$2,FALSE),"")</f>
        <v>Y</v>
      </c>
      <c r="J9" s="68" t="str">
        <f>IFERROR(VLOOKUP($A9,TableHandbook[],J$2,FALSE),"")</f>
        <v/>
      </c>
      <c r="K9" s="76" t="str">
        <f>IFERROR(VLOOKUP($A9,TableHandbook[],K$2,FALSE),"")</f>
        <v/>
      </c>
      <c r="L9" s="73"/>
      <c r="M9" s="188">
        <v>2</v>
      </c>
      <c r="N9" s="40"/>
      <c r="O9" s="40"/>
      <c r="P9" s="41"/>
      <c r="Q9" s="41"/>
      <c r="R9" s="41"/>
      <c r="S9" s="41"/>
      <c r="T9" s="41"/>
      <c r="U9" s="41"/>
      <c r="V9" s="41"/>
      <c r="W9" s="41"/>
    </row>
    <row r="10" spans="1:23" s="42" customFormat="1" ht="20.100000000000001" customHeight="1" x14ac:dyDescent="0.15">
      <c r="A10" s="71" t="str">
        <f>IFERROR(IF(HLOOKUP($L$4,RangeUGCertUnitSets,M10,FALSE)=0,"",HLOOKUP($L$4,RangeUGCertUnitSets,M10,FALSE)),"")</f>
        <v>PHGY1000</v>
      </c>
      <c r="B10" s="68">
        <f>IFERROR(IF(VLOOKUP($A10,TableHandbook[],2,FALSE)=0,"",VLOOKUP($A10,TableHandbook[],2,FALSE)),"")</f>
        <v>1</v>
      </c>
      <c r="C10" s="68" t="str">
        <f>IFERROR(IF(VLOOKUP($A10,TableHandbook[],3,FALSE)=0,"",VLOOKUP($A10,TableHandbook[],3,FALSE)),"")</f>
        <v/>
      </c>
      <c r="D10" s="72" t="str">
        <f>IFERROR(IF(VLOOKUP($A10,TableHandbook[],4,FALSE)=0,"",VLOOKUP($A10,TableHandbook[],4,FALSE)),"")</f>
        <v>Physical Geography</v>
      </c>
      <c r="E10" s="68" t="str">
        <f>IF(A10="","",E9)</f>
        <v>Sem1</v>
      </c>
      <c r="F10" s="67" t="str">
        <f>IFERROR(IF(VLOOKUP($A10,TableHandbook[],6,FALSE)=0,"",VLOOKUP($A10,TableHandbook[],6,FALSE)),"")</f>
        <v>None</v>
      </c>
      <c r="G10" s="68">
        <f>IFERROR(IF(VLOOKUP($A10,TableHandbook[],5,FALSE)=0,"",VLOOKUP($A10,TableHandbook[],5,FALSE)),"")</f>
        <v>25</v>
      </c>
      <c r="H10" s="75" t="str">
        <f>IFERROR(VLOOKUP($A10,TableHandbook[],H$2,FALSE),"")</f>
        <v/>
      </c>
      <c r="I10" s="68" t="str">
        <f>IFERROR(VLOOKUP($A10,TableHandbook[],I$2,FALSE),"")</f>
        <v/>
      </c>
      <c r="J10" s="68" t="str">
        <f>IFERROR(VLOOKUP($A10,TableHandbook[],J$2,FALSE),"")</f>
        <v>Y</v>
      </c>
      <c r="K10" s="76" t="str">
        <f>IFERROR(VLOOKUP($A10,TableHandbook[],K$2,FALSE),"")</f>
        <v>Y</v>
      </c>
      <c r="L10" s="73"/>
      <c r="M10" s="188">
        <v>3</v>
      </c>
      <c r="N10" s="40"/>
      <c r="O10" s="40"/>
      <c r="P10" s="41"/>
      <c r="Q10" s="41"/>
      <c r="R10" s="41"/>
      <c r="S10" s="41"/>
      <c r="T10" s="41"/>
      <c r="U10" s="41"/>
      <c r="V10" s="41"/>
      <c r="W10" s="41"/>
    </row>
    <row r="11" spans="1:23" s="42" customFormat="1" ht="20.100000000000001" customHeight="1" x14ac:dyDescent="0.15">
      <c r="A11" s="71" t="str">
        <f>IFERROR(IF(HLOOKUP($L$4,RangeUGCertUnitSets,M11,FALSE)=0,"",HLOOKUP($L$4,RangeUGCertUnitSets,M11,FALSE)),"")</f>
        <v>PHGY2000</v>
      </c>
      <c r="B11" s="68">
        <f>IFERROR(IF(VLOOKUP($A11,TableHandbook[],2,FALSE)=0,"",VLOOKUP($A11,TableHandbook[],2,FALSE)),"")</f>
        <v>1</v>
      </c>
      <c r="C11" s="68" t="str">
        <f>IFERROR(IF(VLOOKUP($A11,TableHandbook[],3,FALSE)=0,"",VLOOKUP($A11,TableHandbook[],3,FALSE)),"")</f>
        <v/>
      </c>
      <c r="D11" s="72" t="str">
        <f>IFERROR(IF(VLOOKUP($A11,TableHandbook[],4,FALSE)=0,"",VLOOKUP($A11,TableHandbook[],4,FALSE)),"")</f>
        <v>Natural Hazards</v>
      </c>
      <c r="E11" s="68" t="str">
        <f>IF(A11="","",E10)</f>
        <v>Sem1</v>
      </c>
      <c r="F11" s="67" t="str">
        <f>IFERROR(IF(VLOOKUP($A11,TableHandbook[],6,FALSE)=0,"",VLOOKUP($A11,TableHandbook[],6,FALSE)),"")</f>
        <v>None</v>
      </c>
      <c r="G11" s="68">
        <f>IFERROR(IF(VLOOKUP($A11,TableHandbook[],5,FALSE)=0,"",VLOOKUP($A11,TableHandbook[],5,FALSE)),"")</f>
        <v>25</v>
      </c>
      <c r="H11" s="75" t="str">
        <f>IFERROR(VLOOKUP($A11,TableHandbook[],H$2,FALSE),"")</f>
        <v/>
      </c>
      <c r="I11" s="68" t="str">
        <f>IFERROR(VLOOKUP($A11,TableHandbook[],I$2,FALSE),"")</f>
        <v/>
      </c>
      <c r="J11" s="68" t="str">
        <f>IFERROR(VLOOKUP($A11,TableHandbook[],J$2,FALSE),"")</f>
        <v>Y</v>
      </c>
      <c r="K11" s="76" t="str">
        <f>IFERROR(VLOOKUP($A11,TableHandbook[],K$2,FALSE),"")</f>
        <v>Y</v>
      </c>
      <c r="L11" s="74"/>
      <c r="M11" s="188">
        <v>4</v>
      </c>
      <c r="N11" s="40"/>
      <c r="O11" s="40"/>
      <c r="P11" s="41"/>
      <c r="Q11" s="41"/>
      <c r="R11" s="41"/>
      <c r="S11" s="41"/>
      <c r="T11" s="41"/>
      <c r="U11" s="41"/>
      <c r="V11" s="41"/>
      <c r="W11" s="41"/>
    </row>
    <row r="12" spans="1:23" s="42" customFormat="1" ht="20.100000000000001" customHeight="1" x14ac:dyDescent="0.15">
      <c r="A12" s="71" t="str">
        <f>IFERROR(IF(HLOOKUP($L$4,RangeUGCertUnitSets,M12,FALSE)=0,"",HLOOKUP($L$4,RangeUGCertUnitSets,M12,FALSE)),"")</f>
        <v>Option</v>
      </c>
      <c r="B12" s="68" t="str">
        <f>IFERROR(IF(VLOOKUP($A12,TableHandbook[],2,FALSE)=0,"",VLOOKUP($A12,TableHandbook[],2,FALSE)),"")</f>
        <v/>
      </c>
      <c r="C12" s="68" t="str">
        <f>IFERROR(IF(VLOOKUP($A12,TableHandbook[],3,FALSE)=0,"",VLOOKUP($A12,TableHandbook[],3,FALSE)),"")</f>
        <v/>
      </c>
      <c r="D12" s="72" t="str">
        <f>IFERROR(IF(VLOOKUP($A12,TableHandbook[],4,FALSE)=0,"",VLOOKUP($A12,TableHandbook[],4,FALSE)),"")</f>
        <v>Study a unit from the Option list below</v>
      </c>
      <c r="E12" s="68" t="str">
        <f>IF(A12="","",E11)</f>
        <v>Sem1</v>
      </c>
      <c r="F12" s="67" t="str">
        <f>IFERROR(IF(VLOOKUP($A12,TableHandbook[],6,FALSE)=0,"",VLOOKUP($A12,TableHandbook[],6,FALSE)),"")</f>
        <v>See below</v>
      </c>
      <c r="G12" s="68">
        <f>IFERROR(IF(VLOOKUP($A12,TableHandbook[],5,FALSE)=0,"",VLOOKUP($A12,TableHandbook[],5,FALSE)),"")</f>
        <v>25</v>
      </c>
      <c r="H12" s="75" t="str">
        <f>IFERROR(VLOOKUP($A12,TableHandbook[],H$2,FALSE),"")</f>
        <v/>
      </c>
      <c r="I12" s="68" t="str">
        <f>IFERROR(VLOOKUP($A12,TableHandbook[],I$2,FALSE),"")</f>
        <v/>
      </c>
      <c r="J12" s="68" t="str">
        <f>IFERROR(VLOOKUP($A12,TableHandbook[],J$2,FALSE),"")</f>
        <v/>
      </c>
      <c r="K12" s="76" t="str">
        <f>IFERROR(VLOOKUP($A12,TableHandbook[],K$2,FALSE),"")</f>
        <v/>
      </c>
      <c r="L12" s="73"/>
      <c r="M12" s="188">
        <v>5</v>
      </c>
      <c r="N12" s="40"/>
      <c r="O12" s="40"/>
      <c r="P12" s="41"/>
      <c r="Q12" s="41"/>
      <c r="R12" s="41"/>
      <c r="S12" s="41"/>
      <c r="T12" s="41"/>
      <c r="U12" s="41"/>
      <c r="V12" s="41"/>
      <c r="W12" s="41"/>
    </row>
    <row r="13" spans="1:23" s="52" customFormat="1" ht="13.9" customHeight="1" x14ac:dyDescent="0.2">
      <c r="A13" s="53"/>
      <c r="B13" s="53"/>
      <c r="C13" s="53"/>
      <c r="D13" s="54"/>
      <c r="E13" s="54"/>
      <c r="F13" s="49"/>
      <c r="G13" s="49"/>
      <c r="H13" s="49"/>
      <c r="I13" s="49"/>
      <c r="J13" s="49"/>
      <c r="K13" s="49"/>
      <c r="L13" s="49"/>
      <c r="M13" s="189"/>
      <c r="N13" s="50"/>
      <c r="O13" s="50"/>
      <c r="P13" s="51"/>
      <c r="Q13" s="51"/>
      <c r="R13" s="51"/>
      <c r="S13" s="51"/>
      <c r="T13" s="51"/>
      <c r="U13" s="51"/>
      <c r="V13" s="51"/>
      <c r="W13" s="51"/>
    </row>
    <row r="14" spans="1:23" ht="15" customHeight="1" x14ac:dyDescent="0.25">
      <c r="A14" s="172" t="s">
        <v>301</v>
      </c>
      <c r="B14" s="159"/>
      <c r="C14" s="159"/>
      <c r="D14" s="160"/>
      <c r="E14" s="161"/>
      <c r="F14" s="161"/>
      <c r="G14" s="161"/>
      <c r="H14" s="151" t="s">
        <v>18</v>
      </c>
      <c r="I14" s="152"/>
      <c r="J14" s="152"/>
      <c r="K14" s="153"/>
      <c r="L14" s="162"/>
      <c r="M14" s="190"/>
      <c r="N14" s="36"/>
      <c r="O14" s="36"/>
      <c r="P14" s="36"/>
      <c r="Q14" s="36"/>
      <c r="R14" s="36"/>
      <c r="S14" s="36"/>
      <c r="T14" s="36"/>
      <c r="U14" s="36"/>
      <c r="V14" s="36"/>
      <c r="W14" s="36"/>
    </row>
    <row r="15" spans="1:23" s="56" customFormat="1" ht="21" x14ac:dyDescent="0.25">
      <c r="A15" s="163"/>
      <c r="B15" s="163"/>
      <c r="C15" s="163"/>
      <c r="D15" s="149" t="s">
        <v>3</v>
      </c>
      <c r="E15" s="164"/>
      <c r="F15" s="165" t="s">
        <v>21</v>
      </c>
      <c r="G15" s="165" t="s">
        <v>22</v>
      </c>
      <c r="H15" s="156" t="s">
        <v>23</v>
      </c>
      <c r="I15" s="155" t="s">
        <v>24</v>
      </c>
      <c r="J15" s="155" t="s">
        <v>25</v>
      </c>
      <c r="K15" s="157" t="s">
        <v>26</v>
      </c>
      <c r="L15" s="166"/>
      <c r="M15" s="190"/>
      <c r="N15" s="55"/>
      <c r="O15" s="55"/>
      <c r="P15" s="55"/>
      <c r="Q15" s="55"/>
      <c r="R15" s="55"/>
      <c r="S15" s="55"/>
      <c r="T15" s="55"/>
      <c r="U15" s="55"/>
      <c r="V15" s="55"/>
      <c r="W15" s="55"/>
    </row>
    <row r="16" spans="1:23" x14ac:dyDescent="0.25">
      <c r="A16" s="246" t="str">
        <f>IFERROR(IF(HLOOKUP($L$4,RangeUGCertUnitSets,M16,FALSE)=0,"",HLOOKUP($L$4,RangeUGCertUnitSets,M16,FALSE)),"")</f>
        <v>Option</v>
      </c>
      <c r="B16" s="218" t="str">
        <f>IFERROR(IF(VLOOKUP($A16,TableHandbook[],2,FALSE)=0,"",VLOOKUP($A16,TableHandbook[],2,FALSE)),"")</f>
        <v/>
      </c>
      <c r="C16" s="57" t="str">
        <f>IFERROR(IF(VLOOKUP($A16,TableHandbook[],3,FALSE)=0,"",VLOOKUP($A16,TableHandbook[],3,FALSE)),"")</f>
        <v/>
      </c>
      <c r="D16" s="57" t="str">
        <f>IFERROR(IF(VLOOKUP($A16,TableHandbook[],4,FALSE)=0,"",VLOOKUP($A16,TableHandbook[],4,FALSE)),"")</f>
        <v>Study a unit from the Option list below</v>
      </c>
      <c r="E16" s="58"/>
      <c r="F16" s="67" t="str">
        <f>IFERROR(IF(VLOOKUP($A16,TableHandbook[],6,FALSE)=0,"",VLOOKUP($A16,TableHandbook[],6,FALSE)),"")</f>
        <v>See below</v>
      </c>
      <c r="G16" s="59">
        <f>IFERROR(IF(VLOOKUP($A16,TableHandbook[],5,FALSE)=0,"",VLOOKUP($A16,TableHandbook[],5,FALSE)),"")</f>
        <v>25</v>
      </c>
      <c r="H16" s="97" t="str">
        <f>IFERROR(VLOOKUP($A16,TableHandbook[],H$2,FALSE),"")</f>
        <v/>
      </c>
      <c r="I16" s="98" t="str">
        <f>IFERROR(VLOOKUP($A16,TableHandbook[],I$2,FALSE),"")</f>
        <v/>
      </c>
      <c r="J16" s="98" t="str">
        <f>IFERROR(VLOOKUP($A16,TableHandbook[],J$2,FALSE),"")</f>
        <v/>
      </c>
      <c r="K16" s="99" t="str">
        <f>IFERROR(VLOOKUP($A16,TableHandbook[],K$2,FALSE),"")</f>
        <v/>
      </c>
      <c r="L16" s="69"/>
      <c r="M16" s="188">
        <v>6</v>
      </c>
      <c r="N16" s="36"/>
      <c r="O16" s="36"/>
      <c r="P16" s="36"/>
      <c r="Q16" s="36"/>
      <c r="R16" s="36"/>
      <c r="S16" s="36"/>
      <c r="T16" s="36"/>
      <c r="U16" s="36"/>
      <c r="V16" s="36"/>
      <c r="W16" s="36"/>
    </row>
    <row r="17" spans="1:23" x14ac:dyDescent="0.25">
      <c r="A17" s="246" t="str">
        <f>IFERROR(IF(HLOOKUP($L$4,RangeUGCertUnitSets,M17,FALSE)=0,"",HLOOKUP($L$4,RangeUGCertUnitSets,M17,FALSE)),"")</f>
        <v>GEOG2000</v>
      </c>
      <c r="B17" s="218">
        <f>IFERROR(IF(VLOOKUP($A17,TableHandbook[],2,FALSE)=0,"",VLOOKUP($A17,TableHandbook[],2,FALSE)),"")</f>
        <v>1</v>
      </c>
      <c r="C17" s="57" t="str">
        <f>IFERROR(IF(VLOOKUP($A17,TableHandbook[],3,FALSE)=0,"",VLOOKUP($A17,TableHandbook[],3,FALSE)),"")</f>
        <v/>
      </c>
      <c r="D17" s="57" t="str">
        <f>IFERROR(IF(VLOOKUP($A17,TableHandbook[],4,FALSE)=0,"",VLOOKUP($A17,TableHandbook[],4,FALSE)),"")</f>
        <v>Geographies of Migration</v>
      </c>
      <c r="E17" s="58"/>
      <c r="F17" s="67" t="str">
        <f>IFERROR(IF(VLOOKUP($A17,TableHandbook[],6,FALSE)=0,"",VLOOKUP($A17,TableHandbook[],6,FALSE)),"")</f>
        <v>None</v>
      </c>
      <c r="G17" s="59">
        <f>IFERROR(IF(VLOOKUP($A17,TableHandbook[],5,FALSE)=0,"",VLOOKUP($A17,TableHandbook[],5,FALSE)),"")</f>
        <v>25</v>
      </c>
      <c r="H17" s="97" t="str">
        <f>IFERROR(VLOOKUP($A17,TableHandbook[],H$2,FALSE),"")</f>
        <v/>
      </c>
      <c r="I17" s="98" t="str">
        <f>IFERROR(VLOOKUP($A17,TableHandbook[],I$2,FALSE),"")</f>
        <v/>
      </c>
      <c r="J17" s="98" t="str">
        <f>IFERROR(VLOOKUP($A17,TableHandbook[],J$2,FALSE),"")</f>
        <v>Y</v>
      </c>
      <c r="K17" s="99" t="str">
        <f>IFERROR(VLOOKUP($A17,TableHandbook[],K$2,FALSE),"")</f>
        <v>Y</v>
      </c>
      <c r="L17" s="69"/>
      <c r="M17" s="188">
        <v>7</v>
      </c>
      <c r="N17" s="36"/>
      <c r="O17" s="36"/>
      <c r="P17" s="36"/>
      <c r="Q17" s="36"/>
      <c r="R17" s="36"/>
      <c r="S17" s="36"/>
      <c r="T17" s="36"/>
      <c r="U17" s="36"/>
      <c r="V17" s="36"/>
      <c r="W17" s="36"/>
    </row>
    <row r="18" spans="1:23" x14ac:dyDescent="0.25">
      <c r="A18" s="246" t="str">
        <f>IFERROR(IF(HLOOKUP($L$4,RangeUGCertUnitSets,M18,FALSE)=0,"",HLOOKUP($L$4,RangeUGCertUnitSets,M18,FALSE)),"")</f>
        <v>GEOG2001</v>
      </c>
      <c r="B18" s="218">
        <f>IFERROR(IF(VLOOKUP($A18,TableHandbook[],2,FALSE)=0,"",VLOOKUP($A18,TableHandbook[],2,FALSE)),"")</f>
        <v>1</v>
      </c>
      <c r="C18" s="57" t="str">
        <f>IFERROR(IF(VLOOKUP($A18,TableHandbook[],3,FALSE)=0,"",VLOOKUP($A18,TableHandbook[],3,FALSE)),"")</f>
        <v/>
      </c>
      <c r="D18" s="57" t="str">
        <f>IFERROR(IF(VLOOKUP($A18,TableHandbook[],4,FALSE)=0,"",VLOOKUP($A18,TableHandbook[],4,FALSE)),"")</f>
        <v>Geographies of Food Security</v>
      </c>
      <c r="E18" s="58"/>
      <c r="F18" s="67" t="str">
        <f>IFERROR(IF(VLOOKUP($A18,TableHandbook[],6,FALSE)=0,"",VLOOKUP($A18,TableHandbook[],6,FALSE)),"")</f>
        <v>None</v>
      </c>
      <c r="G18" s="59">
        <f>IFERROR(IF(VLOOKUP($A18,TableHandbook[],5,FALSE)=0,"",VLOOKUP($A18,TableHandbook[],5,FALSE)),"")</f>
        <v>25</v>
      </c>
      <c r="H18" s="97" t="str">
        <f>IFERROR(VLOOKUP($A18,TableHandbook[],H$2,FALSE),"")</f>
        <v>Y</v>
      </c>
      <c r="I18" s="98" t="str">
        <f>IFERROR(VLOOKUP($A18,TableHandbook[],I$2,FALSE),"")</f>
        <v>Y</v>
      </c>
      <c r="J18" s="98" t="str">
        <f>IFERROR(VLOOKUP($A18,TableHandbook[],J$2,FALSE),"")</f>
        <v/>
      </c>
      <c r="K18" s="99" t="str">
        <f>IFERROR(VLOOKUP($A18,TableHandbook[],K$2,FALSE),"")</f>
        <v/>
      </c>
      <c r="L18" s="69"/>
      <c r="M18" s="188">
        <v>8</v>
      </c>
      <c r="N18" s="36"/>
      <c r="O18" s="36"/>
      <c r="P18" s="36"/>
      <c r="Q18" s="36"/>
      <c r="R18" s="36"/>
      <c r="S18" s="36"/>
      <c r="T18" s="36"/>
      <c r="U18" s="36"/>
      <c r="V18" s="36"/>
      <c r="W18" s="36"/>
    </row>
    <row r="19" spans="1:23" x14ac:dyDescent="0.25">
      <c r="A19" s="246" t="str">
        <f>IFERROR(IF(HLOOKUP($L$4,RangeUGCertUnitSets,M19,FALSE)=0,"",HLOOKUP($L$4,RangeUGCertUnitSets,M19,FALSE)),"")</f>
        <v>GEOG2002</v>
      </c>
      <c r="B19" s="218">
        <f>IFERROR(IF(VLOOKUP($A19,TableHandbook[],2,FALSE)=0,"",VLOOKUP($A19,TableHandbook[],2,FALSE)),"")</f>
        <v>1</v>
      </c>
      <c r="C19" s="57" t="str">
        <f>IFERROR(IF(VLOOKUP($A19,TableHandbook[],3,FALSE)=0,"",VLOOKUP($A19,TableHandbook[],3,FALSE)),"")</f>
        <v/>
      </c>
      <c r="D19" s="57" t="str">
        <f>IFERROR(IF(VLOOKUP($A19,TableHandbook[],4,FALSE)=0,"",VLOOKUP($A19,TableHandbook[],4,FALSE)),"")</f>
        <v>Fieldwork Skills</v>
      </c>
      <c r="E19" s="58"/>
      <c r="F19" s="67" t="str">
        <f>IFERROR(IF(VLOOKUP($A19,TableHandbook[],6,FALSE)=0,"",VLOOKUP($A19,TableHandbook[],6,FALSE)),"")</f>
        <v>None</v>
      </c>
      <c r="G19" s="59">
        <f>IFERROR(IF(VLOOKUP($A19,TableHandbook[],5,FALSE)=0,"",VLOOKUP($A19,TableHandbook[],5,FALSE)),"")</f>
        <v>25</v>
      </c>
      <c r="H19" s="97" t="str">
        <f>IFERROR(VLOOKUP($A19,TableHandbook[],H$2,FALSE),"")</f>
        <v>Y</v>
      </c>
      <c r="I19" s="98" t="str">
        <f>IFERROR(VLOOKUP($A19,TableHandbook[],I$2,FALSE),"")</f>
        <v>Y</v>
      </c>
      <c r="J19" s="98" t="str">
        <f>IFERROR(VLOOKUP($A19,TableHandbook[],J$2,FALSE),"")</f>
        <v/>
      </c>
      <c r="K19" s="99" t="str">
        <f>IFERROR(VLOOKUP($A19,TableHandbook[],K$2,FALSE),"")</f>
        <v/>
      </c>
      <c r="L19" s="69"/>
      <c r="M19" s="188">
        <v>9</v>
      </c>
      <c r="N19" s="36"/>
      <c r="O19" s="36"/>
      <c r="P19" s="36"/>
      <c r="Q19" s="36"/>
      <c r="R19" s="36"/>
      <c r="S19" s="36"/>
      <c r="T19" s="36"/>
      <c r="U19" s="36"/>
      <c r="V19" s="36"/>
      <c r="W19" s="36"/>
    </row>
    <row r="20" spans="1:23" ht="15.75" x14ac:dyDescent="0.25">
      <c r="A20"/>
      <c r="B20"/>
      <c r="C20"/>
      <c r="D20"/>
      <c r="E20"/>
      <c r="F20"/>
      <c r="G20"/>
      <c r="H20"/>
      <c r="I20"/>
      <c r="J20"/>
      <c r="K20"/>
      <c r="L20"/>
      <c r="M20" s="188"/>
      <c r="N20" s="36"/>
      <c r="O20" s="36"/>
      <c r="P20" s="36"/>
      <c r="Q20" s="36"/>
      <c r="R20" s="36"/>
      <c r="S20" s="36"/>
      <c r="T20" s="36"/>
      <c r="U20" s="36"/>
      <c r="V20" s="36"/>
      <c r="W20" s="36"/>
    </row>
    <row r="21" spans="1:23" s="36" customFormat="1" ht="32.25" customHeight="1" x14ac:dyDescent="0.25">
      <c r="A21" s="358" t="s">
        <v>31</v>
      </c>
      <c r="B21" s="358"/>
      <c r="C21" s="358"/>
      <c r="D21" s="358"/>
      <c r="E21" s="358"/>
      <c r="F21" s="358"/>
      <c r="G21" s="358"/>
      <c r="H21" s="358"/>
      <c r="I21" s="358"/>
      <c r="J21" s="358"/>
      <c r="K21" s="358"/>
      <c r="L21" s="358"/>
    </row>
    <row r="22" spans="1:23" s="47" customFormat="1" ht="24.95" customHeight="1" x14ac:dyDescent="0.3">
      <c r="A22" s="43" t="s">
        <v>32</v>
      </c>
      <c r="B22" s="43"/>
      <c r="C22" s="43"/>
      <c r="D22" s="44"/>
      <c r="E22" s="44"/>
      <c r="F22" s="44"/>
      <c r="G22" s="44"/>
      <c r="H22" s="44"/>
      <c r="I22" s="44"/>
      <c r="J22" s="44"/>
      <c r="K22" s="44"/>
      <c r="L22" s="44"/>
      <c r="M22" s="45"/>
      <c r="N22" s="45"/>
      <c r="O22" s="45"/>
      <c r="P22" s="46"/>
      <c r="Q22" s="46"/>
      <c r="R22" s="46"/>
      <c r="S22" s="46"/>
      <c r="T22" s="46"/>
      <c r="U22" s="46"/>
      <c r="V22" s="46"/>
      <c r="W22" s="46"/>
    </row>
    <row r="23" spans="1:23" s="36" customFormat="1" ht="15" customHeight="1" x14ac:dyDescent="0.25">
      <c r="A23" s="48" t="s">
        <v>33</v>
      </c>
      <c r="B23" s="48"/>
      <c r="C23" s="48"/>
      <c r="D23" s="48"/>
      <c r="E23" s="60"/>
      <c r="F23" s="49"/>
      <c r="G23" s="61"/>
      <c r="H23" s="61"/>
      <c r="I23" s="61"/>
      <c r="J23" s="61"/>
      <c r="K23" s="61"/>
      <c r="L23" s="61" t="s">
        <v>34</v>
      </c>
    </row>
  </sheetData>
  <sheetProtection formatCells="0"/>
  <mergeCells count="2">
    <mergeCell ref="A3:D3"/>
    <mergeCell ref="A21:L21"/>
  </mergeCells>
  <conditionalFormatting sqref="D5:D6">
    <cfRule type="containsText" dxfId="146" priority="6" operator="containsText" text="Choose">
      <formula>NOT(ISERROR(SEARCH("Choose",D5)))</formula>
    </cfRule>
  </conditionalFormatting>
  <conditionalFormatting sqref="A9:K12">
    <cfRule type="expression" dxfId="145" priority="4">
      <formula>$A9="Spec"</formula>
    </cfRule>
  </conditionalFormatting>
  <conditionalFormatting sqref="D15">
    <cfRule type="expression" dxfId="144" priority="3">
      <formula>$A15="Spec"</formula>
    </cfRule>
  </conditionalFormatting>
  <conditionalFormatting sqref="A16:L19">
    <cfRule type="expression" dxfId="143" priority="1">
      <formula>$A16=""</formula>
    </cfRule>
    <cfRule type="expression" dxfId="142" priority="5">
      <formula>LEFT($D16,5)="Study"</formula>
    </cfRule>
  </conditionalFormatting>
  <hyperlinks>
    <hyperlink ref="A22:L22" r:id="rId1" display="If you have any queries about your course, please contact Curtin Connect."/>
  </hyperlinks>
  <printOptions horizontalCentered="1"/>
  <pageMargins left="0.31496062992125984" right="0.31496062992125984" top="0.39370078740157483" bottom="0.39370078740157483" header="0.19685039370078741" footer="0.19685039370078741"/>
  <pageSetup paperSize="9" scale="65" orientation="portrait" r:id="rId2"/>
  <rowBreaks count="1" manualBreakCount="1">
    <brk id="12" max="10" man="1"/>
  </rowBreaks>
  <drawing r:id="rId3"/>
  <extLst>
    <ext xmlns:x14="http://schemas.microsoft.com/office/spreadsheetml/2009/9/main" uri="{CCE6A557-97BC-4b89-ADB6-D9C93CAAB3DF}">
      <x14:dataValidations xmlns:xm="http://schemas.microsoft.com/office/excel/2006/main" count="2">
        <x14:dataValidation type="list" showInputMessage="1" showErrorMessage="1">
          <x14:formula1>
            <xm:f>Unitsets!$A$10:$A$12</xm:f>
          </x14:formula1>
          <xm:sqref>D5</xm:sqref>
        </x14:dataValidation>
        <x14:dataValidation type="list" allowBlank="1" showInputMessage="1" showErrorMessage="1">
          <x14:formula1>
            <xm:f>Unitsets!$A$15:$A$17</xm:f>
          </x14:formula1>
          <xm:sqref>D6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A65"/>
  <sheetViews>
    <sheetView zoomScale="85" zoomScaleNormal="85" workbookViewId="0">
      <selection activeCell="D5" sqref="D5"/>
    </sheetView>
  </sheetViews>
  <sheetFormatPr defaultRowHeight="15.75" x14ac:dyDescent="0.25"/>
  <cols>
    <col min="1" max="1" width="47.5" style="12" bestFit="1" customWidth="1"/>
    <col min="2" max="2" width="21.875" style="8" bestFit="1" customWidth="1"/>
    <col min="3" max="3" width="9.25" style="8" customWidth="1"/>
    <col min="4" max="4" width="19.375" style="8" bestFit="1" customWidth="1"/>
    <col min="5" max="5" width="13.75" style="8" bestFit="1" customWidth="1"/>
    <col min="6" max="6" width="13.125" style="8" bestFit="1" customWidth="1"/>
    <col min="7" max="7" width="21.625" style="8" bestFit="1" customWidth="1"/>
    <col min="8" max="8" width="9.25" style="8" bestFit="1" customWidth="1"/>
    <col min="9" max="9" width="13.25" style="8" bestFit="1" customWidth="1"/>
    <col min="10" max="10" width="3.625" customWidth="1"/>
    <col min="11" max="11" width="6" bestFit="1" customWidth="1"/>
    <col min="12" max="12" width="11" customWidth="1"/>
    <col min="13" max="13" width="6" bestFit="1" customWidth="1"/>
    <col min="14" max="14" width="10.375" customWidth="1"/>
    <col min="15" max="15" width="6" customWidth="1"/>
    <col min="16" max="16" width="12.875" customWidth="1"/>
    <col min="17" max="17" width="6" customWidth="1"/>
    <col min="18" max="18" width="12.75" customWidth="1"/>
    <col min="19" max="19" width="6" customWidth="1"/>
    <col min="20" max="20" width="12.75" customWidth="1"/>
    <col min="21" max="21" width="6" customWidth="1"/>
    <col min="22" max="22" width="12.75" customWidth="1"/>
    <col min="23" max="23" width="4" bestFit="1" customWidth="1"/>
  </cols>
  <sheetData>
    <row r="1" spans="1:27" x14ac:dyDescent="0.25">
      <c r="A1" s="14" t="s">
        <v>35</v>
      </c>
      <c r="B1" s="15"/>
      <c r="C1" s="15"/>
      <c r="D1" s="15"/>
    </row>
    <row r="2" spans="1:27" x14ac:dyDescent="0.25">
      <c r="K2" s="138" t="s">
        <v>36</v>
      </c>
      <c r="L2" s="139"/>
      <c r="M2" s="141"/>
      <c r="N2" s="140"/>
      <c r="O2" s="138" t="s">
        <v>37</v>
      </c>
      <c r="P2" s="139"/>
      <c r="Q2" s="139"/>
      <c r="R2" s="140"/>
      <c r="S2" s="138" t="s">
        <v>38</v>
      </c>
      <c r="T2" s="139"/>
      <c r="U2" s="139"/>
      <c r="V2" s="140"/>
      <c r="W2" s="9"/>
      <c r="X2" s="22"/>
    </row>
    <row r="3" spans="1:27" ht="33.75" x14ac:dyDescent="0.25">
      <c r="I3" s="114" t="s">
        <v>39</v>
      </c>
      <c r="J3" s="1">
        <v>1</v>
      </c>
      <c r="K3" s="66"/>
      <c r="L3" s="10" t="s">
        <v>40</v>
      </c>
      <c r="M3" s="66"/>
      <c r="N3" s="11" t="s">
        <v>41</v>
      </c>
      <c r="O3" s="66"/>
      <c r="P3" s="175" t="s">
        <v>42</v>
      </c>
      <c r="Q3" s="176"/>
      <c r="R3" s="177" t="s">
        <v>43</v>
      </c>
      <c r="S3" s="176"/>
      <c r="T3" s="175" t="s">
        <v>44</v>
      </c>
      <c r="U3" s="176"/>
      <c r="V3" s="177" t="s">
        <v>45</v>
      </c>
      <c r="X3" s="22"/>
      <c r="Y3" s="22"/>
      <c r="Z3" s="22"/>
      <c r="AA3" s="22"/>
    </row>
    <row r="4" spans="1:27" x14ac:dyDescent="0.25">
      <c r="A4"/>
      <c r="I4"/>
      <c r="J4" s="18">
        <v>2</v>
      </c>
      <c r="K4" s="80" t="s">
        <v>48</v>
      </c>
      <c r="L4" s="250" t="s">
        <v>47</v>
      </c>
      <c r="M4" s="80" t="s">
        <v>49</v>
      </c>
      <c r="N4" s="254" t="s">
        <v>47</v>
      </c>
      <c r="O4" s="133" t="s">
        <v>48</v>
      </c>
      <c r="P4" s="128" t="str">
        <f>L4</f>
        <v>COMS1010</v>
      </c>
      <c r="Q4" s="133" t="s">
        <v>49</v>
      </c>
      <c r="R4" s="134" t="str">
        <f>N4</f>
        <v>COMS1010</v>
      </c>
      <c r="S4" s="133" t="s">
        <v>48</v>
      </c>
      <c r="T4" s="128" t="str">
        <f>L4</f>
        <v>COMS1010</v>
      </c>
      <c r="U4" s="133" t="s">
        <v>49</v>
      </c>
      <c r="V4" s="128" t="str">
        <f>N4</f>
        <v>COMS1010</v>
      </c>
      <c r="X4" s="22"/>
      <c r="Y4" s="22"/>
      <c r="Z4" s="22"/>
      <c r="AA4" s="22"/>
    </row>
    <row r="5" spans="1:27" x14ac:dyDescent="0.25">
      <c r="A5" s="242" t="s">
        <v>298</v>
      </c>
      <c r="I5"/>
      <c r="J5" s="18">
        <v>3</v>
      </c>
      <c r="K5" s="81" t="s">
        <v>48</v>
      </c>
      <c r="L5" s="251" t="s">
        <v>50</v>
      </c>
      <c r="M5" s="81" t="s">
        <v>49</v>
      </c>
      <c r="N5" s="251" t="s">
        <v>51</v>
      </c>
      <c r="O5" s="135" t="s">
        <v>48</v>
      </c>
      <c r="P5" s="129" t="str">
        <f t="shared" ref="P5:R27" si="0">L5</f>
        <v>URDE1005</v>
      </c>
      <c r="Q5" s="135" t="s">
        <v>49</v>
      </c>
      <c r="R5" s="129" t="str">
        <f t="shared" si="0"/>
        <v>URDE1009</v>
      </c>
      <c r="S5" s="135" t="s">
        <v>48</v>
      </c>
      <c r="T5" s="129" t="str">
        <f t="shared" ref="T5:T27" si="1">L5</f>
        <v>URDE1005</v>
      </c>
      <c r="U5" s="135" t="s">
        <v>49</v>
      </c>
      <c r="V5" s="129" t="str">
        <f t="shared" ref="V5:V27" si="2">N5</f>
        <v>URDE1009</v>
      </c>
      <c r="X5" s="22"/>
      <c r="Y5" s="22"/>
      <c r="Z5" s="22"/>
      <c r="AA5" s="22"/>
    </row>
    <row r="6" spans="1:27" x14ac:dyDescent="0.25">
      <c r="A6" s="8" t="s">
        <v>250</v>
      </c>
      <c r="B6" s="12" t="s">
        <v>0</v>
      </c>
      <c r="C6" s="8" t="s">
        <v>52</v>
      </c>
      <c r="D6" s="8" t="s">
        <v>53</v>
      </c>
      <c r="E6" s="8" t="s">
        <v>54</v>
      </c>
      <c r="F6" s="8" t="s">
        <v>253</v>
      </c>
      <c r="G6" s="8" t="s">
        <v>6</v>
      </c>
      <c r="I6"/>
      <c r="J6" s="18">
        <v>4</v>
      </c>
      <c r="K6" s="81" t="s">
        <v>48</v>
      </c>
      <c r="L6" s="251" t="s">
        <v>55</v>
      </c>
      <c r="M6" s="81" t="s">
        <v>49</v>
      </c>
      <c r="N6" s="251" t="s">
        <v>56</v>
      </c>
      <c r="O6" s="135" t="s">
        <v>48</v>
      </c>
      <c r="P6" s="129" t="str">
        <f t="shared" si="0"/>
        <v>URDE1006</v>
      </c>
      <c r="Q6" s="135" t="s">
        <v>49</v>
      </c>
      <c r="R6" s="129" t="str">
        <f t="shared" si="0"/>
        <v>URDE1001</v>
      </c>
      <c r="S6" s="135" t="s">
        <v>48</v>
      </c>
      <c r="T6" s="129" t="str">
        <f t="shared" si="1"/>
        <v>URDE1006</v>
      </c>
      <c r="U6" s="135" t="s">
        <v>49</v>
      </c>
      <c r="V6" s="129" t="str">
        <f t="shared" si="2"/>
        <v>URDE1001</v>
      </c>
      <c r="X6" s="22"/>
      <c r="Y6" s="22"/>
      <c r="Z6" s="22"/>
      <c r="AA6" s="22"/>
    </row>
    <row r="7" spans="1:27" x14ac:dyDescent="0.25">
      <c r="A7" s="8" t="s">
        <v>35</v>
      </c>
      <c r="B7" s="195" t="s">
        <v>57</v>
      </c>
      <c r="C7" s="92" t="s">
        <v>58</v>
      </c>
      <c r="D7" s="92" t="s">
        <v>59</v>
      </c>
      <c r="E7" s="196">
        <v>44197</v>
      </c>
      <c r="F7" s="196">
        <v>44197</v>
      </c>
      <c r="G7" s="196" t="s">
        <v>276</v>
      </c>
      <c r="I7"/>
      <c r="J7" s="18">
        <v>5</v>
      </c>
      <c r="K7" s="81" t="s">
        <v>48</v>
      </c>
      <c r="L7" s="251" t="s">
        <v>60</v>
      </c>
      <c r="M7" s="81" t="s">
        <v>49</v>
      </c>
      <c r="N7" s="251" t="s">
        <v>61</v>
      </c>
      <c r="O7" s="135" t="s">
        <v>48</v>
      </c>
      <c r="P7" s="129" t="str">
        <f t="shared" si="0"/>
        <v>URDE1002</v>
      </c>
      <c r="Q7" s="135" t="s">
        <v>49</v>
      </c>
      <c r="R7" s="129" t="str">
        <f t="shared" si="0"/>
        <v>URDE1010</v>
      </c>
      <c r="S7" s="135" t="s">
        <v>48</v>
      </c>
      <c r="T7" s="129" t="str">
        <f t="shared" si="1"/>
        <v>URDE1002</v>
      </c>
      <c r="U7" s="135" t="s">
        <v>49</v>
      </c>
      <c r="V7" s="129" t="str">
        <f t="shared" si="2"/>
        <v>URDE1010</v>
      </c>
      <c r="X7" s="4"/>
      <c r="Y7" s="5"/>
      <c r="Z7" s="5"/>
    </row>
    <row r="8" spans="1:27" x14ac:dyDescent="0.25">
      <c r="A8" s="8" t="s">
        <v>254</v>
      </c>
      <c r="B8" s="197" t="s">
        <v>62</v>
      </c>
      <c r="C8" s="92" t="s">
        <v>63</v>
      </c>
      <c r="D8" s="92" t="s">
        <v>59</v>
      </c>
      <c r="E8" s="196">
        <v>44197</v>
      </c>
      <c r="F8" s="196">
        <v>44197</v>
      </c>
      <c r="G8" s="196" t="s">
        <v>276</v>
      </c>
      <c r="I8"/>
      <c r="J8" s="18">
        <v>6</v>
      </c>
      <c r="K8" s="81" t="s">
        <v>49</v>
      </c>
      <c r="L8" s="251" t="s">
        <v>64</v>
      </c>
      <c r="M8" s="81" t="s">
        <v>48</v>
      </c>
      <c r="N8" s="251" t="s">
        <v>64</v>
      </c>
      <c r="O8" s="135" t="s">
        <v>49</v>
      </c>
      <c r="P8" s="129" t="str">
        <f t="shared" si="0"/>
        <v>URDE1003</v>
      </c>
      <c r="Q8" s="135" t="s">
        <v>48</v>
      </c>
      <c r="R8" s="129" t="str">
        <f t="shared" si="0"/>
        <v>URDE1003</v>
      </c>
      <c r="S8" s="135" t="s">
        <v>49</v>
      </c>
      <c r="T8" s="129" t="str">
        <f t="shared" si="1"/>
        <v>URDE1003</v>
      </c>
      <c r="U8" s="135" t="s">
        <v>48</v>
      </c>
      <c r="V8" s="129" t="str">
        <f t="shared" si="2"/>
        <v>URDE1003</v>
      </c>
      <c r="X8" s="4"/>
      <c r="Y8" s="21"/>
      <c r="Z8" s="5"/>
    </row>
    <row r="9" spans="1:27" x14ac:dyDescent="0.25">
      <c r="A9" s="242" t="s">
        <v>299</v>
      </c>
      <c r="B9" s="92"/>
      <c r="C9" s="92"/>
      <c r="D9" s="92"/>
      <c r="E9" s="196"/>
      <c r="F9" s="92"/>
      <c r="G9" s="92"/>
      <c r="I9"/>
      <c r="J9" s="18">
        <v>7</v>
      </c>
      <c r="K9" s="81" t="s">
        <v>49</v>
      </c>
      <c r="L9" s="251" t="s">
        <v>51</v>
      </c>
      <c r="M9" s="81" t="s">
        <v>48</v>
      </c>
      <c r="N9" s="251" t="s">
        <v>50</v>
      </c>
      <c r="O9" s="135" t="s">
        <v>49</v>
      </c>
      <c r="P9" s="129" t="str">
        <f t="shared" si="0"/>
        <v>URDE1009</v>
      </c>
      <c r="Q9" s="135" t="s">
        <v>48</v>
      </c>
      <c r="R9" s="129" t="str">
        <f t="shared" si="0"/>
        <v>URDE1005</v>
      </c>
      <c r="S9" s="135" t="s">
        <v>49</v>
      </c>
      <c r="T9" s="129" t="str">
        <f t="shared" si="1"/>
        <v>URDE1009</v>
      </c>
      <c r="U9" s="135" t="s">
        <v>48</v>
      </c>
      <c r="V9" s="129" t="str">
        <f t="shared" si="2"/>
        <v>URDE1005</v>
      </c>
      <c r="Y9" s="5"/>
      <c r="Z9" s="5"/>
    </row>
    <row r="10" spans="1:27" x14ac:dyDescent="0.25">
      <c r="A10" s="243" t="s">
        <v>300</v>
      </c>
      <c r="B10" s="244" t="s">
        <v>0</v>
      </c>
      <c r="C10" s="243" t="s">
        <v>52</v>
      </c>
      <c r="D10" s="243" t="s">
        <v>53</v>
      </c>
      <c r="E10" s="243" t="s">
        <v>54</v>
      </c>
      <c r="F10" s="243" t="s">
        <v>253</v>
      </c>
      <c r="G10" s="243" t="s">
        <v>6</v>
      </c>
      <c r="I10"/>
      <c r="J10" s="18">
        <v>8</v>
      </c>
      <c r="K10" s="81" t="s">
        <v>49</v>
      </c>
      <c r="L10" s="251" t="s">
        <v>56</v>
      </c>
      <c r="M10" s="81" t="s">
        <v>48</v>
      </c>
      <c r="N10" s="251" t="s">
        <v>55</v>
      </c>
      <c r="O10" s="135" t="s">
        <v>49</v>
      </c>
      <c r="P10" s="129" t="str">
        <f t="shared" si="0"/>
        <v>URDE1001</v>
      </c>
      <c r="Q10" s="135" t="s">
        <v>48</v>
      </c>
      <c r="R10" s="129" t="str">
        <f t="shared" si="0"/>
        <v>URDE1006</v>
      </c>
      <c r="S10" s="135" t="s">
        <v>49</v>
      </c>
      <c r="T10" s="129" t="str">
        <f t="shared" si="1"/>
        <v>URDE1001</v>
      </c>
      <c r="U10" s="135" t="s">
        <v>48</v>
      </c>
      <c r="V10" s="129" t="str">
        <f t="shared" si="2"/>
        <v>URDE1006</v>
      </c>
      <c r="Y10" s="5"/>
      <c r="Z10" s="5"/>
    </row>
    <row r="11" spans="1:27" x14ac:dyDescent="0.25">
      <c r="A11" s="227" t="s">
        <v>271</v>
      </c>
      <c r="B11" s="219" t="s">
        <v>272</v>
      </c>
      <c r="C11" s="220" t="s">
        <v>93</v>
      </c>
      <c r="D11" s="220" t="s">
        <v>278</v>
      </c>
      <c r="E11" s="221">
        <v>44562</v>
      </c>
      <c r="F11" s="221">
        <v>44562</v>
      </c>
      <c r="G11" s="221" t="s">
        <v>275</v>
      </c>
      <c r="I11"/>
      <c r="J11" s="18">
        <v>9</v>
      </c>
      <c r="K11" s="81" t="s">
        <v>49</v>
      </c>
      <c r="L11" s="251" t="s">
        <v>61</v>
      </c>
      <c r="M11" s="85" t="s">
        <v>48</v>
      </c>
      <c r="N11" s="251" t="s">
        <v>60</v>
      </c>
      <c r="O11" s="135" t="s">
        <v>49</v>
      </c>
      <c r="P11" s="129" t="str">
        <f t="shared" si="0"/>
        <v>URDE1010</v>
      </c>
      <c r="Q11" s="136" t="s">
        <v>48</v>
      </c>
      <c r="R11" s="129" t="str">
        <f t="shared" si="0"/>
        <v>URDE1002</v>
      </c>
      <c r="S11" s="135" t="s">
        <v>49</v>
      </c>
      <c r="T11" s="129" t="str">
        <f t="shared" si="1"/>
        <v>URDE1010</v>
      </c>
      <c r="U11" s="136" t="s">
        <v>48</v>
      </c>
      <c r="V11" s="129" t="str">
        <f t="shared" si="2"/>
        <v>URDE1002</v>
      </c>
      <c r="Y11" s="5"/>
      <c r="Z11" s="5"/>
    </row>
    <row r="12" spans="1:27" x14ac:dyDescent="0.25">
      <c r="A12" s="227" t="s">
        <v>273</v>
      </c>
      <c r="B12" s="219" t="s">
        <v>274</v>
      </c>
      <c r="C12" s="220" t="s">
        <v>93</v>
      </c>
      <c r="D12" s="220" t="s">
        <v>278</v>
      </c>
      <c r="E12" s="221">
        <v>44562</v>
      </c>
      <c r="F12" s="221">
        <v>44562</v>
      </c>
      <c r="G12" s="221" t="s">
        <v>277</v>
      </c>
      <c r="I12"/>
      <c r="J12" s="18">
        <v>10</v>
      </c>
      <c r="K12" s="83" t="s">
        <v>70</v>
      </c>
      <c r="L12" s="250" t="s">
        <v>69</v>
      </c>
      <c r="M12" s="83" t="s">
        <v>71</v>
      </c>
      <c r="N12" s="250" t="s">
        <v>72</v>
      </c>
      <c r="O12" s="133" t="s">
        <v>70</v>
      </c>
      <c r="P12" s="128" t="str">
        <f t="shared" si="0"/>
        <v>URDE2011</v>
      </c>
      <c r="Q12" s="133" t="s">
        <v>71</v>
      </c>
      <c r="R12" s="128" t="str">
        <f t="shared" si="0"/>
        <v>URDE2009</v>
      </c>
      <c r="S12" s="133" t="s">
        <v>70</v>
      </c>
      <c r="T12" s="128" t="str">
        <f t="shared" si="1"/>
        <v>URDE2011</v>
      </c>
      <c r="U12" s="133" t="s">
        <v>71</v>
      </c>
      <c r="V12" s="128" t="str">
        <f t="shared" si="2"/>
        <v>URDE2009</v>
      </c>
      <c r="Y12" s="5"/>
      <c r="Z12" s="5"/>
    </row>
    <row r="13" spans="1:27" x14ac:dyDescent="0.25">
      <c r="I13"/>
      <c r="J13" s="18">
        <v>11</v>
      </c>
      <c r="K13" s="82" t="s">
        <v>70</v>
      </c>
      <c r="L13" s="251" t="s">
        <v>74</v>
      </c>
      <c r="M13" s="82" t="s">
        <v>71</v>
      </c>
      <c r="N13" s="251" t="s">
        <v>75</v>
      </c>
      <c r="O13" s="135" t="s">
        <v>70</v>
      </c>
      <c r="P13" s="129" t="str">
        <f t="shared" si="0"/>
        <v>URDE2000</v>
      </c>
      <c r="Q13" s="135" t="s">
        <v>71</v>
      </c>
      <c r="R13" s="129" t="str">
        <f t="shared" si="0"/>
        <v>URDE2001</v>
      </c>
      <c r="S13" s="135" t="s">
        <v>70</v>
      </c>
      <c r="T13" s="129" t="str">
        <f t="shared" si="1"/>
        <v>URDE2000</v>
      </c>
      <c r="U13" s="135" t="s">
        <v>71</v>
      </c>
      <c r="V13" s="129" t="str">
        <f t="shared" si="2"/>
        <v>URDE2001</v>
      </c>
      <c r="Y13" s="5"/>
      <c r="Z13" s="5"/>
    </row>
    <row r="14" spans="1:27" x14ac:dyDescent="0.25">
      <c r="I14"/>
      <c r="J14" s="18">
        <v>12</v>
      </c>
      <c r="K14" s="82" t="s">
        <v>70</v>
      </c>
      <c r="L14" s="251" t="s">
        <v>76</v>
      </c>
      <c r="M14" s="82" t="s">
        <v>71</v>
      </c>
      <c r="N14" s="251" t="s">
        <v>77</v>
      </c>
      <c r="O14" s="135" t="s">
        <v>70</v>
      </c>
      <c r="P14" s="129" t="str">
        <f t="shared" si="0"/>
        <v>URDE2004</v>
      </c>
      <c r="Q14" s="135" t="s">
        <v>71</v>
      </c>
      <c r="R14" s="129" t="str">
        <f t="shared" si="0"/>
        <v>URDE2007</v>
      </c>
      <c r="S14" s="135" t="s">
        <v>70</v>
      </c>
      <c r="T14" s="129" t="str">
        <f t="shared" si="1"/>
        <v>URDE2004</v>
      </c>
      <c r="U14" s="135" t="s">
        <v>71</v>
      </c>
      <c r="V14" s="129" t="str">
        <f t="shared" si="2"/>
        <v>URDE2007</v>
      </c>
      <c r="Y14" s="5"/>
      <c r="Z14" s="5"/>
    </row>
    <row r="15" spans="1:27" x14ac:dyDescent="0.25">
      <c r="A15" s="13" t="s">
        <v>251</v>
      </c>
      <c r="B15" s="16" t="s">
        <v>65</v>
      </c>
      <c r="C15" s="16" t="s">
        <v>66</v>
      </c>
      <c r="I15"/>
      <c r="J15" s="18">
        <v>13</v>
      </c>
      <c r="K15" s="82" t="s">
        <v>70</v>
      </c>
      <c r="L15" s="251" t="s">
        <v>79</v>
      </c>
      <c r="M15" s="82" t="s">
        <v>71</v>
      </c>
      <c r="N15" s="252" t="s">
        <v>80</v>
      </c>
      <c r="O15" s="135" t="s">
        <v>70</v>
      </c>
      <c r="P15" s="129" t="str">
        <f t="shared" si="0"/>
        <v>URDE2006</v>
      </c>
      <c r="Q15" s="135" t="s">
        <v>71</v>
      </c>
      <c r="R15" s="129" t="str">
        <f t="shared" si="0"/>
        <v>Spec</v>
      </c>
      <c r="S15" s="135" t="s">
        <v>70</v>
      </c>
      <c r="T15" s="129" t="str">
        <f t="shared" si="1"/>
        <v>URDE2006</v>
      </c>
      <c r="U15" s="135" t="s">
        <v>71</v>
      </c>
      <c r="V15" s="129" t="str">
        <f t="shared" si="2"/>
        <v>Spec</v>
      </c>
      <c r="Y15" s="5"/>
      <c r="Z15" s="5"/>
    </row>
    <row r="16" spans="1:27" x14ac:dyDescent="0.25">
      <c r="A16" s="8" t="s">
        <v>16</v>
      </c>
      <c r="B16" s="92" t="s">
        <v>67</v>
      </c>
      <c r="C16" s="92" t="s">
        <v>68</v>
      </c>
      <c r="I16"/>
      <c r="J16" s="18">
        <v>14</v>
      </c>
      <c r="K16" s="82" t="s">
        <v>71</v>
      </c>
      <c r="L16" s="251" t="s">
        <v>72</v>
      </c>
      <c r="M16" s="82" t="s">
        <v>70</v>
      </c>
      <c r="N16" s="251" t="s">
        <v>69</v>
      </c>
      <c r="O16" s="135" t="s">
        <v>71</v>
      </c>
      <c r="P16" s="129" t="str">
        <f t="shared" si="0"/>
        <v>URDE2009</v>
      </c>
      <c r="Q16" s="135" t="s">
        <v>70</v>
      </c>
      <c r="R16" s="129" t="str">
        <f t="shared" si="0"/>
        <v>URDE2011</v>
      </c>
      <c r="S16" s="135" t="s">
        <v>71</v>
      </c>
      <c r="T16" s="129" t="str">
        <f t="shared" si="1"/>
        <v>URDE2009</v>
      </c>
      <c r="U16" s="135" t="s">
        <v>70</v>
      </c>
      <c r="V16" s="129" t="str">
        <f t="shared" si="2"/>
        <v>URDE2011</v>
      </c>
      <c r="X16" s="7"/>
      <c r="Y16" s="5"/>
      <c r="Z16" s="5"/>
    </row>
    <row r="17" spans="1:26" x14ac:dyDescent="0.25">
      <c r="A17" s="8" t="s">
        <v>73</v>
      </c>
      <c r="B17" s="92" t="s">
        <v>68</v>
      </c>
      <c r="C17" s="92" t="s">
        <v>67</v>
      </c>
      <c r="F17"/>
      <c r="G17"/>
      <c r="I17"/>
      <c r="J17" s="18">
        <v>15</v>
      </c>
      <c r="K17" s="82" t="s">
        <v>71</v>
      </c>
      <c r="L17" s="251" t="s">
        <v>75</v>
      </c>
      <c r="M17" s="82" t="s">
        <v>70</v>
      </c>
      <c r="N17" s="251" t="s">
        <v>74</v>
      </c>
      <c r="O17" s="135" t="s">
        <v>71</v>
      </c>
      <c r="P17" s="129" t="str">
        <f t="shared" si="0"/>
        <v>URDE2001</v>
      </c>
      <c r="Q17" s="135" t="s">
        <v>70</v>
      </c>
      <c r="R17" s="129" t="str">
        <f t="shared" si="0"/>
        <v>URDE2000</v>
      </c>
      <c r="S17" s="135" t="s">
        <v>71</v>
      </c>
      <c r="T17" s="129" t="str">
        <f t="shared" si="1"/>
        <v>URDE2001</v>
      </c>
      <c r="U17" s="135" t="s">
        <v>70</v>
      </c>
      <c r="V17" s="129" t="str">
        <f t="shared" si="2"/>
        <v>URDE2000</v>
      </c>
      <c r="X17" s="7"/>
      <c r="Y17" s="5"/>
      <c r="Z17" s="5"/>
    </row>
    <row r="18" spans="1:26" x14ac:dyDescent="0.25">
      <c r="E18" s="17"/>
      <c r="F18"/>
      <c r="G18"/>
      <c r="I18"/>
      <c r="J18" s="18">
        <v>16</v>
      </c>
      <c r="K18" s="82" t="s">
        <v>71</v>
      </c>
      <c r="L18" s="251" t="s">
        <v>77</v>
      </c>
      <c r="M18" s="82" t="s">
        <v>70</v>
      </c>
      <c r="N18" s="251" t="s">
        <v>76</v>
      </c>
      <c r="O18" s="135" t="s">
        <v>71</v>
      </c>
      <c r="P18" s="129" t="str">
        <f t="shared" si="0"/>
        <v>URDE2007</v>
      </c>
      <c r="Q18" s="135" t="s">
        <v>70</v>
      </c>
      <c r="R18" s="129" t="str">
        <f t="shared" si="0"/>
        <v>URDE2004</v>
      </c>
      <c r="S18" s="135" t="s">
        <v>71</v>
      </c>
      <c r="T18" s="129" t="str">
        <f t="shared" si="1"/>
        <v>URDE2007</v>
      </c>
      <c r="U18" s="135" t="s">
        <v>70</v>
      </c>
      <c r="V18" s="129" t="str">
        <f t="shared" si="2"/>
        <v>URDE2004</v>
      </c>
      <c r="X18" s="7"/>
      <c r="Y18" s="5"/>
      <c r="Z18" s="5"/>
    </row>
    <row r="19" spans="1:26" x14ac:dyDescent="0.25">
      <c r="A19" s="112" t="s">
        <v>78</v>
      </c>
      <c r="B19" s="113" t="s">
        <v>0</v>
      </c>
      <c r="C19" s="112" t="s">
        <v>52</v>
      </c>
      <c r="D19" s="112" t="s">
        <v>53</v>
      </c>
      <c r="E19" s="112" t="s">
        <v>54</v>
      </c>
      <c r="F19" s="112" t="s">
        <v>253</v>
      </c>
      <c r="G19"/>
      <c r="I19"/>
      <c r="J19" s="18">
        <v>17</v>
      </c>
      <c r="K19" s="84" t="s">
        <v>71</v>
      </c>
      <c r="L19" s="252" t="s">
        <v>80</v>
      </c>
      <c r="M19" s="84" t="s">
        <v>70</v>
      </c>
      <c r="N19" s="251" t="s">
        <v>79</v>
      </c>
      <c r="O19" s="136" t="s">
        <v>71</v>
      </c>
      <c r="P19" s="129" t="str">
        <f t="shared" si="0"/>
        <v>Spec</v>
      </c>
      <c r="Q19" s="136" t="s">
        <v>70</v>
      </c>
      <c r="R19" s="129" t="str">
        <f t="shared" si="0"/>
        <v>URDE2006</v>
      </c>
      <c r="S19" s="136" t="s">
        <v>71</v>
      </c>
      <c r="T19" s="129" t="str">
        <f t="shared" si="1"/>
        <v>Spec</v>
      </c>
      <c r="U19" s="136" t="s">
        <v>70</v>
      </c>
      <c r="V19" s="129" t="str">
        <f t="shared" si="2"/>
        <v>URDE2006</v>
      </c>
      <c r="X19" s="6"/>
      <c r="Y19" s="5"/>
      <c r="Z19" s="21"/>
    </row>
    <row r="20" spans="1:26" x14ac:dyDescent="0.25">
      <c r="A20" s="105" t="s">
        <v>81</v>
      </c>
      <c r="B20" s="198" t="s">
        <v>82</v>
      </c>
      <c r="C20" s="199" t="s">
        <v>83</v>
      </c>
      <c r="D20" s="199" t="s">
        <v>84</v>
      </c>
      <c r="E20" s="200">
        <v>44927</v>
      </c>
      <c r="F20" s="200">
        <v>44927</v>
      </c>
      <c r="G20"/>
      <c r="H20" s="17"/>
      <c r="I20"/>
      <c r="J20" s="18">
        <v>18</v>
      </c>
      <c r="K20" s="83" t="s">
        <v>89</v>
      </c>
      <c r="L20" s="250" t="s">
        <v>88</v>
      </c>
      <c r="M20" s="83" t="s">
        <v>90</v>
      </c>
      <c r="N20" s="250" t="s">
        <v>91</v>
      </c>
      <c r="O20" s="133" t="s">
        <v>89</v>
      </c>
      <c r="P20" s="128" t="str">
        <f t="shared" si="0"/>
        <v>URDE3009</v>
      </c>
      <c r="Q20" s="133" t="s">
        <v>90</v>
      </c>
      <c r="R20" s="128" t="str">
        <f t="shared" si="0"/>
        <v>URDE3006</v>
      </c>
      <c r="S20" s="133" t="s">
        <v>89</v>
      </c>
      <c r="T20" s="128" t="str">
        <f t="shared" si="1"/>
        <v>URDE3009</v>
      </c>
      <c r="U20" s="133" t="s">
        <v>90</v>
      </c>
      <c r="V20" s="128" t="str">
        <f t="shared" si="2"/>
        <v>URDE3006</v>
      </c>
    </row>
    <row r="21" spans="1:26" x14ac:dyDescent="0.25">
      <c r="A21" s="105" t="s">
        <v>85</v>
      </c>
      <c r="B21" s="198" t="s">
        <v>86</v>
      </c>
      <c r="C21" s="199" t="s">
        <v>87</v>
      </c>
      <c r="D21" s="199" t="s">
        <v>84</v>
      </c>
      <c r="E21" s="200">
        <v>44197</v>
      </c>
      <c r="F21" s="200">
        <v>44197</v>
      </c>
      <c r="G21"/>
      <c r="H21" s="17"/>
      <c r="I21"/>
      <c r="J21" s="18">
        <v>19</v>
      </c>
      <c r="K21" s="82" t="s">
        <v>89</v>
      </c>
      <c r="L21" s="251" t="s">
        <v>96</v>
      </c>
      <c r="M21" s="82" t="s">
        <v>90</v>
      </c>
      <c r="N21" s="251" t="s">
        <v>97</v>
      </c>
      <c r="O21" s="135" t="s">
        <v>89</v>
      </c>
      <c r="P21" s="129" t="str">
        <f t="shared" si="0"/>
        <v>URDE3002</v>
      </c>
      <c r="Q21" s="135" t="s">
        <v>90</v>
      </c>
      <c r="R21" s="129" t="str">
        <f t="shared" si="0"/>
        <v>URDE3001</v>
      </c>
      <c r="S21" s="135" t="s">
        <v>89</v>
      </c>
      <c r="T21" s="129" t="str">
        <f t="shared" si="1"/>
        <v>URDE3002</v>
      </c>
      <c r="U21" s="135" t="s">
        <v>90</v>
      </c>
      <c r="V21" s="129" t="str">
        <f t="shared" si="2"/>
        <v>URDE3001</v>
      </c>
    </row>
    <row r="22" spans="1:26" x14ac:dyDescent="0.25">
      <c r="A22" s="8"/>
      <c r="B22" s="12"/>
      <c r="C22" s="4"/>
      <c r="D22" s="4"/>
      <c r="E22" s="91"/>
      <c r="F22"/>
      <c r="G22"/>
      <c r="I22"/>
      <c r="J22" s="18">
        <v>20</v>
      </c>
      <c r="K22" s="82" t="s">
        <v>89</v>
      </c>
      <c r="L22" s="252" t="s">
        <v>80</v>
      </c>
      <c r="M22" s="82" t="s">
        <v>90</v>
      </c>
      <c r="N22" s="253" t="s">
        <v>95</v>
      </c>
      <c r="O22" s="135" t="s">
        <v>89</v>
      </c>
      <c r="P22" s="129" t="str">
        <f t="shared" si="0"/>
        <v>Spec</v>
      </c>
      <c r="Q22" s="135" t="s">
        <v>90</v>
      </c>
      <c r="R22" s="129" t="str">
        <f t="shared" si="0"/>
        <v>URDE3007</v>
      </c>
      <c r="S22" s="135" t="s">
        <v>89</v>
      </c>
      <c r="T22" s="129" t="str">
        <f t="shared" si="1"/>
        <v>Spec</v>
      </c>
      <c r="U22" s="135" t="s">
        <v>90</v>
      </c>
      <c r="V22" s="129" t="str">
        <f t="shared" si="2"/>
        <v>URDE3007</v>
      </c>
    </row>
    <row r="23" spans="1:26" x14ac:dyDescent="0.25">
      <c r="E23" s="17"/>
      <c r="F23"/>
      <c r="G23"/>
      <c r="I23"/>
      <c r="J23" s="18">
        <v>21</v>
      </c>
      <c r="K23" s="82" t="s">
        <v>89</v>
      </c>
      <c r="L23" s="252" t="s">
        <v>80</v>
      </c>
      <c r="M23" s="82" t="s">
        <v>90</v>
      </c>
      <c r="N23" s="252" t="s">
        <v>80</v>
      </c>
      <c r="O23" s="135" t="s">
        <v>89</v>
      </c>
      <c r="P23" s="129" t="str">
        <f t="shared" si="0"/>
        <v>Spec</v>
      </c>
      <c r="Q23" s="135" t="s">
        <v>90</v>
      </c>
      <c r="R23" s="129" t="str">
        <f t="shared" si="0"/>
        <v>Spec</v>
      </c>
      <c r="S23" s="135" t="s">
        <v>89</v>
      </c>
      <c r="T23" s="129" t="str">
        <f t="shared" si="1"/>
        <v>Spec</v>
      </c>
      <c r="U23" s="135" t="s">
        <v>90</v>
      </c>
      <c r="V23" s="129" t="str">
        <f t="shared" si="2"/>
        <v>Spec</v>
      </c>
    </row>
    <row r="24" spans="1:26" x14ac:dyDescent="0.25">
      <c r="A24" s="8" t="s">
        <v>252</v>
      </c>
      <c r="B24" s="12" t="s">
        <v>0</v>
      </c>
      <c r="C24" s="8" t="s">
        <v>52</v>
      </c>
      <c r="D24" s="8" t="s">
        <v>53</v>
      </c>
      <c r="E24" s="8" t="s">
        <v>54</v>
      </c>
      <c r="F24" s="8" t="s">
        <v>253</v>
      </c>
      <c r="I24"/>
      <c r="J24" s="18">
        <v>22</v>
      </c>
      <c r="K24" s="82" t="s">
        <v>90</v>
      </c>
      <c r="L24" s="251" t="s">
        <v>91</v>
      </c>
      <c r="M24" s="82" t="s">
        <v>89</v>
      </c>
      <c r="N24" s="251" t="s">
        <v>88</v>
      </c>
      <c r="O24" s="135" t="s">
        <v>90</v>
      </c>
      <c r="P24" s="129" t="str">
        <f t="shared" si="0"/>
        <v>URDE3006</v>
      </c>
      <c r="Q24" s="135" t="s">
        <v>89</v>
      </c>
      <c r="R24" s="129" t="str">
        <f t="shared" si="0"/>
        <v>URDE3009</v>
      </c>
      <c r="S24" s="135" t="s">
        <v>90</v>
      </c>
      <c r="T24" s="129" t="str">
        <f t="shared" si="1"/>
        <v>URDE3006</v>
      </c>
      <c r="U24" s="135" t="s">
        <v>89</v>
      </c>
      <c r="V24" s="129" t="str">
        <f t="shared" si="2"/>
        <v>URDE3009</v>
      </c>
    </row>
    <row r="25" spans="1:26" x14ac:dyDescent="0.25">
      <c r="A25" s="8" t="s">
        <v>13</v>
      </c>
      <c r="B25" s="197" t="s">
        <v>92</v>
      </c>
      <c r="C25" s="5" t="s">
        <v>93</v>
      </c>
      <c r="D25" s="5" t="s">
        <v>94</v>
      </c>
      <c r="E25" s="201">
        <v>44197</v>
      </c>
      <c r="F25" s="201">
        <v>44197</v>
      </c>
      <c r="G25" s="91"/>
      <c r="I25"/>
      <c r="J25" s="18">
        <v>23</v>
      </c>
      <c r="K25" s="82" t="s">
        <v>90</v>
      </c>
      <c r="L25" s="251" t="s">
        <v>97</v>
      </c>
      <c r="M25" s="82" t="s">
        <v>89</v>
      </c>
      <c r="N25" s="251" t="s">
        <v>96</v>
      </c>
      <c r="O25" s="135" t="s">
        <v>90</v>
      </c>
      <c r="P25" s="129" t="str">
        <f t="shared" si="0"/>
        <v>URDE3001</v>
      </c>
      <c r="Q25" s="135" t="s">
        <v>89</v>
      </c>
      <c r="R25" s="129" t="str">
        <f t="shared" si="0"/>
        <v>URDE3002</v>
      </c>
      <c r="S25" s="135" t="s">
        <v>90</v>
      </c>
      <c r="T25" s="129" t="str">
        <f t="shared" si="1"/>
        <v>URDE3001</v>
      </c>
      <c r="U25" s="135" t="s">
        <v>89</v>
      </c>
      <c r="V25" s="129" t="str">
        <f t="shared" si="2"/>
        <v>URDE3002</v>
      </c>
    </row>
    <row r="26" spans="1:26" x14ac:dyDescent="0.25">
      <c r="A26" s="8" t="s">
        <v>98</v>
      </c>
      <c r="B26" s="197" t="s">
        <v>99</v>
      </c>
      <c r="C26" s="5" t="s">
        <v>93</v>
      </c>
      <c r="D26" s="5" t="s">
        <v>94</v>
      </c>
      <c r="E26" s="201">
        <v>44197</v>
      </c>
      <c r="F26" s="201">
        <v>44197</v>
      </c>
      <c r="G26" s="91"/>
      <c r="I26" s="18"/>
      <c r="J26" s="18">
        <v>24</v>
      </c>
      <c r="K26" s="82" t="s">
        <v>90</v>
      </c>
      <c r="L26" s="253" t="s">
        <v>95</v>
      </c>
      <c r="M26" s="82" t="s">
        <v>89</v>
      </c>
      <c r="N26" s="252" t="s">
        <v>80</v>
      </c>
      <c r="O26" s="135" t="s">
        <v>90</v>
      </c>
      <c r="P26" s="129" t="str">
        <f t="shared" si="0"/>
        <v>URDE3007</v>
      </c>
      <c r="Q26" s="135" t="s">
        <v>89</v>
      </c>
      <c r="R26" s="129" t="str">
        <f t="shared" si="0"/>
        <v>Spec</v>
      </c>
      <c r="S26" s="135" t="s">
        <v>90</v>
      </c>
      <c r="T26" s="129" t="str">
        <f t="shared" si="1"/>
        <v>URDE3007</v>
      </c>
      <c r="U26" s="135" t="s">
        <v>89</v>
      </c>
      <c r="V26" s="129" t="str">
        <f t="shared" si="2"/>
        <v>Spec</v>
      </c>
    </row>
    <row r="27" spans="1:26" x14ac:dyDescent="0.25">
      <c r="A27" s="8" t="s">
        <v>100</v>
      </c>
      <c r="B27" s="197" t="s">
        <v>101</v>
      </c>
      <c r="C27" s="5" t="s">
        <v>93</v>
      </c>
      <c r="D27" s="5" t="s">
        <v>94</v>
      </c>
      <c r="E27" s="201">
        <v>44197</v>
      </c>
      <c r="F27" s="201">
        <v>44197</v>
      </c>
      <c r="G27" s="91"/>
      <c r="I27" s="18"/>
      <c r="J27" s="18">
        <v>25</v>
      </c>
      <c r="K27" s="84" t="s">
        <v>90</v>
      </c>
      <c r="L27" s="252" t="s">
        <v>80</v>
      </c>
      <c r="M27" s="84" t="s">
        <v>89</v>
      </c>
      <c r="N27" s="255" t="s">
        <v>80</v>
      </c>
      <c r="O27" s="136" t="s">
        <v>90</v>
      </c>
      <c r="P27" s="129" t="str">
        <f t="shared" si="0"/>
        <v>Spec</v>
      </c>
      <c r="Q27" s="136" t="s">
        <v>89</v>
      </c>
      <c r="R27" s="137" t="str">
        <f t="shared" si="0"/>
        <v>Spec</v>
      </c>
      <c r="S27" s="136" t="s">
        <v>90</v>
      </c>
      <c r="T27" s="129" t="str">
        <f t="shared" si="1"/>
        <v>Spec</v>
      </c>
      <c r="U27" s="136" t="s">
        <v>89</v>
      </c>
      <c r="V27" s="137" t="str">
        <f t="shared" si="2"/>
        <v>Spec</v>
      </c>
    </row>
    <row r="28" spans="1:26" x14ac:dyDescent="0.25">
      <c r="A28" s="8" t="s">
        <v>102</v>
      </c>
      <c r="B28" s="197" t="s">
        <v>103</v>
      </c>
      <c r="C28" s="203" t="s">
        <v>87</v>
      </c>
      <c r="D28" s="5" t="s">
        <v>94</v>
      </c>
      <c r="E28" s="202">
        <v>45292</v>
      </c>
      <c r="F28" s="202">
        <v>45292</v>
      </c>
      <c r="G28" s="91"/>
      <c r="I28"/>
      <c r="J28" s="18">
        <v>26</v>
      </c>
      <c r="K28" s="83" t="s">
        <v>107</v>
      </c>
      <c r="L28" s="131"/>
      <c r="M28" s="83" t="s">
        <v>108</v>
      </c>
      <c r="N28" s="63"/>
      <c r="O28" s="83" t="s">
        <v>107</v>
      </c>
      <c r="P28" s="63" t="s">
        <v>106</v>
      </c>
      <c r="Q28" s="83" t="s">
        <v>108</v>
      </c>
      <c r="R28" s="250" t="s">
        <v>109</v>
      </c>
      <c r="S28" s="83" t="s">
        <v>107</v>
      </c>
      <c r="T28" s="63" t="s">
        <v>106</v>
      </c>
      <c r="U28" s="83" t="s">
        <v>108</v>
      </c>
      <c r="V28" s="250" t="s">
        <v>109</v>
      </c>
    </row>
    <row r="29" spans="1:26" x14ac:dyDescent="0.25">
      <c r="A29" s="8" t="s">
        <v>104</v>
      </c>
      <c r="B29" s="197" t="s">
        <v>105</v>
      </c>
      <c r="C29" s="5" t="s">
        <v>93</v>
      </c>
      <c r="D29" s="5" t="s">
        <v>94</v>
      </c>
      <c r="E29" s="201">
        <v>44197</v>
      </c>
      <c r="F29" s="201">
        <v>44197</v>
      </c>
      <c r="G29" s="91"/>
      <c r="H29"/>
      <c r="I29"/>
      <c r="J29" s="18">
        <v>27</v>
      </c>
      <c r="K29" s="82" t="s">
        <v>107</v>
      </c>
      <c r="L29" s="127"/>
      <c r="M29" s="82" t="s">
        <v>108</v>
      </c>
      <c r="N29" s="64"/>
      <c r="O29" s="82" t="s">
        <v>107</v>
      </c>
      <c r="P29" s="64" t="s">
        <v>111</v>
      </c>
      <c r="Q29" s="82" t="s">
        <v>108</v>
      </c>
      <c r="R29" s="251" t="s">
        <v>112</v>
      </c>
      <c r="S29" s="82" t="s">
        <v>107</v>
      </c>
      <c r="T29" s="64" t="s">
        <v>111</v>
      </c>
      <c r="U29" s="82" t="s">
        <v>108</v>
      </c>
      <c r="V29" s="251" t="s">
        <v>112</v>
      </c>
    </row>
    <row r="30" spans="1:26" x14ac:dyDescent="0.25">
      <c r="F30" s="91"/>
      <c r="G30" s="91"/>
      <c r="H30"/>
      <c r="I30"/>
      <c r="J30" s="18">
        <v>28</v>
      </c>
      <c r="K30" s="82" t="s">
        <v>107</v>
      </c>
      <c r="L30" s="127"/>
      <c r="M30" s="82" t="s">
        <v>108</v>
      </c>
      <c r="N30" s="64"/>
      <c r="O30" s="82" t="s">
        <v>107</v>
      </c>
      <c r="P30" s="64" t="s">
        <v>113</v>
      </c>
      <c r="Q30" s="82" t="s">
        <v>108</v>
      </c>
      <c r="R30" s="251" t="s">
        <v>113</v>
      </c>
      <c r="S30" s="82" t="s">
        <v>107</v>
      </c>
      <c r="T30" s="64" t="s">
        <v>113</v>
      </c>
      <c r="U30" s="82" t="s">
        <v>108</v>
      </c>
      <c r="V30" s="251" t="s">
        <v>113</v>
      </c>
    </row>
    <row r="31" spans="1:26" x14ac:dyDescent="0.25">
      <c r="A31"/>
      <c r="B31"/>
      <c r="C31"/>
      <c r="D31"/>
      <c r="E31"/>
      <c r="F31"/>
      <c r="G31"/>
      <c r="H31"/>
      <c r="I31"/>
      <c r="J31" s="18">
        <v>29</v>
      </c>
      <c r="K31" s="82" t="s">
        <v>107</v>
      </c>
      <c r="L31" s="127"/>
      <c r="M31" s="82" t="s">
        <v>108</v>
      </c>
      <c r="N31" s="64"/>
      <c r="O31" s="82" t="s">
        <v>107</v>
      </c>
      <c r="P31" s="64" t="s">
        <v>114</v>
      </c>
      <c r="Q31" s="82" t="s">
        <v>108</v>
      </c>
      <c r="R31" s="251" t="s">
        <v>114</v>
      </c>
      <c r="S31" s="82" t="s">
        <v>107</v>
      </c>
      <c r="T31" s="64" t="s">
        <v>110</v>
      </c>
      <c r="U31" s="82" t="s">
        <v>108</v>
      </c>
      <c r="V31" s="251" t="s">
        <v>110</v>
      </c>
    </row>
    <row r="32" spans="1:26" x14ac:dyDescent="0.25">
      <c r="A32"/>
      <c r="B32"/>
      <c r="C32"/>
      <c r="D32"/>
      <c r="E32"/>
      <c r="F32"/>
      <c r="G32"/>
      <c r="H32"/>
      <c r="I32"/>
      <c r="J32" s="18">
        <v>30</v>
      </c>
      <c r="K32" s="82" t="s">
        <v>108</v>
      </c>
      <c r="L32" s="127"/>
      <c r="M32" s="82" t="s">
        <v>107</v>
      </c>
      <c r="N32" s="64"/>
      <c r="O32" s="82" t="s">
        <v>108</v>
      </c>
      <c r="P32" s="64" t="s">
        <v>109</v>
      </c>
      <c r="Q32" s="82" t="s">
        <v>107</v>
      </c>
      <c r="R32" s="251" t="s">
        <v>106</v>
      </c>
      <c r="S32" s="82" t="s">
        <v>108</v>
      </c>
      <c r="T32" s="64" t="s">
        <v>109</v>
      </c>
      <c r="U32" s="82" t="s">
        <v>107</v>
      </c>
      <c r="V32" s="251" t="s">
        <v>106</v>
      </c>
    </row>
    <row r="33" spans="1:22" x14ac:dyDescent="0.25">
      <c r="A33"/>
      <c r="B33"/>
      <c r="C33"/>
      <c r="D33"/>
      <c r="E33"/>
      <c r="F33"/>
      <c r="G33"/>
      <c r="H33"/>
      <c r="I33"/>
      <c r="J33" s="18">
        <v>31</v>
      </c>
      <c r="K33" s="82" t="s">
        <v>108</v>
      </c>
      <c r="L33" s="127"/>
      <c r="M33" s="82" t="s">
        <v>107</v>
      </c>
      <c r="N33" s="64"/>
      <c r="O33" s="82" t="s">
        <v>108</v>
      </c>
      <c r="P33" s="64" t="s">
        <v>112</v>
      </c>
      <c r="Q33" s="82" t="s">
        <v>107</v>
      </c>
      <c r="R33" s="251" t="s">
        <v>111</v>
      </c>
      <c r="S33" s="82" t="s">
        <v>108</v>
      </c>
      <c r="T33" s="64" t="s">
        <v>112</v>
      </c>
      <c r="U33" s="82" t="s">
        <v>107</v>
      </c>
      <c r="V33" s="251" t="s">
        <v>111</v>
      </c>
    </row>
    <row r="34" spans="1:22" ht="15.75" customHeight="1" x14ac:dyDescent="0.25">
      <c r="A34" s="259" t="s">
        <v>304</v>
      </c>
      <c r="B34"/>
      <c r="C34"/>
      <c r="D34"/>
      <c r="E34"/>
      <c r="F34"/>
      <c r="G34"/>
      <c r="H34"/>
      <c r="I34"/>
      <c r="J34" s="18">
        <v>32</v>
      </c>
      <c r="K34" s="82" t="s">
        <v>108</v>
      </c>
      <c r="L34" s="127"/>
      <c r="M34" s="82" t="s">
        <v>107</v>
      </c>
      <c r="N34" s="64"/>
      <c r="O34" s="82" t="s">
        <v>108</v>
      </c>
      <c r="P34" s="115" t="s">
        <v>116</v>
      </c>
      <c r="Q34" s="82" t="s">
        <v>107</v>
      </c>
      <c r="R34" s="253" t="s">
        <v>116</v>
      </c>
      <c r="S34" s="82" t="s">
        <v>108</v>
      </c>
      <c r="T34" s="115" t="s">
        <v>115</v>
      </c>
      <c r="U34" s="82" t="s">
        <v>107</v>
      </c>
      <c r="V34" s="253" t="s">
        <v>115</v>
      </c>
    </row>
    <row r="35" spans="1:22" x14ac:dyDescent="0.25">
      <c r="A35"/>
      <c r="B35"/>
      <c r="C35"/>
      <c r="D35"/>
      <c r="E35"/>
      <c r="F35"/>
      <c r="G35"/>
      <c r="H35"/>
      <c r="I35"/>
      <c r="J35" s="18">
        <v>33</v>
      </c>
      <c r="K35" s="84" t="s">
        <v>108</v>
      </c>
      <c r="L35" s="130"/>
      <c r="M35" s="84" t="s">
        <v>107</v>
      </c>
      <c r="N35" s="93"/>
      <c r="O35" s="84" t="s">
        <v>108</v>
      </c>
      <c r="P35" s="116" t="s">
        <v>117</v>
      </c>
      <c r="Q35" s="84" t="s">
        <v>107</v>
      </c>
      <c r="R35" s="258" t="s">
        <v>117</v>
      </c>
      <c r="S35" s="84" t="s">
        <v>108</v>
      </c>
      <c r="T35" s="116" t="s">
        <v>117</v>
      </c>
      <c r="U35" s="84" t="s">
        <v>107</v>
      </c>
      <c r="V35" s="258" t="s">
        <v>117</v>
      </c>
    </row>
    <row r="36" spans="1:22" ht="15.75" customHeight="1" x14ac:dyDescent="0.25">
      <c r="A36"/>
      <c r="B36"/>
      <c r="C36"/>
      <c r="D36"/>
      <c r="E36"/>
      <c r="F36"/>
      <c r="G36"/>
      <c r="H36"/>
      <c r="I36"/>
      <c r="K36" s="65"/>
      <c r="L36" s="100" t="s">
        <v>118</v>
      </c>
      <c r="M36" s="65"/>
      <c r="N36" s="100" t="s">
        <v>118</v>
      </c>
      <c r="O36" s="65"/>
      <c r="P36" s="100" t="s">
        <v>118</v>
      </c>
      <c r="Q36" s="65"/>
      <c r="R36" s="100" t="s">
        <v>118</v>
      </c>
      <c r="S36" s="65"/>
      <c r="T36" s="100" t="s">
        <v>118</v>
      </c>
      <c r="U36" s="65"/>
      <c r="V36" s="100" t="s">
        <v>118</v>
      </c>
    </row>
    <row r="37" spans="1:22" ht="15.75" customHeight="1" x14ac:dyDescent="0.25">
      <c r="A37"/>
      <c r="B37"/>
      <c r="C37"/>
      <c r="D37"/>
      <c r="E37"/>
      <c r="F37"/>
      <c r="G37"/>
      <c r="H37"/>
      <c r="I37"/>
      <c r="L37" s="102" t="s">
        <v>119</v>
      </c>
      <c r="N37" s="102" t="s">
        <v>119</v>
      </c>
      <c r="P37" s="102" t="s">
        <v>119</v>
      </c>
      <c r="R37" s="102" t="s">
        <v>119</v>
      </c>
      <c r="T37" s="102" t="s">
        <v>119</v>
      </c>
      <c r="V37" s="102" t="s">
        <v>119</v>
      </c>
    </row>
    <row r="38" spans="1:22" x14ac:dyDescent="0.25">
      <c r="A38"/>
      <c r="B38"/>
      <c r="C38"/>
      <c r="D38"/>
      <c r="E38"/>
      <c r="F38"/>
      <c r="G38"/>
      <c r="H38"/>
      <c r="I38"/>
      <c r="L38" s="249" t="s">
        <v>302</v>
      </c>
      <c r="N38" s="249" t="s">
        <v>302</v>
      </c>
      <c r="P38" s="132" t="s">
        <v>120</v>
      </c>
      <c r="R38" s="249" t="s">
        <v>302</v>
      </c>
      <c r="T38" s="132" t="s">
        <v>120</v>
      </c>
      <c r="V38" s="249" t="s">
        <v>302</v>
      </c>
    </row>
    <row r="39" spans="1:22" x14ac:dyDescent="0.25">
      <c r="A39"/>
      <c r="B39"/>
      <c r="C39"/>
      <c r="D39"/>
      <c r="E39"/>
      <c r="F39"/>
      <c r="G39"/>
      <c r="H39"/>
      <c r="I39"/>
    </row>
    <row r="40" spans="1:22" x14ac:dyDescent="0.25">
      <c r="A40"/>
      <c r="B40"/>
      <c r="C40"/>
      <c r="D40"/>
      <c r="E40"/>
      <c r="F40"/>
      <c r="G40"/>
      <c r="H40"/>
      <c r="I40" s="114" t="s">
        <v>121</v>
      </c>
      <c r="K40" s="94"/>
      <c r="L40" s="95" t="s">
        <v>92</v>
      </c>
      <c r="M40" s="94"/>
      <c r="N40" s="96" t="s">
        <v>99</v>
      </c>
      <c r="O40" s="94"/>
      <c r="P40" s="96" t="s">
        <v>101</v>
      </c>
      <c r="Q40" s="94"/>
      <c r="R40" s="96" t="s">
        <v>103</v>
      </c>
      <c r="S40" s="94"/>
      <c r="T40" s="96" t="s">
        <v>105</v>
      </c>
    </row>
    <row r="41" spans="1:22" x14ac:dyDescent="0.25">
      <c r="A41"/>
      <c r="B41"/>
      <c r="C41"/>
      <c r="D41"/>
      <c r="E41"/>
      <c r="F41"/>
      <c r="G41"/>
      <c r="H41"/>
      <c r="J41" s="18">
        <v>2</v>
      </c>
      <c r="K41" s="80" t="s">
        <v>122</v>
      </c>
      <c r="L41" s="120" t="s">
        <v>123</v>
      </c>
      <c r="M41" s="80" t="s">
        <v>122</v>
      </c>
      <c r="N41" s="120" t="s">
        <v>124</v>
      </c>
      <c r="O41" s="80" t="s">
        <v>122</v>
      </c>
      <c r="P41" s="120" t="s">
        <v>125</v>
      </c>
      <c r="Q41" s="80" t="s">
        <v>122</v>
      </c>
      <c r="R41" s="120" t="s">
        <v>126</v>
      </c>
      <c r="S41" s="80" t="s">
        <v>122</v>
      </c>
      <c r="T41" s="120" t="s">
        <v>127</v>
      </c>
    </row>
    <row r="42" spans="1:22" x14ac:dyDescent="0.25">
      <c r="A42"/>
      <c r="B42"/>
      <c r="C42"/>
      <c r="D42"/>
      <c r="E42"/>
      <c r="F42"/>
      <c r="G42"/>
      <c r="H42"/>
      <c r="J42" s="18">
        <v>3</v>
      </c>
      <c r="K42" s="81" t="s">
        <v>128</v>
      </c>
      <c r="L42" s="119" t="s">
        <v>129</v>
      </c>
      <c r="M42" s="81" t="s">
        <v>128</v>
      </c>
      <c r="N42" s="119" t="s">
        <v>130</v>
      </c>
      <c r="O42" s="81" t="s">
        <v>128</v>
      </c>
      <c r="P42" s="119" t="s">
        <v>131</v>
      </c>
      <c r="Q42" s="81" t="s">
        <v>128</v>
      </c>
      <c r="R42" s="119" t="s">
        <v>264</v>
      </c>
      <c r="S42" s="81" t="s">
        <v>128</v>
      </c>
      <c r="T42" s="119" t="s">
        <v>133</v>
      </c>
    </row>
    <row r="43" spans="1:22" x14ac:dyDescent="0.25">
      <c r="A43"/>
      <c r="B43"/>
      <c r="C43"/>
      <c r="D43"/>
      <c r="E43"/>
      <c r="F43"/>
      <c r="G43"/>
      <c r="H43"/>
      <c r="J43" s="18">
        <v>4</v>
      </c>
      <c r="K43" s="81" t="s">
        <v>134</v>
      </c>
      <c r="L43" s="119" t="s">
        <v>135</v>
      </c>
      <c r="M43" s="81" t="s">
        <v>134</v>
      </c>
      <c r="N43" s="119" t="s">
        <v>136</v>
      </c>
      <c r="O43" s="81" t="s">
        <v>134</v>
      </c>
      <c r="P43" s="119" t="s">
        <v>137</v>
      </c>
      <c r="Q43" s="81" t="s">
        <v>134</v>
      </c>
      <c r="R43" s="119" t="s">
        <v>138</v>
      </c>
      <c r="S43" s="81" t="s">
        <v>134</v>
      </c>
      <c r="T43" s="119" t="s">
        <v>139</v>
      </c>
    </row>
    <row r="44" spans="1:22" x14ac:dyDescent="0.25">
      <c r="A44"/>
      <c r="B44"/>
      <c r="C44"/>
      <c r="D44"/>
      <c r="E44"/>
      <c r="F44"/>
      <c r="G44"/>
      <c r="H44"/>
      <c r="J44" s="18">
        <v>5</v>
      </c>
      <c r="K44" s="81" t="s">
        <v>140</v>
      </c>
      <c r="L44" s="119" t="s">
        <v>138</v>
      </c>
      <c r="M44" s="81" t="s">
        <v>140</v>
      </c>
      <c r="N44" s="119" t="s">
        <v>138</v>
      </c>
      <c r="O44" s="81" t="s">
        <v>140</v>
      </c>
      <c r="P44" s="119" t="s">
        <v>138</v>
      </c>
      <c r="Q44" s="81" t="s">
        <v>140</v>
      </c>
      <c r="R44" s="119" t="s">
        <v>261</v>
      </c>
      <c r="S44" s="81" t="s">
        <v>140</v>
      </c>
      <c r="T44" s="119" t="s">
        <v>138</v>
      </c>
    </row>
    <row r="45" spans="1:22" x14ac:dyDescent="0.25">
      <c r="A45"/>
      <c r="B45"/>
      <c r="C45"/>
      <c r="D45"/>
      <c r="E45"/>
      <c r="F45"/>
      <c r="G45"/>
      <c r="J45" s="18">
        <v>6</v>
      </c>
      <c r="K45" s="81" t="s">
        <v>142</v>
      </c>
      <c r="L45" s="119" t="s">
        <v>258</v>
      </c>
      <c r="M45" s="81" t="s">
        <v>142</v>
      </c>
      <c r="N45" s="119" t="s">
        <v>259</v>
      </c>
      <c r="O45" s="81" t="s">
        <v>142</v>
      </c>
      <c r="P45" s="119" t="s">
        <v>260</v>
      </c>
      <c r="Q45" s="81" t="s">
        <v>142</v>
      </c>
      <c r="R45" s="119" t="s">
        <v>137</v>
      </c>
      <c r="S45" s="81" t="s">
        <v>142</v>
      </c>
      <c r="T45" s="119" t="s">
        <v>263</v>
      </c>
    </row>
    <row r="46" spans="1:22" x14ac:dyDescent="0.25">
      <c r="A46"/>
      <c r="B46"/>
      <c r="C46"/>
      <c r="D46"/>
      <c r="E46"/>
      <c r="F46"/>
      <c r="G46"/>
      <c r="J46" s="18">
        <v>7</v>
      </c>
      <c r="K46" s="81" t="s">
        <v>147</v>
      </c>
      <c r="L46" s="119" t="s">
        <v>148</v>
      </c>
      <c r="M46" s="81" t="s">
        <v>147</v>
      </c>
      <c r="N46" s="119" t="s">
        <v>148</v>
      </c>
      <c r="O46" s="81" t="s">
        <v>147</v>
      </c>
      <c r="P46" s="119" t="s">
        <v>148</v>
      </c>
      <c r="Q46" s="81" t="s">
        <v>147</v>
      </c>
      <c r="R46" s="119" t="s">
        <v>149</v>
      </c>
      <c r="S46" s="81" t="s">
        <v>147</v>
      </c>
      <c r="T46" s="119" t="s">
        <v>148</v>
      </c>
    </row>
    <row r="47" spans="1:22" x14ac:dyDescent="0.25">
      <c r="A47"/>
      <c r="B47"/>
      <c r="C47"/>
      <c r="F47"/>
      <c r="G47"/>
      <c r="J47" s="18">
        <v>8</v>
      </c>
      <c r="K47" s="81" t="s">
        <v>150</v>
      </c>
      <c r="L47" s="119" t="s">
        <v>151</v>
      </c>
      <c r="M47" s="81" t="s">
        <v>150</v>
      </c>
      <c r="N47" s="119" t="s">
        <v>151</v>
      </c>
      <c r="O47" s="81" t="s">
        <v>150</v>
      </c>
      <c r="P47" s="119" t="s">
        <v>151</v>
      </c>
      <c r="Q47" s="81" t="s">
        <v>150</v>
      </c>
      <c r="R47" s="119" t="s">
        <v>138</v>
      </c>
      <c r="S47" s="81" t="s">
        <v>150</v>
      </c>
      <c r="T47" s="119" t="s">
        <v>151</v>
      </c>
    </row>
    <row r="48" spans="1:22" x14ac:dyDescent="0.25">
      <c r="A48"/>
      <c r="B48"/>
      <c r="C48"/>
      <c r="J48" s="18">
        <v>9</v>
      </c>
      <c r="K48" s="81" t="s">
        <v>152</v>
      </c>
      <c r="L48" s="119"/>
      <c r="M48" s="81" t="s">
        <v>152</v>
      </c>
      <c r="N48" s="119"/>
      <c r="O48" s="81" t="s">
        <v>152</v>
      </c>
      <c r="P48" s="119"/>
      <c r="Q48" s="81" t="s">
        <v>152</v>
      </c>
      <c r="R48" s="119" t="s">
        <v>262</v>
      </c>
      <c r="S48" s="81" t="s">
        <v>152</v>
      </c>
      <c r="T48" s="119"/>
    </row>
    <row r="49" spans="1:20" x14ac:dyDescent="0.25">
      <c r="A49"/>
      <c r="B49"/>
      <c r="C49"/>
      <c r="I49" s="114"/>
      <c r="J49" s="18">
        <v>10</v>
      </c>
      <c r="K49" s="81" t="s">
        <v>154</v>
      </c>
      <c r="L49" s="119"/>
      <c r="M49" s="81" t="s">
        <v>154</v>
      </c>
      <c r="N49" s="119"/>
      <c r="O49" s="81" t="s">
        <v>154</v>
      </c>
      <c r="P49" s="119"/>
      <c r="Q49" s="81" t="s">
        <v>154</v>
      </c>
      <c r="R49" s="119" t="s">
        <v>148</v>
      </c>
      <c r="S49" s="81" t="s">
        <v>154</v>
      </c>
      <c r="T49" s="119"/>
    </row>
    <row r="50" spans="1:20" x14ac:dyDescent="0.25">
      <c r="A50"/>
      <c r="B50"/>
      <c r="C50"/>
      <c r="J50" s="18">
        <v>11</v>
      </c>
      <c r="K50" s="81" t="s">
        <v>155</v>
      </c>
      <c r="L50" s="119"/>
      <c r="M50" s="81" t="s">
        <v>155</v>
      </c>
      <c r="N50" s="119"/>
      <c r="O50" s="81" t="s">
        <v>155</v>
      </c>
      <c r="P50" s="119"/>
      <c r="Q50" s="81" t="s">
        <v>155</v>
      </c>
      <c r="R50" s="119" t="s">
        <v>151</v>
      </c>
      <c r="S50" s="81" t="s">
        <v>155</v>
      </c>
      <c r="T50" s="119"/>
    </row>
    <row r="51" spans="1:20" x14ac:dyDescent="0.25">
      <c r="A51"/>
      <c r="B51"/>
      <c r="C51"/>
      <c r="I51"/>
      <c r="J51" s="18">
        <v>12</v>
      </c>
      <c r="K51" s="85" t="s">
        <v>156</v>
      </c>
      <c r="L51" s="93"/>
      <c r="M51" s="85" t="s">
        <v>156</v>
      </c>
      <c r="N51" s="93"/>
      <c r="O51" s="85" t="s">
        <v>156</v>
      </c>
      <c r="P51" s="93"/>
      <c r="Q51" s="85" t="s">
        <v>156</v>
      </c>
      <c r="R51" s="93"/>
      <c r="S51" s="85" t="s">
        <v>156</v>
      </c>
      <c r="T51" s="93"/>
    </row>
    <row r="52" spans="1:20" x14ac:dyDescent="0.25">
      <c r="A52"/>
      <c r="B52"/>
      <c r="C52"/>
      <c r="I52"/>
      <c r="J52" s="18"/>
    </row>
    <row r="53" spans="1:20" x14ac:dyDescent="0.25">
      <c r="A53"/>
      <c r="B53"/>
      <c r="C53"/>
      <c r="I53"/>
      <c r="J53" s="18"/>
    </row>
    <row r="54" spans="1:20" x14ac:dyDescent="0.25">
      <c r="A54"/>
      <c r="B54"/>
      <c r="C54"/>
      <c r="I54" s="114" t="s">
        <v>293</v>
      </c>
      <c r="K54" s="94"/>
      <c r="L54" s="95" t="s">
        <v>294</v>
      </c>
      <c r="M54" s="94"/>
      <c r="N54" s="96" t="s">
        <v>295</v>
      </c>
      <c r="O54" s="94"/>
      <c r="P54" s="95" t="s">
        <v>296</v>
      </c>
      <c r="Q54" s="94"/>
      <c r="R54" s="96" t="s">
        <v>297</v>
      </c>
    </row>
    <row r="55" spans="1:20" x14ac:dyDescent="0.25">
      <c r="A55"/>
      <c r="B55"/>
      <c r="C55"/>
      <c r="D55"/>
      <c r="E55"/>
      <c r="H55"/>
      <c r="J55" s="18">
        <v>2</v>
      </c>
      <c r="K55" s="80" t="s">
        <v>48</v>
      </c>
      <c r="L55" s="120" t="s">
        <v>279</v>
      </c>
      <c r="M55" s="80" t="s">
        <v>49</v>
      </c>
      <c r="N55" s="120"/>
      <c r="O55" s="80" t="s">
        <v>48</v>
      </c>
      <c r="P55" s="120" t="s">
        <v>55</v>
      </c>
      <c r="Q55" s="80" t="s">
        <v>49</v>
      </c>
      <c r="R55" s="120"/>
    </row>
    <row r="56" spans="1:20" x14ac:dyDescent="0.25">
      <c r="A56"/>
      <c r="B56"/>
      <c r="C56"/>
      <c r="D56"/>
      <c r="E56"/>
      <c r="F56"/>
      <c r="G56"/>
      <c r="H56"/>
      <c r="J56" s="18">
        <v>3</v>
      </c>
      <c r="K56" s="81" t="s">
        <v>48</v>
      </c>
      <c r="L56" s="119" t="s">
        <v>281</v>
      </c>
      <c r="M56" s="81" t="s">
        <v>49</v>
      </c>
      <c r="N56" s="119"/>
      <c r="O56" s="81" t="s">
        <v>48</v>
      </c>
      <c r="P56" s="119" t="s">
        <v>50</v>
      </c>
      <c r="Q56" s="81" t="s">
        <v>49</v>
      </c>
      <c r="R56" s="119"/>
    </row>
    <row r="57" spans="1:20" x14ac:dyDescent="0.25">
      <c r="A57"/>
      <c r="B57"/>
      <c r="C57"/>
      <c r="D57"/>
      <c r="E57"/>
      <c r="F57"/>
      <c r="G57"/>
      <c r="H57"/>
      <c r="J57" s="18">
        <v>4</v>
      </c>
      <c r="K57" s="81" t="s">
        <v>48</v>
      </c>
      <c r="L57" s="119" t="s">
        <v>149</v>
      </c>
      <c r="M57" s="81" t="s">
        <v>49</v>
      </c>
      <c r="N57" s="119"/>
      <c r="O57" s="81" t="s">
        <v>48</v>
      </c>
      <c r="P57" s="119" t="s">
        <v>64</v>
      </c>
      <c r="Q57" s="81" t="s">
        <v>49</v>
      </c>
      <c r="R57" s="119"/>
    </row>
    <row r="58" spans="1:20" x14ac:dyDescent="0.25">
      <c r="A58"/>
      <c r="B58"/>
      <c r="C58"/>
      <c r="D58"/>
      <c r="E58"/>
      <c r="F58"/>
      <c r="G58"/>
      <c r="H58"/>
      <c r="J58" s="18">
        <v>5</v>
      </c>
      <c r="K58" s="81" t="s">
        <v>48</v>
      </c>
      <c r="L58" s="119" t="s">
        <v>283</v>
      </c>
      <c r="M58" s="81" t="s">
        <v>49</v>
      </c>
      <c r="N58" s="119"/>
      <c r="O58" s="81" t="s">
        <v>48</v>
      </c>
      <c r="P58" s="119" t="s">
        <v>51</v>
      </c>
      <c r="Q58" s="81" t="s">
        <v>49</v>
      </c>
      <c r="R58" s="119"/>
    </row>
    <row r="59" spans="1:20" x14ac:dyDescent="0.25">
      <c r="A59"/>
      <c r="B59"/>
      <c r="C59"/>
      <c r="D59"/>
      <c r="E59"/>
      <c r="F59"/>
      <c r="G59"/>
      <c r="H59"/>
      <c r="J59" s="18">
        <v>6</v>
      </c>
      <c r="K59" s="81" t="s">
        <v>283</v>
      </c>
      <c r="L59" s="119" t="s">
        <v>283</v>
      </c>
      <c r="M59" s="81" t="s">
        <v>48</v>
      </c>
      <c r="N59" s="119"/>
      <c r="O59" s="81" t="s">
        <v>49</v>
      </c>
      <c r="P59" s="247" t="s">
        <v>167</v>
      </c>
      <c r="Q59" s="81" t="s">
        <v>48</v>
      </c>
      <c r="R59" s="119"/>
    </row>
    <row r="60" spans="1:20" x14ac:dyDescent="0.25">
      <c r="A60"/>
      <c r="B60"/>
      <c r="C60"/>
      <c r="D60"/>
      <c r="E60"/>
      <c r="F60"/>
      <c r="G60"/>
      <c r="H60"/>
      <c r="J60" s="18">
        <v>7</v>
      </c>
      <c r="K60" s="81" t="s">
        <v>49</v>
      </c>
      <c r="L60" s="119" t="s">
        <v>125</v>
      </c>
      <c r="M60" s="81" t="s">
        <v>48</v>
      </c>
      <c r="N60" s="119"/>
      <c r="O60" s="81" t="s">
        <v>49</v>
      </c>
      <c r="P60" s="119"/>
      <c r="Q60" s="81" t="s">
        <v>48</v>
      </c>
      <c r="R60" s="119"/>
    </row>
    <row r="61" spans="1:20" x14ac:dyDescent="0.25">
      <c r="A61"/>
      <c r="B61"/>
      <c r="C61"/>
      <c r="D61"/>
      <c r="E61"/>
      <c r="F61"/>
      <c r="G61"/>
      <c r="H61"/>
      <c r="J61" s="18">
        <v>8</v>
      </c>
      <c r="K61" s="81" t="s">
        <v>49</v>
      </c>
      <c r="L61" s="119" t="s">
        <v>131</v>
      </c>
      <c r="M61" s="81" t="s">
        <v>48</v>
      </c>
      <c r="N61" s="119"/>
      <c r="O61" s="81" t="s">
        <v>49</v>
      </c>
      <c r="P61" s="119"/>
      <c r="Q61" s="81" t="s">
        <v>48</v>
      </c>
      <c r="R61" s="119"/>
    </row>
    <row r="62" spans="1:20" x14ac:dyDescent="0.25">
      <c r="A62"/>
      <c r="B62"/>
      <c r="C62"/>
      <c r="D62"/>
      <c r="E62"/>
      <c r="F62"/>
      <c r="G62"/>
      <c r="H62"/>
      <c r="I62"/>
      <c r="J62" s="18">
        <v>9</v>
      </c>
      <c r="K62" s="85" t="s">
        <v>49</v>
      </c>
      <c r="L62" s="93" t="s">
        <v>285</v>
      </c>
      <c r="M62" s="85" t="s">
        <v>48</v>
      </c>
      <c r="N62" s="93"/>
      <c r="O62" s="85" t="s">
        <v>49</v>
      </c>
      <c r="P62" s="93"/>
      <c r="Q62" s="85" t="s">
        <v>48</v>
      </c>
      <c r="R62" s="93"/>
    </row>
    <row r="63" spans="1:20" x14ac:dyDescent="0.25">
      <c r="A63"/>
      <c r="B63"/>
      <c r="C63"/>
      <c r="D63"/>
      <c r="E63"/>
      <c r="F63"/>
      <c r="G63"/>
      <c r="H63"/>
    </row>
    <row r="64" spans="1:20" x14ac:dyDescent="0.25">
      <c r="A64"/>
      <c r="B64"/>
      <c r="C64"/>
      <c r="D64"/>
      <c r="E64"/>
      <c r="F64"/>
      <c r="G64"/>
      <c r="H64"/>
    </row>
    <row r="65" spans="6:7" x14ac:dyDescent="0.25">
      <c r="F65"/>
      <c r="G65"/>
    </row>
  </sheetData>
  <pageMargins left="0.7" right="0.7" top="0.75" bottom="0.75" header="0.3" footer="0.3"/>
  <pageSetup paperSize="9" orientation="portrait" r:id="rId1"/>
  <tableParts count="5">
    <tablePart r:id="rId2"/>
    <tablePart r:id="rId3"/>
    <tablePart r:id="rId4"/>
    <tablePart r:id="rId5"/>
    <tablePart r:id="rId6"/>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V76"/>
  <sheetViews>
    <sheetView zoomScale="85" zoomScaleNormal="85" workbookViewId="0">
      <pane ySplit="3" topLeftCell="A4" activePane="bottomLeft" state="frozen"/>
      <selection activeCell="D5" sqref="D5"/>
      <selection pane="bottomLeft" activeCell="D5" sqref="D5"/>
    </sheetView>
  </sheetViews>
  <sheetFormatPr defaultRowHeight="15.75" x14ac:dyDescent="0.25"/>
  <cols>
    <col min="1" max="1" width="15.875" bestFit="1" customWidth="1"/>
    <col min="2" max="2" width="6" style="2" bestFit="1" customWidth="1"/>
    <col min="3" max="3" width="9.125" bestFit="1" customWidth="1"/>
    <col min="4" max="4" width="52.625" customWidth="1"/>
    <col min="5" max="5" width="8.625" style="2" bestFit="1" customWidth="1"/>
    <col min="6" max="6" width="36.625" bestFit="1" customWidth="1"/>
    <col min="7" max="10" width="5.625" style="2" customWidth="1"/>
    <col min="11" max="11" width="44.625" bestFit="1" customWidth="1"/>
    <col min="12" max="12" width="6.25" bestFit="1" customWidth="1"/>
    <col min="13" max="13" width="5.75" bestFit="1" customWidth="1"/>
    <col min="14" max="14" width="6.5" bestFit="1" customWidth="1"/>
    <col min="15" max="19" width="6.25" bestFit="1" customWidth="1"/>
    <col min="20" max="22" width="5.75" bestFit="1" customWidth="1"/>
    <col min="23" max="23" width="6.5" customWidth="1"/>
  </cols>
  <sheetData>
    <row r="1" spans="1:22" x14ac:dyDescent="0.25">
      <c r="A1" s="62">
        <v>1</v>
      </c>
      <c r="B1" s="62">
        <v>2</v>
      </c>
      <c r="C1" s="62">
        <v>3</v>
      </c>
      <c r="D1" s="62">
        <v>4</v>
      </c>
      <c r="E1" s="62">
        <v>5</v>
      </c>
      <c r="F1" s="62">
        <v>6</v>
      </c>
      <c r="G1" s="62">
        <v>7</v>
      </c>
      <c r="H1" s="62">
        <v>8</v>
      </c>
      <c r="I1" s="62">
        <v>9</v>
      </c>
      <c r="J1" s="62">
        <v>10</v>
      </c>
      <c r="K1" s="62">
        <v>11</v>
      </c>
      <c r="L1" s="62">
        <v>12</v>
      </c>
      <c r="M1" s="62">
        <v>15</v>
      </c>
      <c r="N1" s="62">
        <v>16</v>
      </c>
      <c r="O1" s="62">
        <v>17</v>
      </c>
      <c r="P1" s="62">
        <v>18</v>
      </c>
      <c r="Q1" s="62">
        <v>19</v>
      </c>
      <c r="R1" s="62">
        <v>20</v>
      </c>
      <c r="S1" s="62">
        <v>21</v>
      </c>
      <c r="T1" s="62">
        <v>13</v>
      </c>
      <c r="U1" s="62">
        <v>14</v>
      </c>
    </row>
    <row r="2" spans="1:22" x14ac:dyDescent="0.25">
      <c r="A2" s="19"/>
      <c r="B2" s="20"/>
      <c r="C2" s="20"/>
      <c r="D2" s="19"/>
      <c r="E2" s="20"/>
      <c r="F2" s="19"/>
      <c r="G2" s="25" t="s">
        <v>157</v>
      </c>
      <c r="H2" s="20"/>
      <c r="I2" s="23" t="s">
        <v>158</v>
      </c>
      <c r="J2" s="24"/>
      <c r="K2" s="3"/>
      <c r="L2" s="19"/>
      <c r="M2" s="19"/>
      <c r="N2" s="19"/>
      <c r="O2" s="19"/>
      <c r="P2" s="19"/>
      <c r="Q2" s="19"/>
      <c r="R2" s="19"/>
      <c r="S2" s="19"/>
      <c r="T2" s="19"/>
      <c r="U2" s="19"/>
      <c r="V2" s="3"/>
    </row>
    <row r="3" spans="1:22" ht="70.5" x14ac:dyDescent="0.25">
      <c r="A3" s="77" t="s">
        <v>0</v>
      </c>
      <c r="B3" s="77" t="s">
        <v>1</v>
      </c>
      <c r="C3" s="77" t="s">
        <v>2</v>
      </c>
      <c r="D3" s="77" t="s">
        <v>159</v>
      </c>
      <c r="E3" s="77" t="s">
        <v>5</v>
      </c>
      <c r="F3" s="77" t="s">
        <v>4</v>
      </c>
      <c r="G3" s="101" t="s">
        <v>160</v>
      </c>
      <c r="H3" s="101" t="s">
        <v>161</v>
      </c>
      <c r="I3" s="101" t="s">
        <v>162</v>
      </c>
      <c r="J3" s="101" t="s">
        <v>163</v>
      </c>
      <c r="K3" s="79" t="s">
        <v>164</v>
      </c>
      <c r="L3" s="181" t="s">
        <v>165</v>
      </c>
      <c r="M3" s="182" t="s">
        <v>86</v>
      </c>
      <c r="N3" s="182" t="s">
        <v>82</v>
      </c>
      <c r="O3" s="182" t="s">
        <v>92</v>
      </c>
      <c r="P3" s="182" t="s">
        <v>99</v>
      </c>
      <c r="Q3" s="182" t="s">
        <v>101</v>
      </c>
      <c r="R3" s="182" t="s">
        <v>103</v>
      </c>
      <c r="S3" s="183" t="s">
        <v>105</v>
      </c>
      <c r="T3" s="182" t="s">
        <v>272</v>
      </c>
      <c r="U3" s="182" t="s">
        <v>274</v>
      </c>
      <c r="V3" s="3"/>
    </row>
    <row r="4" spans="1:22" x14ac:dyDescent="0.25">
      <c r="A4" s="8" t="s">
        <v>117</v>
      </c>
      <c r="B4" s="92"/>
      <c r="C4" s="8"/>
      <c r="D4" s="8" t="s">
        <v>166</v>
      </c>
      <c r="E4" s="92"/>
      <c r="F4" s="103"/>
      <c r="G4" s="123" t="str">
        <f>IFERROR(IF(VLOOKUP(TableHandbook[[#This Row],[UDC]],TableAvailabilities[],2,FALSE)&gt;0,"Y",""),"")</f>
        <v/>
      </c>
      <c r="H4" s="124" t="str">
        <f>IFERROR(IF(VLOOKUP(TableHandbook[[#This Row],[UDC]],TableAvailabilities[],3,FALSE)&gt;0,"Y",""),"")</f>
        <v/>
      </c>
      <c r="I4" s="125" t="str">
        <f>IFERROR(IF(VLOOKUP(TableHandbook[[#This Row],[UDC]],TableAvailabilities[],4,FALSE)&gt;0,"Y",""),"")</f>
        <v/>
      </c>
      <c r="J4" s="126" t="str">
        <f>IFERROR(IF(VLOOKUP(TableHandbook[[#This Row],[UDC]],TableAvailabilities[],5,FALSE)&gt;0,"Y",""),"")</f>
        <v/>
      </c>
      <c r="K4" s="173"/>
      <c r="L4" s="184" t="str">
        <f>IFERROR(VLOOKUP(TableHandbook[[#This Row],[UDC]],TableBURPLAN2[],7,FALSE),"")</f>
        <v/>
      </c>
      <c r="M4" s="121" t="str">
        <f>IFERROR(VLOOKUP(TableHandbook[[#This Row],[UDC]],TableSTRHURPLN[],7,FALSE),"")</f>
        <v/>
      </c>
      <c r="N4" s="121" t="str">
        <f>IFERROR(VLOOKUP(TableHandbook[[#This Row],[UDC]],TableSTRUURPLN[],7,FALSE),"")</f>
        <v/>
      </c>
      <c r="O4" s="121" t="str">
        <f>IFERROR(VLOOKUP(TableHandbook[[#This Row],[UDC]],TableSPUCENVSP[],7,FALSE),"")</f>
        <v/>
      </c>
      <c r="P4" s="121" t="str">
        <f>IFERROR(VLOOKUP(TableHandbook[[#This Row],[UDC]],TableSPUCGRAPH[],7,FALSE),"")</f>
        <v/>
      </c>
      <c r="Q4" s="121" t="str">
        <f>IFERROR(VLOOKUP(TableHandbook[[#This Row],[UDC]],TableSPUCINTLD[],7,FALSE),"")</f>
        <v/>
      </c>
      <c r="R4" s="122" t="str">
        <f>IFERROR(VLOOKUP(TableHandbook[[#This Row],[UDC]],TableSPUCLANDN[],7,FALSE),"")</f>
        <v/>
      </c>
      <c r="S4" s="185" t="str">
        <f>IFERROR(VLOOKUP(TableHandbook[[#This Row],[UDC]],TableSPUCSOCJU[],7,FALSE),"")</f>
        <v/>
      </c>
      <c r="T4" s="225" t="str">
        <f>IFERROR(VLOOKUP(TableHandbook[[#This Row],[UDC]],TableUHGEOGY[],7,FALSE),"")</f>
        <v/>
      </c>
      <c r="U4" s="225" t="str">
        <f>IFERROR(VLOOKUP(TableHandbook[[#This Row],[UDC]],TableUHURPLAN[],7,FALSE),"")</f>
        <v/>
      </c>
      <c r="V4" s="3"/>
    </row>
    <row r="5" spans="1:22" x14ac:dyDescent="0.25">
      <c r="A5" s="8" t="s">
        <v>167</v>
      </c>
      <c r="B5" s="92"/>
      <c r="C5" s="8"/>
      <c r="D5" s="8" t="s">
        <v>168</v>
      </c>
      <c r="E5" s="92"/>
      <c r="F5" s="103"/>
      <c r="G5" s="123" t="str">
        <f>IFERROR(IF(VLOOKUP(TableHandbook[[#This Row],[UDC]],TableAvailabilities[],2,FALSE)&gt;0,"Y",""),"")</f>
        <v/>
      </c>
      <c r="H5" s="124" t="str">
        <f>IFERROR(IF(VLOOKUP(TableHandbook[[#This Row],[UDC]],TableAvailabilities[],3,FALSE)&gt;0,"Y",""),"")</f>
        <v/>
      </c>
      <c r="I5" s="125" t="str">
        <f>IFERROR(IF(VLOOKUP(TableHandbook[[#This Row],[UDC]],TableAvailabilities[],4,FALSE)&gt;0,"Y",""),"")</f>
        <v/>
      </c>
      <c r="J5" s="126" t="str">
        <f>IFERROR(IF(VLOOKUP(TableHandbook[[#This Row],[UDC]],TableAvailabilities[],5,FALSE)&gt;0,"Y",""),"")</f>
        <v/>
      </c>
      <c r="K5" s="173"/>
      <c r="L5" s="186" t="str">
        <f>IFERROR(VLOOKUP(TableHandbook[[#This Row],[UDC]],TableBURPLAN2[],7,FALSE),"")</f>
        <v/>
      </c>
      <c r="M5" s="106" t="str">
        <f>IFERROR(VLOOKUP(TableHandbook[[#This Row],[UDC]],TableSTRHURPLN[],7,FALSE),"")</f>
        <v/>
      </c>
      <c r="N5" s="106" t="str">
        <f>IFERROR(VLOOKUP(TableHandbook[[#This Row],[UDC]],TableSTRUURPLN[],7,FALSE),"")</f>
        <v/>
      </c>
      <c r="O5" s="106" t="str">
        <f>IFERROR(VLOOKUP(TableHandbook[[#This Row],[UDC]],TableSPUCENVSP[],7,FALSE),"")</f>
        <v/>
      </c>
      <c r="P5" s="106" t="str">
        <f>IFERROR(VLOOKUP(TableHandbook[[#This Row],[UDC]],TableSPUCGRAPH[],7,FALSE),"")</f>
        <v/>
      </c>
      <c r="Q5" s="106" t="str">
        <f>IFERROR(VLOOKUP(TableHandbook[[#This Row],[UDC]],TableSPUCINTLD[],7,FALSE),"")</f>
        <v/>
      </c>
      <c r="R5" s="107" t="str">
        <f>IFERROR(VLOOKUP(TableHandbook[[#This Row],[UDC]],TableSPUCLANDN[],7,FALSE),"")</f>
        <v/>
      </c>
      <c r="S5" s="187" t="str">
        <f>IFERROR(VLOOKUP(TableHandbook[[#This Row],[UDC]],TableSPUCSOCJU[],7,FALSE),"")</f>
        <v/>
      </c>
      <c r="T5" s="226" t="str">
        <f>IFERROR(VLOOKUP(TableHandbook[[#This Row],[UDC]],TableUHGEOGY[],7,FALSE),"")</f>
        <v/>
      </c>
      <c r="U5" s="226" t="str">
        <f>IFERROR(VLOOKUP(TableHandbook[[#This Row],[UDC]],TableUHURPLAN[],7,FALSE),"")</f>
        <v/>
      </c>
    </row>
    <row r="6" spans="1:22" x14ac:dyDescent="0.25">
      <c r="A6" s="8" t="s">
        <v>258</v>
      </c>
      <c r="B6" s="92"/>
      <c r="C6" s="8"/>
      <c r="D6" s="8" t="s">
        <v>171</v>
      </c>
      <c r="E6" s="92"/>
      <c r="F6" s="103" t="s">
        <v>117</v>
      </c>
      <c r="G6" s="123" t="str">
        <f>IFERROR(IF(VLOOKUP(TableHandbook[[#This Row],[UDC]],TableAvailabilities[],2,FALSE)&gt;0,"Y",""),"")</f>
        <v/>
      </c>
      <c r="H6" s="124" t="str">
        <f>IFERROR(IF(VLOOKUP(TableHandbook[[#This Row],[UDC]],TableAvailabilities[],3,FALSE)&gt;0,"Y",""),"")</f>
        <v/>
      </c>
      <c r="I6" s="125" t="str">
        <f>IFERROR(IF(VLOOKUP(TableHandbook[[#This Row],[UDC]],TableAvailabilities[],4,FALSE)&gt;0,"Y",""),"")</f>
        <v/>
      </c>
      <c r="J6" s="126" t="str">
        <f>IFERROR(IF(VLOOKUP(TableHandbook[[#This Row],[UDC]],TableAvailabilities[],5,FALSE)&gt;0,"Y",""),"")</f>
        <v/>
      </c>
      <c r="K6" s="173"/>
      <c r="L6" s="186" t="str">
        <f>IFERROR(VLOOKUP(TableHandbook[[#This Row],[UDC]],TableBURPLAN2[],7,FALSE),"")</f>
        <v/>
      </c>
      <c r="M6" s="106" t="str">
        <f>IFERROR(VLOOKUP(TableHandbook[[#This Row],[UDC]],TableSTRHURPLN[],7,FALSE),"")</f>
        <v/>
      </c>
      <c r="N6" s="106" t="str">
        <f>IFERROR(VLOOKUP(TableHandbook[[#This Row],[UDC]],TableSTRUURPLN[],7,FALSE),"")</f>
        <v/>
      </c>
      <c r="O6" s="106" t="str">
        <f>IFERROR(VLOOKUP(TableHandbook[[#This Row],[UDC]],TableSPUCENVSP[],7,FALSE),"")</f>
        <v>AltCore</v>
      </c>
      <c r="P6" s="106" t="str">
        <f>IFERROR(VLOOKUP(TableHandbook[[#This Row],[UDC]],TableSPUCGRAPH[],7,FALSE),"")</f>
        <v/>
      </c>
      <c r="Q6" s="106" t="str">
        <f>IFERROR(VLOOKUP(TableHandbook[[#This Row],[UDC]],TableSPUCINTLD[],7,FALSE),"")</f>
        <v/>
      </c>
      <c r="R6" s="107" t="str">
        <f>IFERROR(VLOOKUP(TableHandbook[[#This Row],[UDC]],TableSPUCLANDN[],7,FALSE),"")</f>
        <v/>
      </c>
      <c r="S6" s="187" t="str">
        <f>IFERROR(VLOOKUP(TableHandbook[[#This Row],[UDC]],TableSPUCSOCJU[],7,FALSE),"")</f>
        <v/>
      </c>
      <c r="T6" s="226" t="str">
        <f>IFERROR(VLOOKUP(TableHandbook[[#This Row],[UDC]],TableUHGEOGY[],7,FALSE),"")</f>
        <v/>
      </c>
      <c r="U6" s="226" t="str">
        <f>IFERROR(VLOOKUP(TableHandbook[[#This Row],[UDC]],TableUHURPLAN[],7,FALSE),"")</f>
        <v/>
      </c>
    </row>
    <row r="7" spans="1:22" x14ac:dyDescent="0.25">
      <c r="A7" s="8" t="s">
        <v>259</v>
      </c>
      <c r="B7" s="92"/>
      <c r="C7" s="8"/>
      <c r="D7" s="8" t="s">
        <v>172</v>
      </c>
      <c r="E7" s="92"/>
      <c r="F7" s="103" t="s">
        <v>117</v>
      </c>
      <c r="G7" s="123" t="str">
        <f>IFERROR(IF(VLOOKUP(TableHandbook[[#This Row],[UDC]],TableAvailabilities[],2,FALSE)&gt;0,"Y",""),"")</f>
        <v/>
      </c>
      <c r="H7" s="124" t="str">
        <f>IFERROR(IF(VLOOKUP(TableHandbook[[#This Row],[UDC]],TableAvailabilities[],3,FALSE)&gt;0,"Y",""),"")</f>
        <v/>
      </c>
      <c r="I7" s="125" t="str">
        <f>IFERROR(IF(VLOOKUP(TableHandbook[[#This Row],[UDC]],TableAvailabilities[],4,FALSE)&gt;0,"Y",""),"")</f>
        <v/>
      </c>
      <c r="J7" s="126" t="str">
        <f>IFERROR(IF(VLOOKUP(TableHandbook[[#This Row],[UDC]],TableAvailabilities[],5,FALSE)&gt;0,"Y",""),"")</f>
        <v/>
      </c>
      <c r="K7" s="173"/>
      <c r="L7" s="186" t="str">
        <f>IFERROR(VLOOKUP(TableHandbook[[#This Row],[UDC]],TableBURPLAN2[],7,FALSE),"")</f>
        <v/>
      </c>
      <c r="M7" s="106" t="str">
        <f>IFERROR(VLOOKUP(TableHandbook[[#This Row],[UDC]],TableSTRHURPLN[],7,FALSE),"")</f>
        <v/>
      </c>
      <c r="N7" s="106" t="str">
        <f>IFERROR(VLOOKUP(TableHandbook[[#This Row],[UDC]],TableSTRUURPLN[],7,FALSE),"")</f>
        <v/>
      </c>
      <c r="O7" s="106" t="str">
        <f>IFERROR(VLOOKUP(TableHandbook[[#This Row],[UDC]],TableSPUCENVSP[],7,FALSE),"")</f>
        <v/>
      </c>
      <c r="P7" s="106" t="str">
        <f>IFERROR(VLOOKUP(TableHandbook[[#This Row],[UDC]],TableSPUCGRAPH[],7,FALSE),"")</f>
        <v>AltCore</v>
      </c>
      <c r="Q7" s="106" t="str">
        <f>IFERROR(VLOOKUP(TableHandbook[[#This Row],[UDC]],TableSPUCINTLD[],7,FALSE),"")</f>
        <v/>
      </c>
      <c r="R7" s="107" t="str">
        <f>IFERROR(VLOOKUP(TableHandbook[[#This Row],[UDC]],TableSPUCLANDN[],7,FALSE),"")</f>
        <v/>
      </c>
      <c r="S7" s="187" t="str">
        <f>IFERROR(VLOOKUP(TableHandbook[[#This Row],[UDC]],TableSPUCSOCJU[],7,FALSE),"")</f>
        <v/>
      </c>
      <c r="T7" s="226" t="str">
        <f>IFERROR(VLOOKUP(TableHandbook[[#This Row],[UDC]],TableUHGEOGY[],7,FALSE),"")</f>
        <v/>
      </c>
      <c r="U7" s="226" t="str">
        <f>IFERROR(VLOOKUP(TableHandbook[[#This Row],[UDC]],TableUHURPLAN[],7,FALSE),"")</f>
        <v/>
      </c>
    </row>
    <row r="8" spans="1:22" x14ac:dyDescent="0.25">
      <c r="A8" s="8" t="s">
        <v>260</v>
      </c>
      <c r="B8" s="92"/>
      <c r="C8" s="8"/>
      <c r="D8" s="8" t="s">
        <v>172</v>
      </c>
      <c r="E8" s="92"/>
      <c r="F8" s="103" t="s">
        <v>117</v>
      </c>
      <c r="G8" s="123" t="str">
        <f>IFERROR(IF(VLOOKUP(TableHandbook[[#This Row],[UDC]],TableAvailabilities[],2,FALSE)&gt;0,"Y",""),"")</f>
        <v/>
      </c>
      <c r="H8" s="124" t="str">
        <f>IFERROR(IF(VLOOKUP(TableHandbook[[#This Row],[UDC]],TableAvailabilities[],3,FALSE)&gt;0,"Y",""),"")</f>
        <v/>
      </c>
      <c r="I8" s="125" t="str">
        <f>IFERROR(IF(VLOOKUP(TableHandbook[[#This Row],[UDC]],TableAvailabilities[],4,FALSE)&gt;0,"Y",""),"")</f>
        <v/>
      </c>
      <c r="J8" s="126" t="str">
        <f>IFERROR(IF(VLOOKUP(TableHandbook[[#This Row],[UDC]],TableAvailabilities[],5,FALSE)&gt;0,"Y",""),"")</f>
        <v/>
      </c>
      <c r="K8" s="173"/>
      <c r="L8" s="186" t="str">
        <f>IFERROR(VLOOKUP(TableHandbook[[#This Row],[UDC]],TableBURPLAN2[],7,FALSE),"")</f>
        <v/>
      </c>
      <c r="M8" s="106" t="str">
        <f>IFERROR(VLOOKUP(TableHandbook[[#This Row],[UDC]],TableSTRHURPLN[],7,FALSE),"")</f>
        <v/>
      </c>
      <c r="N8" s="106" t="str">
        <f>IFERROR(VLOOKUP(TableHandbook[[#This Row],[UDC]],TableSTRUURPLN[],7,FALSE),"")</f>
        <v/>
      </c>
      <c r="O8" s="106" t="str">
        <f>IFERROR(VLOOKUP(TableHandbook[[#This Row],[UDC]],TableSPUCENVSP[],7,FALSE),"")</f>
        <v/>
      </c>
      <c r="P8" s="106" t="str">
        <f>IFERROR(VLOOKUP(TableHandbook[[#This Row],[UDC]],TableSPUCGRAPH[],7,FALSE),"")</f>
        <v/>
      </c>
      <c r="Q8" s="106" t="str">
        <f>IFERROR(VLOOKUP(TableHandbook[[#This Row],[UDC]],TableSPUCINTLD[],7,FALSE),"")</f>
        <v>AltCore</v>
      </c>
      <c r="R8" s="107" t="str">
        <f>IFERROR(VLOOKUP(TableHandbook[[#This Row],[UDC]],TableSPUCLANDN[],7,FALSE),"")</f>
        <v/>
      </c>
      <c r="S8" s="187" t="str">
        <f>IFERROR(VLOOKUP(TableHandbook[[#This Row],[UDC]],TableSPUCSOCJU[],7,FALSE),"")</f>
        <v/>
      </c>
      <c r="T8" s="226" t="str">
        <f>IFERROR(VLOOKUP(TableHandbook[[#This Row],[UDC]],TableUHGEOGY[],7,FALSE),"")</f>
        <v/>
      </c>
      <c r="U8" s="226" t="str">
        <f>IFERROR(VLOOKUP(TableHandbook[[#This Row],[UDC]],TableUHURPLAN[],7,FALSE),"")</f>
        <v/>
      </c>
    </row>
    <row r="9" spans="1:22" x14ac:dyDescent="0.25">
      <c r="A9" s="8" t="s">
        <v>261</v>
      </c>
      <c r="B9" s="92"/>
      <c r="C9" s="8"/>
      <c r="D9" s="8" t="s">
        <v>173</v>
      </c>
      <c r="E9" s="92"/>
      <c r="F9" s="103" t="s">
        <v>117</v>
      </c>
      <c r="G9" s="123" t="str">
        <f>IFERROR(IF(VLOOKUP(TableHandbook[[#This Row],[UDC]],TableAvailabilities[],2,FALSE)&gt;0,"Y",""),"")</f>
        <v/>
      </c>
      <c r="H9" s="124" t="str">
        <f>IFERROR(IF(VLOOKUP(TableHandbook[[#This Row],[UDC]],TableAvailabilities[],3,FALSE)&gt;0,"Y",""),"")</f>
        <v/>
      </c>
      <c r="I9" s="125" t="str">
        <f>IFERROR(IF(VLOOKUP(TableHandbook[[#This Row],[UDC]],TableAvailabilities[],4,FALSE)&gt;0,"Y",""),"")</f>
        <v/>
      </c>
      <c r="J9" s="126" t="str">
        <f>IFERROR(IF(VLOOKUP(TableHandbook[[#This Row],[UDC]],TableAvailabilities[],5,FALSE)&gt;0,"Y",""),"")</f>
        <v/>
      </c>
      <c r="K9" s="173"/>
      <c r="L9" s="186" t="str">
        <f>IFERROR(VLOOKUP(TableHandbook[[#This Row],[UDC]],TableBURPLAN2[],7,FALSE),"")</f>
        <v/>
      </c>
      <c r="M9" s="106" t="str">
        <f>IFERROR(VLOOKUP(TableHandbook[[#This Row],[UDC]],TableSTRHURPLN[],7,FALSE),"")</f>
        <v/>
      </c>
      <c r="N9" s="106" t="str">
        <f>IFERROR(VLOOKUP(TableHandbook[[#This Row],[UDC]],TableSTRUURPLN[],7,FALSE),"")</f>
        <v/>
      </c>
      <c r="O9" s="106" t="str">
        <f>IFERROR(VLOOKUP(TableHandbook[[#This Row],[UDC]],TableSPUCENVSP[],7,FALSE),"")</f>
        <v/>
      </c>
      <c r="P9" s="106" t="str">
        <f>IFERROR(VLOOKUP(TableHandbook[[#This Row],[UDC]],TableSPUCGRAPH[],7,FALSE),"")</f>
        <v/>
      </c>
      <c r="Q9" s="106" t="str">
        <f>IFERROR(VLOOKUP(TableHandbook[[#This Row],[UDC]],TableSPUCINTLD[],7,FALSE),"")</f>
        <v/>
      </c>
      <c r="R9" s="107" t="str">
        <f>IFERROR(VLOOKUP(TableHandbook[[#This Row],[UDC]],TableSPUCLANDN[],7,FALSE),"")</f>
        <v>AltCore</v>
      </c>
      <c r="S9" s="187" t="str">
        <f>IFERROR(VLOOKUP(TableHandbook[[#This Row],[UDC]],TableSPUCSOCJU[],7,FALSE),"")</f>
        <v/>
      </c>
      <c r="T9" s="226" t="str">
        <f>IFERROR(VLOOKUP(TableHandbook[[#This Row],[UDC]],TableUHGEOGY[],7,FALSE),"")</f>
        <v/>
      </c>
      <c r="U9" s="226" t="str">
        <f>IFERROR(VLOOKUP(TableHandbook[[#This Row],[UDC]],TableUHURPLAN[],7,FALSE),"")</f>
        <v/>
      </c>
    </row>
    <row r="10" spans="1:22" x14ac:dyDescent="0.25">
      <c r="A10" s="8" t="s">
        <v>262</v>
      </c>
      <c r="B10" s="92"/>
      <c r="C10" s="8"/>
      <c r="D10" s="8" t="s">
        <v>172</v>
      </c>
      <c r="E10" s="92"/>
      <c r="F10" s="103" t="s">
        <v>117</v>
      </c>
      <c r="G10" s="123" t="str">
        <f>IFERROR(IF(VLOOKUP(TableHandbook[[#This Row],[UDC]],TableAvailabilities[],2,FALSE)&gt;0,"Y",""),"")</f>
        <v/>
      </c>
      <c r="H10" s="124" t="str">
        <f>IFERROR(IF(VLOOKUP(TableHandbook[[#This Row],[UDC]],TableAvailabilities[],3,FALSE)&gt;0,"Y",""),"")</f>
        <v/>
      </c>
      <c r="I10" s="125" t="str">
        <f>IFERROR(IF(VLOOKUP(TableHandbook[[#This Row],[UDC]],TableAvailabilities[],4,FALSE)&gt;0,"Y",""),"")</f>
        <v/>
      </c>
      <c r="J10" s="126" t="str">
        <f>IFERROR(IF(VLOOKUP(TableHandbook[[#This Row],[UDC]],TableAvailabilities[],5,FALSE)&gt;0,"Y",""),"")</f>
        <v/>
      </c>
      <c r="K10" s="173"/>
      <c r="L10" s="186" t="str">
        <f>IFERROR(VLOOKUP(TableHandbook[[#This Row],[UDC]],TableBURPLAN2[],7,FALSE),"")</f>
        <v/>
      </c>
      <c r="M10" s="106" t="str">
        <f>IFERROR(VLOOKUP(TableHandbook[[#This Row],[UDC]],TableSTRHURPLN[],7,FALSE),"")</f>
        <v/>
      </c>
      <c r="N10" s="106" t="str">
        <f>IFERROR(VLOOKUP(TableHandbook[[#This Row],[UDC]],TableSTRUURPLN[],7,FALSE),"")</f>
        <v/>
      </c>
      <c r="O10" s="106" t="str">
        <f>IFERROR(VLOOKUP(TableHandbook[[#This Row],[UDC]],TableSPUCENVSP[],7,FALSE),"")</f>
        <v/>
      </c>
      <c r="P10" s="106" t="str">
        <f>IFERROR(VLOOKUP(TableHandbook[[#This Row],[UDC]],TableSPUCGRAPH[],7,FALSE),"")</f>
        <v/>
      </c>
      <c r="Q10" s="106" t="str">
        <f>IFERROR(VLOOKUP(TableHandbook[[#This Row],[UDC]],TableSPUCINTLD[],7,FALSE),"")</f>
        <v/>
      </c>
      <c r="R10" s="107" t="str">
        <f>IFERROR(VLOOKUP(TableHandbook[[#This Row],[UDC]],TableSPUCLANDN[],7,FALSE),"")</f>
        <v>AltCore</v>
      </c>
      <c r="S10" s="187" t="str">
        <f>IFERROR(VLOOKUP(TableHandbook[[#This Row],[UDC]],TableSPUCSOCJU[],7,FALSE),"")</f>
        <v/>
      </c>
      <c r="T10" s="226" t="str">
        <f>IFERROR(VLOOKUP(TableHandbook[[#This Row],[UDC]],TableUHGEOGY[],7,FALSE),"")</f>
        <v/>
      </c>
      <c r="U10" s="226" t="str">
        <f>IFERROR(VLOOKUP(TableHandbook[[#This Row],[UDC]],TableUHURPLAN[],7,FALSE),"")</f>
        <v/>
      </c>
    </row>
    <row r="11" spans="1:22" x14ac:dyDescent="0.25">
      <c r="A11" s="8" t="s">
        <v>263</v>
      </c>
      <c r="B11" s="92"/>
      <c r="C11" s="8"/>
      <c r="D11" s="8" t="s">
        <v>172</v>
      </c>
      <c r="E11" s="92"/>
      <c r="F11" s="103" t="s">
        <v>117</v>
      </c>
      <c r="G11" s="123" t="str">
        <f>IFERROR(IF(VLOOKUP(TableHandbook[[#This Row],[UDC]],TableAvailabilities[],2,FALSE)&gt;0,"Y",""),"")</f>
        <v/>
      </c>
      <c r="H11" s="124" t="str">
        <f>IFERROR(IF(VLOOKUP(TableHandbook[[#This Row],[UDC]],TableAvailabilities[],3,FALSE)&gt;0,"Y",""),"")</f>
        <v/>
      </c>
      <c r="I11" s="125" t="str">
        <f>IFERROR(IF(VLOOKUP(TableHandbook[[#This Row],[UDC]],TableAvailabilities[],4,FALSE)&gt;0,"Y",""),"")</f>
        <v/>
      </c>
      <c r="J11" s="126" t="str">
        <f>IFERROR(IF(VLOOKUP(TableHandbook[[#This Row],[UDC]],TableAvailabilities[],5,FALSE)&gt;0,"Y",""),"")</f>
        <v/>
      </c>
      <c r="K11" s="173"/>
      <c r="L11" s="186" t="str">
        <f>IFERROR(VLOOKUP(TableHandbook[[#This Row],[UDC]],TableBURPLAN2[],7,FALSE),"")</f>
        <v/>
      </c>
      <c r="M11" s="106" t="str">
        <f>IFERROR(VLOOKUP(TableHandbook[[#This Row],[UDC]],TableSTRHURPLN[],7,FALSE),"")</f>
        <v/>
      </c>
      <c r="N11" s="106" t="str">
        <f>IFERROR(VLOOKUP(TableHandbook[[#This Row],[UDC]],TableSTRUURPLN[],7,FALSE),"")</f>
        <v/>
      </c>
      <c r="O11" s="106" t="str">
        <f>IFERROR(VLOOKUP(TableHandbook[[#This Row],[UDC]],TableSPUCENVSP[],7,FALSE),"")</f>
        <v/>
      </c>
      <c r="P11" s="106" t="str">
        <f>IFERROR(VLOOKUP(TableHandbook[[#This Row],[UDC]],TableSPUCGRAPH[],7,FALSE),"")</f>
        <v/>
      </c>
      <c r="Q11" s="106" t="str">
        <f>IFERROR(VLOOKUP(TableHandbook[[#This Row],[UDC]],TableSPUCINTLD[],7,FALSE),"")</f>
        <v/>
      </c>
      <c r="R11" s="107" t="str">
        <f>IFERROR(VLOOKUP(TableHandbook[[#This Row],[UDC]],TableSPUCLANDN[],7,FALSE),"")</f>
        <v/>
      </c>
      <c r="S11" s="187" t="str">
        <f>IFERROR(VLOOKUP(TableHandbook[[#This Row],[UDC]],TableSPUCSOCJU[],7,FALSE),"")</f>
        <v>Core</v>
      </c>
      <c r="T11" s="226" t="str">
        <f>IFERROR(VLOOKUP(TableHandbook[[#This Row],[UDC]],TableUHGEOGY[],7,FALSE),"")</f>
        <v/>
      </c>
      <c r="U11" s="226" t="str">
        <f>IFERROR(VLOOKUP(TableHandbook[[#This Row],[UDC]],TableUHURPLAN[],7,FALSE),"")</f>
        <v/>
      </c>
    </row>
    <row r="12" spans="1:22" x14ac:dyDescent="0.25">
      <c r="A12" s="8" t="s">
        <v>123</v>
      </c>
      <c r="B12" s="92">
        <v>1</v>
      </c>
      <c r="C12" s="8"/>
      <c r="D12" s="8" t="s">
        <v>169</v>
      </c>
      <c r="E12" s="92">
        <v>25</v>
      </c>
      <c r="F12" s="103" t="s">
        <v>170</v>
      </c>
      <c r="G12" s="123" t="str">
        <f>IFERROR(IF(VLOOKUP(TableHandbook[[#This Row],[UDC]],TableAvailabilities[],2,FALSE)&gt;0,"Y",""),"")</f>
        <v/>
      </c>
      <c r="H12" s="124" t="str">
        <f>IFERROR(IF(VLOOKUP(TableHandbook[[#This Row],[UDC]],TableAvailabilities[],3,FALSE)&gt;0,"Y",""),"")</f>
        <v/>
      </c>
      <c r="I12" s="125" t="str">
        <f>IFERROR(IF(VLOOKUP(TableHandbook[[#This Row],[UDC]],TableAvailabilities[],4,FALSE)&gt;0,"Y",""),"")</f>
        <v>Y</v>
      </c>
      <c r="J12" s="126" t="str">
        <f>IFERROR(IF(VLOOKUP(TableHandbook[[#This Row],[UDC]],TableAvailabilities[],5,FALSE)&gt;0,"Y",""),"")</f>
        <v/>
      </c>
      <c r="K12" s="173"/>
      <c r="L12" s="186" t="str">
        <f>IFERROR(VLOOKUP(TableHandbook[[#This Row],[UDC]],TableBURPLAN2[],7,FALSE),"")</f>
        <v/>
      </c>
      <c r="M12" s="106" t="str">
        <f>IFERROR(VLOOKUP(TableHandbook[[#This Row],[UDC]],TableSTRHURPLN[],7,FALSE),"")</f>
        <v/>
      </c>
      <c r="N12" s="106" t="str">
        <f>IFERROR(VLOOKUP(TableHandbook[[#This Row],[UDC]],TableSTRUURPLN[],7,FALSE),"")</f>
        <v/>
      </c>
      <c r="O12" s="106" t="str">
        <f>IFERROR(VLOOKUP(TableHandbook[[#This Row],[UDC]],TableSPUCENVSP[],7,FALSE),"")</f>
        <v>Core</v>
      </c>
      <c r="P12" s="106" t="str">
        <f>IFERROR(VLOOKUP(TableHandbook[[#This Row],[UDC]],TableSPUCGRAPH[],7,FALSE),"")</f>
        <v/>
      </c>
      <c r="Q12" s="106" t="str">
        <f>IFERROR(VLOOKUP(TableHandbook[[#This Row],[UDC]],TableSPUCINTLD[],7,FALSE),"")</f>
        <v/>
      </c>
      <c r="R12" s="107" t="str">
        <f>IFERROR(VLOOKUP(TableHandbook[[#This Row],[UDC]],TableSPUCLANDN[],7,FALSE),"")</f>
        <v/>
      </c>
      <c r="S12" s="187" t="str">
        <f>IFERROR(VLOOKUP(TableHandbook[[#This Row],[UDC]],TableSPUCSOCJU[],7,FALSE),"")</f>
        <v/>
      </c>
      <c r="T12" s="226" t="str">
        <f>IFERROR(VLOOKUP(TableHandbook[[#This Row],[UDC]],TableUHGEOGY[],7,FALSE),"")</f>
        <v/>
      </c>
      <c r="U12" s="226" t="str">
        <f>IFERROR(VLOOKUP(TableHandbook[[#This Row],[UDC]],TableUHURPLAN[],7,FALSE),"")</f>
        <v/>
      </c>
    </row>
    <row r="13" spans="1:22" x14ac:dyDescent="0.25">
      <c r="A13" s="8" t="s">
        <v>127</v>
      </c>
      <c r="B13" s="92">
        <v>1</v>
      </c>
      <c r="C13" s="8"/>
      <c r="D13" s="8" t="s">
        <v>174</v>
      </c>
      <c r="E13" s="92">
        <v>25</v>
      </c>
      <c r="F13" s="103" t="s">
        <v>170</v>
      </c>
      <c r="G13" s="123" t="str">
        <f>IFERROR(IF(VLOOKUP(TableHandbook[[#This Row],[UDC]],TableAvailabilities[],2,FALSE)&gt;0,"Y",""),"")</f>
        <v/>
      </c>
      <c r="H13" s="124" t="str">
        <f>IFERROR(IF(VLOOKUP(TableHandbook[[#This Row],[UDC]],TableAvailabilities[],3,FALSE)&gt;0,"Y",""),"")</f>
        <v/>
      </c>
      <c r="I13" s="125" t="str">
        <f>IFERROR(IF(VLOOKUP(TableHandbook[[#This Row],[UDC]],TableAvailabilities[],4,FALSE)&gt;0,"Y",""),"")</f>
        <v>Y</v>
      </c>
      <c r="J13" s="126" t="str">
        <f>IFERROR(IF(VLOOKUP(TableHandbook[[#This Row],[UDC]],TableAvailabilities[],5,FALSE)&gt;0,"Y",""),"")</f>
        <v>Y</v>
      </c>
      <c r="K13" s="173"/>
      <c r="L13" s="186" t="str">
        <f>IFERROR(VLOOKUP(TableHandbook[[#This Row],[UDC]],TableBURPLAN2[],7,FALSE),"")</f>
        <v/>
      </c>
      <c r="M13" s="106" t="str">
        <f>IFERROR(VLOOKUP(TableHandbook[[#This Row],[UDC]],TableSTRHURPLN[],7,FALSE),"")</f>
        <v/>
      </c>
      <c r="N13" s="106" t="str">
        <f>IFERROR(VLOOKUP(TableHandbook[[#This Row],[UDC]],TableSTRUURPLN[],7,FALSE),"")</f>
        <v/>
      </c>
      <c r="O13" s="106" t="str">
        <f>IFERROR(VLOOKUP(TableHandbook[[#This Row],[UDC]],TableSPUCENVSP[],7,FALSE),"")</f>
        <v/>
      </c>
      <c r="P13" s="106" t="str">
        <f>IFERROR(VLOOKUP(TableHandbook[[#This Row],[UDC]],TableSPUCGRAPH[],7,FALSE),"")</f>
        <v/>
      </c>
      <c r="Q13" s="106" t="str">
        <f>IFERROR(VLOOKUP(TableHandbook[[#This Row],[UDC]],TableSPUCINTLD[],7,FALSE),"")</f>
        <v/>
      </c>
      <c r="R13" s="107" t="str">
        <f>IFERROR(VLOOKUP(TableHandbook[[#This Row],[UDC]],TableSPUCLANDN[],7,FALSE),"")</f>
        <v/>
      </c>
      <c r="S13" s="187" t="str">
        <f>IFERROR(VLOOKUP(TableHandbook[[#This Row],[UDC]],TableSPUCSOCJU[],7,FALSE),"")</f>
        <v>Core</v>
      </c>
      <c r="T13" s="226" t="str">
        <f>IFERROR(VLOOKUP(TableHandbook[[#This Row],[UDC]],TableUHGEOGY[],7,FALSE),"")</f>
        <v/>
      </c>
      <c r="U13" s="226" t="str">
        <f>IFERROR(VLOOKUP(TableHandbook[[#This Row],[UDC]],TableUHURPLAN[],7,FALSE),"")</f>
        <v/>
      </c>
    </row>
    <row r="14" spans="1:22" x14ac:dyDescent="0.25">
      <c r="A14" s="8" t="s">
        <v>139</v>
      </c>
      <c r="B14" s="92">
        <v>1</v>
      </c>
      <c r="C14" s="8"/>
      <c r="D14" s="8" t="s">
        <v>175</v>
      </c>
      <c r="E14" s="92">
        <v>25</v>
      </c>
      <c r="F14" s="103" t="s">
        <v>170</v>
      </c>
      <c r="G14" s="123" t="str">
        <f>IFERROR(IF(VLOOKUP(TableHandbook[[#This Row],[UDC]],TableAvailabilities[],2,FALSE)&gt;0,"Y",""),"")</f>
        <v/>
      </c>
      <c r="H14" s="124" t="str">
        <f>IFERROR(IF(VLOOKUP(TableHandbook[[#This Row],[UDC]],TableAvailabilities[],3,FALSE)&gt;0,"Y",""),"")</f>
        <v/>
      </c>
      <c r="I14" s="125" t="str">
        <f>IFERROR(IF(VLOOKUP(TableHandbook[[#This Row],[UDC]],TableAvailabilities[],4,FALSE)&gt;0,"Y",""),"")</f>
        <v>Y</v>
      </c>
      <c r="J14" s="126" t="str">
        <f>IFERROR(IF(VLOOKUP(TableHandbook[[#This Row],[UDC]],TableAvailabilities[],5,FALSE)&gt;0,"Y",""),"")</f>
        <v>Y</v>
      </c>
      <c r="K14" s="173"/>
      <c r="L14" s="186" t="str">
        <f>IFERROR(VLOOKUP(TableHandbook[[#This Row],[UDC]],TableBURPLAN2[],7,FALSE),"")</f>
        <v/>
      </c>
      <c r="M14" s="106" t="str">
        <f>IFERROR(VLOOKUP(TableHandbook[[#This Row],[UDC]],TableSTRHURPLN[],7,FALSE),"")</f>
        <v/>
      </c>
      <c r="N14" s="106" t="str">
        <f>IFERROR(VLOOKUP(TableHandbook[[#This Row],[UDC]],TableSTRUURPLN[],7,FALSE),"")</f>
        <v/>
      </c>
      <c r="O14" s="106" t="str">
        <f>IFERROR(VLOOKUP(TableHandbook[[#This Row],[UDC]],TableSPUCENVSP[],7,FALSE),"")</f>
        <v/>
      </c>
      <c r="P14" s="106" t="str">
        <f>IFERROR(VLOOKUP(TableHandbook[[#This Row],[UDC]],TableSPUCGRAPH[],7,FALSE),"")</f>
        <v/>
      </c>
      <c r="Q14" s="106" t="str">
        <f>IFERROR(VLOOKUP(TableHandbook[[#This Row],[UDC]],TableSPUCINTLD[],7,FALSE),"")</f>
        <v/>
      </c>
      <c r="R14" s="107" t="str">
        <f>IFERROR(VLOOKUP(TableHandbook[[#This Row],[UDC]],TableSPUCLANDN[],7,FALSE),"")</f>
        <v/>
      </c>
      <c r="S14" s="187" t="str">
        <f>IFERROR(VLOOKUP(TableHandbook[[#This Row],[UDC]],TableSPUCSOCJU[],7,FALSE),"")</f>
        <v>Core</v>
      </c>
      <c r="T14" s="226" t="str">
        <f>IFERROR(VLOOKUP(TableHandbook[[#This Row],[UDC]],TableUHGEOGY[],7,FALSE),"")</f>
        <v/>
      </c>
      <c r="U14" s="226" t="str">
        <f>IFERROR(VLOOKUP(TableHandbook[[#This Row],[UDC]],TableUHURPLAN[],7,FALSE),"")</f>
        <v/>
      </c>
    </row>
    <row r="15" spans="1:22" x14ac:dyDescent="0.25">
      <c r="A15" s="6" t="s">
        <v>148</v>
      </c>
      <c r="B15" s="194">
        <v>1</v>
      </c>
      <c r="C15" s="6"/>
      <c r="D15" s="6" t="s">
        <v>269</v>
      </c>
      <c r="E15" s="92">
        <v>25</v>
      </c>
      <c r="F15" s="103" t="s">
        <v>170</v>
      </c>
      <c r="G15" s="123" t="str">
        <f>IFERROR(IF(VLOOKUP(TableHandbook[[#This Row],[UDC]],TableAvailabilities[],2,FALSE)&gt;0,"Y",""),"")</f>
        <v/>
      </c>
      <c r="H15" s="124" t="str">
        <f>IFERROR(IF(VLOOKUP(TableHandbook[[#This Row],[UDC]],TableAvailabilities[],3,FALSE)&gt;0,"Y",""),"")</f>
        <v/>
      </c>
      <c r="I15" s="125" t="str">
        <f>IFERROR(IF(VLOOKUP(TableHandbook[[#This Row],[UDC]],TableAvailabilities[],4,FALSE)&gt;0,"Y",""),"")</f>
        <v/>
      </c>
      <c r="J15" s="126" t="str">
        <f>IFERROR(IF(VLOOKUP(TableHandbook[[#This Row],[UDC]],TableAvailabilities[],5,FALSE)&gt;0,"Y",""),"")</f>
        <v/>
      </c>
      <c r="K15" s="217" t="s">
        <v>270</v>
      </c>
      <c r="L15" s="186" t="str">
        <f>IFERROR(VLOOKUP(TableHandbook[[#This Row],[UDC]],TableBURPLAN2[],7,FALSE),"")</f>
        <v/>
      </c>
      <c r="M15" s="106" t="str">
        <f>IFERROR(VLOOKUP(TableHandbook[[#This Row],[UDC]],TableSTRHURPLN[],7,FALSE),"")</f>
        <v/>
      </c>
      <c r="N15" s="106" t="str">
        <f>IFERROR(VLOOKUP(TableHandbook[[#This Row],[UDC]],TableSTRUURPLN[],7,FALSE),"")</f>
        <v/>
      </c>
      <c r="O15" s="106" t="str">
        <f>IFERROR(VLOOKUP(TableHandbook[[#This Row],[UDC]],TableSPUCENVSP[],7,FALSE),"")</f>
        <v>AltCore</v>
      </c>
      <c r="P15" s="106" t="str">
        <f>IFERROR(VLOOKUP(TableHandbook[[#This Row],[UDC]],TableSPUCGRAPH[],7,FALSE),"")</f>
        <v>AltCore</v>
      </c>
      <c r="Q15" s="106" t="str">
        <f>IFERROR(VLOOKUP(TableHandbook[[#This Row],[UDC]],TableSPUCINTLD[],7,FALSE),"")</f>
        <v>AltCore</v>
      </c>
      <c r="R15" s="107" t="str">
        <f>IFERROR(VLOOKUP(TableHandbook[[#This Row],[UDC]],TableSPUCLANDN[],7,FALSE),"")</f>
        <v>AltCore</v>
      </c>
      <c r="S15" s="187" t="str">
        <f>IFERROR(VLOOKUP(TableHandbook[[#This Row],[UDC]],TableSPUCSOCJU[],7,FALSE),"")</f>
        <v>AltCore</v>
      </c>
      <c r="T15" s="226" t="str">
        <f>IFERROR(VLOOKUP(TableHandbook[[#This Row],[UDC]],TableUHGEOGY[],7,FALSE),"")</f>
        <v/>
      </c>
      <c r="U15" s="226" t="str">
        <f>IFERROR(VLOOKUP(TableHandbook[[#This Row],[UDC]],TableUHURPLAN[],7,FALSE),"")</f>
        <v/>
      </c>
    </row>
    <row r="16" spans="1:22" x14ac:dyDescent="0.25">
      <c r="A16" s="8" t="s">
        <v>47</v>
      </c>
      <c r="B16" s="92">
        <v>2</v>
      </c>
      <c r="C16" s="8"/>
      <c r="D16" s="8" t="s">
        <v>177</v>
      </c>
      <c r="E16" s="92">
        <v>25</v>
      </c>
      <c r="F16" s="103" t="s">
        <v>170</v>
      </c>
      <c r="G16" s="123" t="str">
        <f>IFERROR(IF(VLOOKUP(TableHandbook[[#This Row],[UDC]],TableAvailabilities[],2,FALSE)&gt;0,"Y",""),"")</f>
        <v>Y</v>
      </c>
      <c r="H16" s="124" t="str">
        <f>IFERROR(IF(VLOOKUP(TableHandbook[[#This Row],[UDC]],TableAvailabilities[],3,FALSE)&gt;0,"Y",""),"")</f>
        <v>Y</v>
      </c>
      <c r="I16" s="125" t="str">
        <f>IFERROR(IF(VLOOKUP(TableHandbook[[#This Row],[UDC]],TableAvailabilities[],4,FALSE)&gt;0,"Y",""),"")</f>
        <v>Y</v>
      </c>
      <c r="J16" s="126" t="str">
        <f>IFERROR(IF(VLOOKUP(TableHandbook[[#This Row],[UDC]],TableAvailabilities[],5,FALSE)&gt;0,"Y",""),"")</f>
        <v>Y</v>
      </c>
      <c r="K16" s="173"/>
      <c r="L16" s="186" t="str">
        <f>IFERROR(VLOOKUP(TableHandbook[[#This Row],[UDC]],TableBURPLAN2[],7,FALSE),"")</f>
        <v>Core</v>
      </c>
      <c r="M16" s="106" t="str">
        <f>IFERROR(VLOOKUP(TableHandbook[[#This Row],[UDC]],TableSTRHURPLN[],7,FALSE),"")</f>
        <v/>
      </c>
      <c r="N16" s="106" t="str">
        <f>IFERROR(VLOOKUP(TableHandbook[[#This Row],[UDC]],TableSTRUURPLN[],7,FALSE),"")</f>
        <v/>
      </c>
      <c r="O16" s="106" t="str">
        <f>IFERROR(VLOOKUP(TableHandbook[[#This Row],[UDC]],TableSPUCENVSP[],7,FALSE),"")</f>
        <v/>
      </c>
      <c r="P16" s="106" t="str">
        <f>IFERROR(VLOOKUP(TableHandbook[[#This Row],[UDC]],TableSPUCGRAPH[],7,FALSE),"")</f>
        <v/>
      </c>
      <c r="Q16" s="106" t="str">
        <f>IFERROR(VLOOKUP(TableHandbook[[#This Row],[UDC]],TableSPUCINTLD[],7,FALSE),"")</f>
        <v/>
      </c>
      <c r="R16" s="107" t="str">
        <f>IFERROR(VLOOKUP(TableHandbook[[#This Row],[UDC]],TableSPUCLANDN[],7,FALSE),"")</f>
        <v/>
      </c>
      <c r="S16" s="187" t="str">
        <f>IFERROR(VLOOKUP(TableHandbook[[#This Row],[UDC]],TableSPUCSOCJU[],7,FALSE),"")</f>
        <v/>
      </c>
      <c r="T16" s="226" t="str">
        <f>IFERROR(VLOOKUP(TableHandbook[[#This Row],[UDC]],TableUHGEOGY[],7,FALSE),"")</f>
        <v/>
      </c>
      <c r="U16" s="226" t="str">
        <f>IFERROR(VLOOKUP(TableHandbook[[#This Row],[UDC]],TableUHURPLAN[],7,FALSE),"")</f>
        <v/>
      </c>
    </row>
    <row r="17" spans="1:21" x14ac:dyDescent="0.25">
      <c r="A17" s="8" t="s">
        <v>114</v>
      </c>
      <c r="B17" s="92">
        <v>0</v>
      </c>
      <c r="C17" s="8"/>
      <c r="D17" s="8" t="s">
        <v>178</v>
      </c>
      <c r="E17" s="92">
        <v>25</v>
      </c>
      <c r="F17" s="103" t="s">
        <v>179</v>
      </c>
      <c r="G17" s="123" t="str">
        <f>IFERROR(IF(VLOOKUP(TableHandbook[[#This Row],[UDC]],TableAvailabilities[],2,FALSE)&gt;0,"Y",""),"")</f>
        <v/>
      </c>
      <c r="H17" s="124" t="str">
        <f>IFERROR(IF(VLOOKUP(TableHandbook[[#This Row],[UDC]],TableAvailabilities[],3,FALSE)&gt;0,"Y",""),"")</f>
        <v/>
      </c>
      <c r="I17" s="125" t="str">
        <f>IFERROR(IF(VLOOKUP(TableHandbook[[#This Row],[UDC]],TableAvailabilities[],4,FALSE)&gt;0,"Y",""),"")</f>
        <v/>
      </c>
      <c r="J17" s="126" t="str">
        <f>IFERROR(IF(VLOOKUP(TableHandbook[[#This Row],[UDC]],TableAvailabilities[],5,FALSE)&gt;0,"Y",""),"")</f>
        <v/>
      </c>
      <c r="K17" s="173"/>
      <c r="L17" s="186" t="str">
        <f>IFERROR(VLOOKUP(TableHandbook[[#This Row],[UDC]],TableBURPLAN2[],7,FALSE),"")</f>
        <v/>
      </c>
      <c r="M17" s="106" t="str">
        <f>IFERROR(VLOOKUP(TableHandbook[[#This Row],[UDC]],TableSTRHURPLN[],7,FALSE),"")</f>
        <v/>
      </c>
      <c r="N17" s="106" t="str">
        <f>IFERROR(VLOOKUP(TableHandbook[[#This Row],[UDC]],TableSTRUURPLN[],7,FALSE),"")</f>
        <v>Elective</v>
      </c>
      <c r="O17" s="106" t="str">
        <f>IFERROR(VLOOKUP(TableHandbook[[#This Row],[UDC]],TableSPUCENVSP[],7,FALSE),"")</f>
        <v/>
      </c>
      <c r="P17" s="106" t="str">
        <f>IFERROR(VLOOKUP(TableHandbook[[#This Row],[UDC]],TableSPUCGRAPH[],7,FALSE),"")</f>
        <v/>
      </c>
      <c r="Q17" s="106" t="str">
        <f>IFERROR(VLOOKUP(TableHandbook[[#This Row],[UDC]],TableSPUCINTLD[],7,FALSE),"")</f>
        <v/>
      </c>
      <c r="R17" s="107" t="str">
        <f>IFERROR(VLOOKUP(TableHandbook[[#This Row],[UDC]],TableSPUCLANDN[],7,FALSE),"")</f>
        <v/>
      </c>
      <c r="S17" s="187" t="str">
        <f>IFERROR(VLOOKUP(TableHandbook[[#This Row],[UDC]],TableSPUCSOCJU[],7,FALSE),"")</f>
        <v/>
      </c>
      <c r="T17" s="226" t="str">
        <f>IFERROR(VLOOKUP(TableHandbook[[#This Row],[UDC]],TableUHGEOGY[],7,FALSE),"")</f>
        <v/>
      </c>
      <c r="U17" s="226" t="str">
        <f>IFERROR(VLOOKUP(TableHandbook[[#This Row],[UDC]],TableUHURPLAN[],7,FALSE),"")</f>
        <v/>
      </c>
    </row>
    <row r="18" spans="1:21" x14ac:dyDescent="0.25">
      <c r="A18" s="8" t="s">
        <v>129</v>
      </c>
      <c r="B18" s="92">
        <v>1</v>
      </c>
      <c r="C18" s="8"/>
      <c r="D18" s="8" t="s">
        <v>180</v>
      </c>
      <c r="E18" s="92">
        <v>25</v>
      </c>
      <c r="F18" s="103" t="s">
        <v>170</v>
      </c>
      <c r="G18" s="123" t="str">
        <f>IFERROR(IF(VLOOKUP(TableHandbook[[#This Row],[UDC]],TableAvailabilities[],2,FALSE)&gt;0,"Y",""),"")</f>
        <v>Y</v>
      </c>
      <c r="H18" s="124" t="str">
        <f>IFERROR(IF(VLOOKUP(TableHandbook[[#This Row],[UDC]],TableAvailabilities[],3,FALSE)&gt;0,"Y",""),"")</f>
        <v/>
      </c>
      <c r="I18" s="125" t="str">
        <f>IFERROR(IF(VLOOKUP(TableHandbook[[#This Row],[UDC]],TableAvailabilities[],4,FALSE)&gt;0,"Y",""),"")</f>
        <v/>
      </c>
      <c r="J18" s="126" t="str">
        <f>IFERROR(IF(VLOOKUP(TableHandbook[[#This Row],[UDC]],TableAvailabilities[],5,FALSE)&gt;0,"Y",""),"")</f>
        <v/>
      </c>
      <c r="K18" s="173"/>
      <c r="L18" s="186" t="str">
        <f>IFERROR(VLOOKUP(TableHandbook[[#This Row],[UDC]],TableBURPLAN2[],7,FALSE),"")</f>
        <v/>
      </c>
      <c r="M18" s="106" t="str">
        <f>IFERROR(VLOOKUP(TableHandbook[[#This Row],[UDC]],TableSTRHURPLN[],7,FALSE),"")</f>
        <v/>
      </c>
      <c r="N18" s="106" t="str">
        <f>IFERROR(VLOOKUP(TableHandbook[[#This Row],[UDC]],TableSTRUURPLN[],7,FALSE),"")</f>
        <v/>
      </c>
      <c r="O18" s="106" t="str">
        <f>IFERROR(VLOOKUP(TableHandbook[[#This Row],[UDC]],TableSPUCENVSP[],7,FALSE),"")</f>
        <v>Core</v>
      </c>
      <c r="P18" s="106" t="str">
        <f>IFERROR(VLOOKUP(TableHandbook[[#This Row],[UDC]],TableSPUCGRAPH[],7,FALSE),"")</f>
        <v/>
      </c>
      <c r="Q18" s="106" t="str">
        <f>IFERROR(VLOOKUP(TableHandbook[[#This Row],[UDC]],TableSPUCINTLD[],7,FALSE),"")</f>
        <v/>
      </c>
      <c r="R18" s="107" t="str">
        <f>IFERROR(VLOOKUP(TableHandbook[[#This Row],[UDC]],TableSPUCLANDN[],7,FALSE),"")</f>
        <v/>
      </c>
      <c r="S18" s="187" t="str">
        <f>IFERROR(VLOOKUP(TableHandbook[[#This Row],[UDC]],TableSPUCSOCJU[],7,FALSE),"")</f>
        <v/>
      </c>
      <c r="T18" s="226" t="str">
        <f>IFERROR(VLOOKUP(TableHandbook[[#This Row],[UDC]],TableUHGEOGY[],7,FALSE),"")</f>
        <v/>
      </c>
      <c r="U18" s="226" t="str">
        <f>IFERROR(VLOOKUP(TableHandbook[[#This Row],[UDC]],TableUHURPLAN[],7,FALSE),"")</f>
        <v/>
      </c>
    </row>
    <row r="19" spans="1:21" x14ac:dyDescent="0.25">
      <c r="A19" s="8" t="s">
        <v>135</v>
      </c>
      <c r="B19" s="92">
        <v>1</v>
      </c>
      <c r="C19" s="8"/>
      <c r="D19" s="8" t="s">
        <v>181</v>
      </c>
      <c r="E19" s="92">
        <v>25</v>
      </c>
      <c r="F19" s="103" t="s">
        <v>287</v>
      </c>
      <c r="G19" s="123" t="str">
        <f>IFERROR(IF(VLOOKUP(TableHandbook[[#This Row],[UDC]],TableAvailabilities[],2,FALSE)&gt;0,"Y",""),"")</f>
        <v/>
      </c>
      <c r="H19" s="124" t="str">
        <f>IFERROR(IF(VLOOKUP(TableHandbook[[#This Row],[UDC]],TableAvailabilities[],3,FALSE)&gt;0,"Y",""),"")</f>
        <v/>
      </c>
      <c r="I19" s="125" t="str">
        <f>IFERROR(IF(VLOOKUP(TableHandbook[[#This Row],[UDC]],TableAvailabilities[],4,FALSE)&gt;0,"Y",""),"")</f>
        <v>Y</v>
      </c>
      <c r="J19" s="126" t="str">
        <f>IFERROR(IF(VLOOKUP(TableHandbook[[#This Row],[UDC]],TableAvailabilities[],5,FALSE)&gt;0,"Y",""),"")</f>
        <v/>
      </c>
      <c r="K19" s="173"/>
      <c r="L19" s="186" t="str">
        <f>IFERROR(VLOOKUP(TableHandbook[[#This Row],[UDC]],TableBURPLAN2[],7,FALSE),"")</f>
        <v/>
      </c>
      <c r="M19" s="106" t="str">
        <f>IFERROR(VLOOKUP(TableHandbook[[#This Row],[UDC]],TableSTRHURPLN[],7,FALSE),"")</f>
        <v/>
      </c>
      <c r="N19" s="106" t="str">
        <f>IFERROR(VLOOKUP(TableHandbook[[#This Row],[UDC]],TableSTRUURPLN[],7,FALSE),"")</f>
        <v/>
      </c>
      <c r="O19" s="106" t="str">
        <f>IFERROR(VLOOKUP(TableHandbook[[#This Row],[UDC]],TableSPUCENVSP[],7,FALSE),"")</f>
        <v>Core</v>
      </c>
      <c r="P19" s="106" t="str">
        <f>IFERROR(VLOOKUP(TableHandbook[[#This Row],[UDC]],TableSPUCGRAPH[],7,FALSE),"")</f>
        <v/>
      </c>
      <c r="Q19" s="106" t="str">
        <f>IFERROR(VLOOKUP(TableHandbook[[#This Row],[UDC]],TableSPUCINTLD[],7,FALSE),"")</f>
        <v/>
      </c>
      <c r="R19" s="107" t="str">
        <f>IFERROR(VLOOKUP(TableHandbook[[#This Row],[UDC]],TableSPUCLANDN[],7,FALSE),"")</f>
        <v/>
      </c>
      <c r="S19" s="187" t="str">
        <f>IFERROR(VLOOKUP(TableHandbook[[#This Row],[UDC]],TableSPUCSOCJU[],7,FALSE),"")</f>
        <v/>
      </c>
      <c r="T19" s="226" t="str">
        <f>IFERROR(VLOOKUP(TableHandbook[[#This Row],[UDC]],TableUHGEOGY[],7,FALSE),"")</f>
        <v/>
      </c>
      <c r="U19" s="226" t="str">
        <f>IFERROR(VLOOKUP(TableHandbook[[#This Row],[UDC]],TableUHURPLAN[],7,FALSE),"")</f>
        <v/>
      </c>
    </row>
    <row r="20" spans="1:21" x14ac:dyDescent="0.25">
      <c r="A20" s="8" t="s">
        <v>182</v>
      </c>
      <c r="B20" s="92">
        <v>0</v>
      </c>
      <c r="C20" s="8"/>
      <c r="D20" s="8" t="s">
        <v>183</v>
      </c>
      <c r="E20" s="92">
        <v>200</v>
      </c>
      <c r="F20" s="103" t="s">
        <v>117</v>
      </c>
      <c r="G20" s="123" t="str">
        <f>IFERROR(IF(VLOOKUP(TableHandbook[[#This Row],[UDC]],TableAvailabilities[],2,FALSE)&gt;0,"Y",""),"")</f>
        <v/>
      </c>
      <c r="H20" s="124" t="str">
        <f>IFERROR(IF(VLOOKUP(TableHandbook[[#This Row],[UDC]],TableAvailabilities[],3,FALSE)&gt;0,"Y",""),"")</f>
        <v/>
      </c>
      <c r="I20" s="125" t="str">
        <f>IFERROR(IF(VLOOKUP(TableHandbook[[#This Row],[UDC]],TableAvailabilities[],4,FALSE)&gt;0,"Y",""),"")</f>
        <v/>
      </c>
      <c r="J20" s="126" t="str">
        <f>IFERROR(IF(VLOOKUP(TableHandbook[[#This Row],[UDC]],TableAvailabilities[],5,FALSE)&gt;0,"Y",""),"")</f>
        <v/>
      </c>
      <c r="K20" s="173"/>
      <c r="L20" s="186" t="str">
        <f>IFERROR(VLOOKUP(TableHandbook[[#This Row],[UDC]],TableBURPLAN2[],7,FALSE),"")</f>
        <v>AltCore</v>
      </c>
      <c r="M20" s="106" t="str">
        <f>IFERROR(VLOOKUP(TableHandbook[[#This Row],[UDC]],TableSTRHURPLN[],7,FALSE),"")</f>
        <v/>
      </c>
      <c r="N20" s="106" t="str">
        <f>IFERROR(VLOOKUP(TableHandbook[[#This Row],[UDC]],TableSTRUURPLN[],7,FALSE),"")</f>
        <v/>
      </c>
      <c r="O20" s="106" t="str">
        <f>IFERROR(VLOOKUP(TableHandbook[[#This Row],[UDC]],TableSPUCENVSP[],7,FALSE),"")</f>
        <v/>
      </c>
      <c r="P20" s="106" t="str">
        <f>IFERROR(VLOOKUP(TableHandbook[[#This Row],[UDC]],TableSPUCGRAPH[],7,FALSE),"")</f>
        <v/>
      </c>
      <c r="Q20" s="106" t="str">
        <f>IFERROR(VLOOKUP(TableHandbook[[#This Row],[UDC]],TableSPUCINTLD[],7,FALSE),"")</f>
        <v/>
      </c>
      <c r="R20" s="107" t="str">
        <f>IFERROR(VLOOKUP(TableHandbook[[#This Row],[UDC]],TableSPUCLANDN[],7,FALSE),"")</f>
        <v/>
      </c>
      <c r="S20" s="187" t="str">
        <f>IFERROR(VLOOKUP(TableHandbook[[#This Row],[UDC]],TableSPUCSOCJU[],7,FALSE),"")</f>
        <v/>
      </c>
      <c r="T20" s="226" t="str">
        <f>IFERROR(VLOOKUP(TableHandbook[[#This Row],[UDC]],TableUHGEOGY[],7,FALSE),"")</f>
        <v/>
      </c>
      <c r="U20" s="226" t="str">
        <f>IFERROR(VLOOKUP(TableHandbook[[#This Row],[UDC]],TableUHURPLAN[],7,FALSE),"")</f>
        <v/>
      </c>
    </row>
    <row r="21" spans="1:21" x14ac:dyDescent="0.25">
      <c r="A21" s="232" t="s">
        <v>279</v>
      </c>
      <c r="B21" s="230">
        <v>1</v>
      </c>
      <c r="C21" s="229"/>
      <c r="D21" s="229" t="s">
        <v>280</v>
      </c>
      <c r="E21" s="230">
        <v>25</v>
      </c>
      <c r="F21" s="231" t="s">
        <v>170</v>
      </c>
      <c r="G21" s="233" t="str">
        <f>IFERROR(IF(VLOOKUP(TableHandbook[[#This Row],[UDC]],TableAvailabilities[],2,FALSE)&gt;0,"Y",""),"")</f>
        <v>Y</v>
      </c>
      <c r="H21" s="234" t="str">
        <f>IFERROR(IF(VLOOKUP(TableHandbook[[#This Row],[UDC]],TableAvailabilities[],3,FALSE)&gt;0,"Y",""),"")</f>
        <v>Y</v>
      </c>
      <c r="I21" s="235" t="str">
        <f>IFERROR(IF(VLOOKUP(TableHandbook[[#This Row],[UDC]],TableAvailabilities[],4,FALSE)&gt;0,"Y",""),"")</f>
        <v/>
      </c>
      <c r="J21" s="236" t="str">
        <f>IFERROR(IF(VLOOKUP(TableHandbook[[#This Row],[UDC]],TableAvailabilities[],5,FALSE)&gt;0,"Y",""),"")</f>
        <v/>
      </c>
      <c r="K21" s="173"/>
      <c r="L21" s="237" t="str">
        <f>IFERROR(VLOOKUP(TableHandbook[[#This Row],[UDC]],TableBURPLAN2[],7,FALSE),"")</f>
        <v/>
      </c>
      <c r="M21" s="238" t="str">
        <f>IFERROR(VLOOKUP(TableHandbook[[#This Row],[UDC]],TableSTRHURPLN[],7,FALSE),"")</f>
        <v/>
      </c>
      <c r="N21" s="238" t="str">
        <f>IFERROR(VLOOKUP(TableHandbook[[#This Row],[UDC]],TableSTRUURPLN[],7,FALSE),"")</f>
        <v/>
      </c>
      <c r="O21" s="238" t="str">
        <f>IFERROR(VLOOKUP(TableHandbook[[#This Row],[UDC]],TableSPUCENVSP[],7,FALSE),"")</f>
        <v/>
      </c>
      <c r="P21" s="238" t="str">
        <f>IFERROR(VLOOKUP(TableHandbook[[#This Row],[UDC]],TableSPUCGRAPH[],7,FALSE),"")</f>
        <v/>
      </c>
      <c r="Q21" s="238" t="str">
        <f>IFERROR(VLOOKUP(TableHandbook[[#This Row],[UDC]],TableSPUCINTLD[],7,FALSE),"")</f>
        <v/>
      </c>
      <c r="R21" s="239" t="str">
        <f>IFERROR(VLOOKUP(TableHandbook[[#This Row],[UDC]],TableSPUCLANDN[],7,FALSE),"")</f>
        <v/>
      </c>
      <c r="S21" s="240" t="str">
        <f>IFERROR(VLOOKUP(TableHandbook[[#This Row],[UDC]],TableSPUCSOCJU[],7,FALSE),"")</f>
        <v/>
      </c>
      <c r="T21" s="228" t="str">
        <f>IFERROR(VLOOKUP(TableHandbook[[#This Row],[UDC]],TableUHGEOGY[],7,FALSE),"")</f>
        <v>Core</v>
      </c>
      <c r="U21" s="228" t="str">
        <f>IFERROR(VLOOKUP(TableHandbook[[#This Row],[UDC]],TableUHURPLAN[],7,FALSE),"")</f>
        <v/>
      </c>
    </row>
    <row r="22" spans="1:21" x14ac:dyDescent="0.25">
      <c r="A22" s="8" t="s">
        <v>125</v>
      </c>
      <c r="B22" s="92">
        <v>1</v>
      </c>
      <c r="C22" s="8"/>
      <c r="D22" s="8" t="s">
        <v>184</v>
      </c>
      <c r="E22" s="92">
        <v>25</v>
      </c>
      <c r="F22" s="103" t="s">
        <v>170</v>
      </c>
      <c r="G22" s="123" t="str">
        <f>IFERROR(IF(VLOOKUP(TableHandbook[[#This Row],[UDC]],TableAvailabilities[],2,FALSE)&gt;0,"Y",""),"")</f>
        <v/>
      </c>
      <c r="H22" s="124" t="str">
        <f>IFERROR(IF(VLOOKUP(TableHandbook[[#This Row],[UDC]],TableAvailabilities[],3,FALSE)&gt;0,"Y",""),"")</f>
        <v/>
      </c>
      <c r="I22" s="125" t="str">
        <f>IFERROR(IF(VLOOKUP(TableHandbook[[#This Row],[UDC]],TableAvailabilities[],4,FALSE)&gt;0,"Y",""),"")</f>
        <v>Y</v>
      </c>
      <c r="J22" s="126" t="str">
        <f>IFERROR(IF(VLOOKUP(TableHandbook[[#This Row],[UDC]],TableAvailabilities[],5,FALSE)&gt;0,"Y",""),"")</f>
        <v>Y</v>
      </c>
      <c r="K22" s="173"/>
      <c r="L22" s="186" t="str">
        <f>IFERROR(VLOOKUP(TableHandbook[[#This Row],[UDC]],TableBURPLAN2[],7,FALSE),"")</f>
        <v/>
      </c>
      <c r="M22" s="106" t="str">
        <f>IFERROR(VLOOKUP(TableHandbook[[#This Row],[UDC]],TableSTRHURPLN[],7,FALSE),"")</f>
        <v/>
      </c>
      <c r="N22" s="106" t="str">
        <f>IFERROR(VLOOKUP(TableHandbook[[#This Row],[UDC]],TableSTRUURPLN[],7,FALSE),"")</f>
        <v/>
      </c>
      <c r="O22" s="106" t="str">
        <f>IFERROR(VLOOKUP(TableHandbook[[#This Row],[UDC]],TableSPUCENVSP[],7,FALSE),"")</f>
        <v/>
      </c>
      <c r="P22" s="106" t="str">
        <f>IFERROR(VLOOKUP(TableHandbook[[#This Row],[UDC]],TableSPUCGRAPH[],7,FALSE),"")</f>
        <v/>
      </c>
      <c r="Q22" s="106" t="str">
        <f>IFERROR(VLOOKUP(TableHandbook[[#This Row],[UDC]],TableSPUCINTLD[],7,FALSE),"")</f>
        <v>Core</v>
      </c>
      <c r="R22" s="107" t="str">
        <f>IFERROR(VLOOKUP(TableHandbook[[#This Row],[UDC]],TableSPUCLANDN[],7,FALSE),"")</f>
        <v/>
      </c>
      <c r="S22" s="187" t="str">
        <f>IFERROR(VLOOKUP(TableHandbook[[#This Row],[UDC]],TableSPUCSOCJU[],7,FALSE),"")</f>
        <v/>
      </c>
      <c r="T22" s="226" t="str">
        <f>IFERROR(VLOOKUP(TableHandbook[[#This Row],[UDC]],TableUHGEOGY[],7,FALSE),"")</f>
        <v>Option</v>
      </c>
      <c r="U22" s="226" t="str">
        <f>IFERROR(VLOOKUP(TableHandbook[[#This Row],[UDC]],TableUHURPLAN[],7,FALSE),"")</f>
        <v/>
      </c>
    </row>
    <row r="23" spans="1:21" x14ac:dyDescent="0.25">
      <c r="A23" s="8" t="s">
        <v>131</v>
      </c>
      <c r="B23" s="92">
        <v>1</v>
      </c>
      <c r="C23" s="8"/>
      <c r="D23" s="8" t="s">
        <v>185</v>
      </c>
      <c r="E23" s="92">
        <v>25</v>
      </c>
      <c r="F23" s="103" t="s">
        <v>170</v>
      </c>
      <c r="G23" s="123" t="str">
        <f>IFERROR(IF(VLOOKUP(TableHandbook[[#This Row],[UDC]],TableAvailabilities[],2,FALSE)&gt;0,"Y",""),"")</f>
        <v>Y</v>
      </c>
      <c r="H23" s="124" t="str">
        <f>IFERROR(IF(VLOOKUP(TableHandbook[[#This Row],[UDC]],TableAvailabilities[],3,FALSE)&gt;0,"Y",""),"")</f>
        <v>Y</v>
      </c>
      <c r="I23" s="125" t="str">
        <f>IFERROR(IF(VLOOKUP(TableHandbook[[#This Row],[UDC]],TableAvailabilities[],4,FALSE)&gt;0,"Y",""),"")</f>
        <v/>
      </c>
      <c r="J23" s="126" t="str">
        <f>IFERROR(IF(VLOOKUP(TableHandbook[[#This Row],[UDC]],TableAvailabilities[],5,FALSE)&gt;0,"Y",""),"")</f>
        <v/>
      </c>
      <c r="K23" s="173"/>
      <c r="L23" s="186" t="str">
        <f>IFERROR(VLOOKUP(TableHandbook[[#This Row],[UDC]],TableBURPLAN2[],7,FALSE),"")</f>
        <v/>
      </c>
      <c r="M23" s="106" t="str">
        <f>IFERROR(VLOOKUP(TableHandbook[[#This Row],[UDC]],TableSTRHURPLN[],7,FALSE),"")</f>
        <v/>
      </c>
      <c r="N23" s="106" t="str">
        <f>IFERROR(VLOOKUP(TableHandbook[[#This Row],[UDC]],TableSTRUURPLN[],7,FALSE),"")</f>
        <v/>
      </c>
      <c r="O23" s="106" t="str">
        <f>IFERROR(VLOOKUP(TableHandbook[[#This Row],[UDC]],TableSPUCENVSP[],7,FALSE),"")</f>
        <v/>
      </c>
      <c r="P23" s="106" t="str">
        <f>IFERROR(VLOOKUP(TableHandbook[[#This Row],[UDC]],TableSPUCGRAPH[],7,FALSE),"")</f>
        <v/>
      </c>
      <c r="Q23" s="106" t="str">
        <f>IFERROR(VLOOKUP(TableHandbook[[#This Row],[UDC]],TableSPUCINTLD[],7,FALSE),"")</f>
        <v>Core</v>
      </c>
      <c r="R23" s="107" t="str">
        <f>IFERROR(VLOOKUP(TableHandbook[[#This Row],[UDC]],TableSPUCLANDN[],7,FALSE),"")</f>
        <v/>
      </c>
      <c r="S23" s="187" t="str">
        <f>IFERROR(VLOOKUP(TableHandbook[[#This Row],[UDC]],TableSPUCSOCJU[],7,FALSE),"")</f>
        <v/>
      </c>
      <c r="T23" s="226" t="str">
        <f>IFERROR(VLOOKUP(TableHandbook[[#This Row],[UDC]],TableUHGEOGY[],7,FALSE),"")</f>
        <v>Option</v>
      </c>
      <c r="U23" s="226" t="str">
        <f>IFERROR(VLOOKUP(TableHandbook[[#This Row],[UDC]],TableUHURPLAN[],7,FALSE),"")</f>
        <v/>
      </c>
    </row>
    <row r="24" spans="1:21" x14ac:dyDescent="0.25">
      <c r="A24" s="232" t="s">
        <v>285</v>
      </c>
      <c r="B24" s="230">
        <v>1</v>
      </c>
      <c r="C24" s="229"/>
      <c r="D24" s="229" t="s">
        <v>286</v>
      </c>
      <c r="E24" s="230">
        <v>25</v>
      </c>
      <c r="F24" s="209" t="s">
        <v>170</v>
      </c>
      <c r="G24" s="233" t="str">
        <f>IFERROR(IF(VLOOKUP(TableHandbook[[#This Row],[UDC]],TableAvailabilities[],2,FALSE)&gt;0,"Y",""),"")</f>
        <v>Y</v>
      </c>
      <c r="H24" s="234" t="str">
        <f>IFERROR(IF(VLOOKUP(TableHandbook[[#This Row],[UDC]],TableAvailabilities[],3,FALSE)&gt;0,"Y",""),"")</f>
        <v>Y</v>
      </c>
      <c r="I24" s="235" t="str">
        <f>IFERROR(IF(VLOOKUP(TableHandbook[[#This Row],[UDC]],TableAvailabilities[],4,FALSE)&gt;0,"Y",""),"")</f>
        <v/>
      </c>
      <c r="J24" s="236" t="str">
        <f>IFERROR(IF(VLOOKUP(TableHandbook[[#This Row],[UDC]],TableAvailabilities[],5,FALSE)&gt;0,"Y",""),"")</f>
        <v/>
      </c>
      <c r="K24" s="173"/>
      <c r="L24" s="237" t="str">
        <f>IFERROR(VLOOKUP(TableHandbook[[#This Row],[UDC]],TableBURPLAN2[],7,FALSE),"")</f>
        <v/>
      </c>
      <c r="M24" s="238" t="str">
        <f>IFERROR(VLOOKUP(TableHandbook[[#This Row],[UDC]],TableSTRHURPLN[],7,FALSE),"")</f>
        <v/>
      </c>
      <c r="N24" s="238" t="str">
        <f>IFERROR(VLOOKUP(TableHandbook[[#This Row],[UDC]],TableSTRUURPLN[],7,FALSE),"")</f>
        <v/>
      </c>
      <c r="O24" s="238" t="str">
        <f>IFERROR(VLOOKUP(TableHandbook[[#This Row],[UDC]],TableSPUCENVSP[],7,FALSE),"")</f>
        <v/>
      </c>
      <c r="P24" s="238" t="str">
        <f>IFERROR(VLOOKUP(TableHandbook[[#This Row],[UDC]],TableSPUCGRAPH[],7,FALSE),"")</f>
        <v/>
      </c>
      <c r="Q24" s="238" t="str">
        <f>IFERROR(VLOOKUP(TableHandbook[[#This Row],[UDC]],TableSPUCINTLD[],7,FALSE),"")</f>
        <v/>
      </c>
      <c r="R24" s="239" t="str">
        <f>IFERROR(VLOOKUP(TableHandbook[[#This Row],[UDC]],TableSPUCLANDN[],7,FALSE),"")</f>
        <v/>
      </c>
      <c r="S24" s="240" t="str">
        <f>IFERROR(VLOOKUP(TableHandbook[[#This Row],[UDC]],TableSPUCSOCJU[],7,FALSE),"")</f>
        <v/>
      </c>
      <c r="T24" s="228" t="str">
        <f>IFERROR(VLOOKUP(TableHandbook[[#This Row],[UDC]],TableUHGEOGY[],7,FALSE),"")</f>
        <v>Option</v>
      </c>
      <c r="U24" s="228" t="str">
        <f>IFERROR(VLOOKUP(TableHandbook[[#This Row],[UDC]],TableUHURPLAN[],7,FALSE),"")</f>
        <v/>
      </c>
    </row>
    <row r="25" spans="1:21" x14ac:dyDescent="0.25">
      <c r="A25" s="8" t="s">
        <v>137</v>
      </c>
      <c r="B25" s="92">
        <v>1</v>
      </c>
      <c r="C25" s="8"/>
      <c r="D25" s="8" t="s">
        <v>186</v>
      </c>
      <c r="E25" s="92">
        <v>25</v>
      </c>
      <c r="F25" s="103" t="s">
        <v>170</v>
      </c>
      <c r="G25" s="123" t="str">
        <f>IFERROR(IF(VLOOKUP(TableHandbook[[#This Row],[UDC]],TableAvailabilities[],2,FALSE)&gt;0,"Y",""),"")</f>
        <v>Y</v>
      </c>
      <c r="H25" s="124" t="str">
        <f>IFERROR(IF(VLOOKUP(TableHandbook[[#This Row],[UDC]],TableAvailabilities[],3,FALSE)&gt;0,"Y",""),"")</f>
        <v>Y</v>
      </c>
      <c r="I25" s="125" t="str">
        <f>IFERROR(IF(VLOOKUP(TableHandbook[[#This Row],[UDC]],TableAvailabilities[],4,FALSE)&gt;0,"Y",""),"")</f>
        <v/>
      </c>
      <c r="J25" s="126" t="str">
        <f>IFERROR(IF(VLOOKUP(TableHandbook[[#This Row],[UDC]],TableAvailabilities[],5,FALSE)&gt;0,"Y",""),"")</f>
        <v/>
      </c>
      <c r="K25" s="173"/>
      <c r="L25" s="186" t="str">
        <f>IFERROR(VLOOKUP(TableHandbook[[#This Row],[UDC]],TableBURPLAN2[],7,FALSE),"")</f>
        <v/>
      </c>
      <c r="M25" s="106" t="str">
        <f>IFERROR(VLOOKUP(TableHandbook[[#This Row],[UDC]],TableSTRHURPLN[],7,FALSE),"")</f>
        <v/>
      </c>
      <c r="N25" s="106" t="str">
        <f>IFERROR(VLOOKUP(TableHandbook[[#This Row],[UDC]],TableSTRUURPLN[],7,FALSE),"")</f>
        <v/>
      </c>
      <c r="O25" s="106" t="str">
        <f>IFERROR(VLOOKUP(TableHandbook[[#This Row],[UDC]],TableSPUCENVSP[],7,FALSE),"")</f>
        <v/>
      </c>
      <c r="P25" s="106" t="str">
        <f>IFERROR(VLOOKUP(TableHandbook[[#This Row],[UDC]],TableSPUCGRAPH[],7,FALSE),"")</f>
        <v/>
      </c>
      <c r="Q25" s="106" t="str">
        <f>IFERROR(VLOOKUP(TableHandbook[[#This Row],[UDC]],TableSPUCINTLD[],7,FALSE),"")</f>
        <v>Core</v>
      </c>
      <c r="R25" s="107" t="str">
        <f>IFERROR(VLOOKUP(TableHandbook[[#This Row],[UDC]],TableSPUCLANDN[],7,FALSE),"")</f>
        <v>AltCore</v>
      </c>
      <c r="S25" s="187" t="str">
        <f>IFERROR(VLOOKUP(TableHandbook[[#This Row],[UDC]],TableSPUCSOCJU[],7,FALSE),"")</f>
        <v/>
      </c>
      <c r="T25" s="226" t="str">
        <f>IFERROR(VLOOKUP(TableHandbook[[#This Row],[UDC]],TableUHGEOGY[],7,FALSE),"")</f>
        <v/>
      </c>
      <c r="U25" s="226" t="str">
        <f>IFERROR(VLOOKUP(TableHandbook[[#This Row],[UDC]],TableUHURPLAN[],7,FALSE),"")</f>
        <v/>
      </c>
    </row>
    <row r="26" spans="1:21" x14ac:dyDescent="0.25">
      <c r="A26" s="8" t="s">
        <v>124</v>
      </c>
      <c r="B26" s="92">
        <v>2</v>
      </c>
      <c r="C26" s="8"/>
      <c r="D26" s="8" t="s">
        <v>187</v>
      </c>
      <c r="E26" s="92">
        <v>25</v>
      </c>
      <c r="F26" s="103" t="s">
        <v>170</v>
      </c>
      <c r="G26" s="123" t="str">
        <f>IFERROR(IF(VLOOKUP(TableHandbook[[#This Row],[UDC]],TableAvailabilities[],2,FALSE)&gt;0,"Y",""),"")</f>
        <v>Y</v>
      </c>
      <c r="H26" s="124" t="str">
        <f>IFERROR(IF(VLOOKUP(TableHandbook[[#This Row],[UDC]],TableAvailabilities[],3,FALSE)&gt;0,"Y",""),"")</f>
        <v/>
      </c>
      <c r="I26" s="125" t="str">
        <f>IFERROR(IF(VLOOKUP(TableHandbook[[#This Row],[UDC]],TableAvailabilities[],4,FALSE)&gt;0,"Y",""),"")</f>
        <v>Y</v>
      </c>
      <c r="J26" s="126" t="str">
        <f>IFERROR(IF(VLOOKUP(TableHandbook[[#This Row],[UDC]],TableAvailabilities[],5,FALSE)&gt;0,"Y",""),"")</f>
        <v/>
      </c>
      <c r="K26" s="173"/>
      <c r="L26" s="186" t="str">
        <f>IFERROR(VLOOKUP(TableHandbook[[#This Row],[UDC]],TableBURPLAN2[],7,FALSE),"")</f>
        <v/>
      </c>
      <c r="M26" s="106" t="str">
        <f>IFERROR(VLOOKUP(TableHandbook[[#This Row],[UDC]],TableSTRHURPLN[],7,FALSE),"")</f>
        <v/>
      </c>
      <c r="N26" s="106" t="str">
        <f>IFERROR(VLOOKUP(TableHandbook[[#This Row],[UDC]],TableSTRUURPLN[],7,FALSE),"")</f>
        <v/>
      </c>
      <c r="O26" s="106" t="str">
        <f>IFERROR(VLOOKUP(TableHandbook[[#This Row],[UDC]],TableSPUCENVSP[],7,FALSE),"")</f>
        <v/>
      </c>
      <c r="P26" s="106" t="str">
        <f>IFERROR(VLOOKUP(TableHandbook[[#This Row],[UDC]],TableSPUCGRAPH[],7,FALSE),"")</f>
        <v>Core</v>
      </c>
      <c r="Q26" s="106" t="str">
        <f>IFERROR(VLOOKUP(TableHandbook[[#This Row],[UDC]],TableSPUCINTLD[],7,FALSE),"")</f>
        <v/>
      </c>
      <c r="R26" s="107" t="str">
        <f>IFERROR(VLOOKUP(TableHandbook[[#This Row],[UDC]],TableSPUCLANDN[],7,FALSE),"")</f>
        <v/>
      </c>
      <c r="S26" s="187" t="str">
        <f>IFERROR(VLOOKUP(TableHandbook[[#This Row],[UDC]],TableSPUCSOCJU[],7,FALSE),"")</f>
        <v/>
      </c>
      <c r="T26" s="226" t="str">
        <f>IFERROR(VLOOKUP(TableHandbook[[#This Row],[UDC]],TableUHGEOGY[],7,FALSE),"")</f>
        <v/>
      </c>
      <c r="U26" s="226" t="str">
        <f>IFERROR(VLOOKUP(TableHandbook[[#This Row],[UDC]],TableUHURPLAN[],7,FALSE),"")</f>
        <v/>
      </c>
    </row>
    <row r="27" spans="1:21" x14ac:dyDescent="0.25">
      <c r="A27" s="8" t="s">
        <v>130</v>
      </c>
      <c r="B27" s="92">
        <v>1</v>
      </c>
      <c r="C27" s="8"/>
      <c r="D27" s="8" t="s">
        <v>188</v>
      </c>
      <c r="E27" s="92">
        <v>25</v>
      </c>
      <c r="F27" s="103" t="s">
        <v>170</v>
      </c>
      <c r="G27" s="123" t="str">
        <f>IFERROR(IF(VLOOKUP(TableHandbook[[#This Row],[UDC]],TableAvailabilities[],2,FALSE)&gt;0,"Y",""),"")</f>
        <v>Y</v>
      </c>
      <c r="H27" s="124" t="str">
        <f>IFERROR(IF(VLOOKUP(TableHandbook[[#This Row],[UDC]],TableAvailabilities[],3,FALSE)&gt;0,"Y",""),"")</f>
        <v/>
      </c>
      <c r="I27" s="125" t="str">
        <f>IFERROR(IF(VLOOKUP(TableHandbook[[#This Row],[UDC]],TableAvailabilities[],4,FALSE)&gt;0,"Y",""),"")</f>
        <v>Y</v>
      </c>
      <c r="J27" s="126" t="str">
        <f>IFERROR(IF(VLOOKUP(TableHandbook[[#This Row],[UDC]],TableAvailabilities[],5,FALSE)&gt;0,"Y",""),"")</f>
        <v/>
      </c>
      <c r="K27" s="173"/>
      <c r="L27" s="186" t="str">
        <f>IFERROR(VLOOKUP(TableHandbook[[#This Row],[UDC]],TableBURPLAN2[],7,FALSE),"")</f>
        <v/>
      </c>
      <c r="M27" s="106" t="str">
        <f>IFERROR(VLOOKUP(TableHandbook[[#This Row],[UDC]],TableSTRHURPLN[],7,FALSE),"")</f>
        <v/>
      </c>
      <c r="N27" s="106" t="str">
        <f>IFERROR(VLOOKUP(TableHandbook[[#This Row],[UDC]],TableSTRUURPLN[],7,FALSE),"")</f>
        <v/>
      </c>
      <c r="O27" s="106" t="str">
        <f>IFERROR(VLOOKUP(TableHandbook[[#This Row],[UDC]],TableSPUCENVSP[],7,FALSE),"")</f>
        <v/>
      </c>
      <c r="P27" s="106" t="str">
        <f>IFERROR(VLOOKUP(TableHandbook[[#This Row],[UDC]],TableSPUCGRAPH[],7,FALSE),"")</f>
        <v>Core</v>
      </c>
      <c r="Q27" s="106" t="str">
        <f>IFERROR(VLOOKUP(TableHandbook[[#This Row],[UDC]],TableSPUCINTLD[],7,FALSE),"")</f>
        <v/>
      </c>
      <c r="R27" s="107" t="str">
        <f>IFERROR(VLOOKUP(TableHandbook[[#This Row],[UDC]],TableSPUCLANDN[],7,FALSE),"")</f>
        <v/>
      </c>
      <c r="S27" s="187" t="str">
        <f>IFERROR(VLOOKUP(TableHandbook[[#This Row],[UDC]],TableSPUCSOCJU[],7,FALSE),"")</f>
        <v/>
      </c>
      <c r="T27" s="226" t="str">
        <f>IFERROR(VLOOKUP(TableHandbook[[#This Row],[UDC]],TableUHGEOGY[],7,FALSE),"")</f>
        <v/>
      </c>
      <c r="U27" s="226" t="str">
        <f>IFERROR(VLOOKUP(TableHandbook[[#This Row],[UDC]],TableUHURPLAN[],7,FALSE),"")</f>
        <v/>
      </c>
    </row>
    <row r="28" spans="1:21" x14ac:dyDescent="0.25">
      <c r="A28" s="8" t="s">
        <v>136</v>
      </c>
      <c r="B28" s="92">
        <v>1</v>
      </c>
      <c r="C28" s="8"/>
      <c r="D28" s="8" t="s">
        <v>189</v>
      </c>
      <c r="E28" s="92">
        <v>25</v>
      </c>
      <c r="F28" s="103" t="s">
        <v>288</v>
      </c>
      <c r="G28" s="123" t="str">
        <f>IFERROR(IF(VLOOKUP(TableHandbook[[#This Row],[UDC]],TableAvailabilities[],2,FALSE)&gt;0,"Y",""),"")</f>
        <v>Y</v>
      </c>
      <c r="H28" s="124" t="str">
        <f>IFERROR(IF(VLOOKUP(TableHandbook[[#This Row],[UDC]],TableAvailabilities[],3,FALSE)&gt;0,"Y",""),"")</f>
        <v/>
      </c>
      <c r="I28" s="125" t="str">
        <f>IFERROR(IF(VLOOKUP(TableHandbook[[#This Row],[UDC]],TableAvailabilities[],4,FALSE)&gt;0,"Y",""),"")</f>
        <v/>
      </c>
      <c r="J28" s="126" t="str">
        <f>IFERROR(IF(VLOOKUP(TableHandbook[[#This Row],[UDC]],TableAvailabilities[],5,FALSE)&gt;0,"Y",""),"")</f>
        <v/>
      </c>
      <c r="K28" s="173"/>
      <c r="L28" s="186" t="str">
        <f>IFERROR(VLOOKUP(TableHandbook[[#This Row],[UDC]],TableBURPLAN2[],7,FALSE),"")</f>
        <v/>
      </c>
      <c r="M28" s="106" t="str">
        <f>IFERROR(VLOOKUP(TableHandbook[[#This Row],[UDC]],TableSTRHURPLN[],7,FALSE),"")</f>
        <v/>
      </c>
      <c r="N28" s="106" t="str">
        <f>IFERROR(VLOOKUP(TableHandbook[[#This Row],[UDC]],TableSTRUURPLN[],7,FALSE),"")</f>
        <v/>
      </c>
      <c r="O28" s="106" t="str">
        <f>IFERROR(VLOOKUP(TableHandbook[[#This Row],[UDC]],TableSPUCENVSP[],7,FALSE),"")</f>
        <v/>
      </c>
      <c r="P28" s="106" t="str">
        <f>IFERROR(VLOOKUP(TableHandbook[[#This Row],[UDC]],TableSPUCGRAPH[],7,FALSE),"")</f>
        <v>Core</v>
      </c>
      <c r="Q28" s="106" t="str">
        <f>IFERROR(VLOOKUP(TableHandbook[[#This Row],[UDC]],TableSPUCINTLD[],7,FALSE),"")</f>
        <v/>
      </c>
      <c r="R28" s="107" t="str">
        <f>IFERROR(VLOOKUP(TableHandbook[[#This Row],[UDC]],TableSPUCLANDN[],7,FALSE),"")</f>
        <v/>
      </c>
      <c r="S28" s="187" t="str">
        <f>IFERROR(VLOOKUP(TableHandbook[[#This Row],[UDC]],TableSPUCSOCJU[],7,FALSE),"")</f>
        <v/>
      </c>
      <c r="T28" s="226" t="str">
        <f>IFERROR(VLOOKUP(TableHandbook[[#This Row],[UDC]],TableUHGEOGY[],7,FALSE),"")</f>
        <v/>
      </c>
      <c r="U28" s="226" t="str">
        <f>IFERROR(VLOOKUP(TableHandbook[[#This Row],[UDC]],TableUHURPLAN[],7,FALSE),"")</f>
        <v/>
      </c>
    </row>
    <row r="29" spans="1:21" x14ac:dyDescent="0.25">
      <c r="A29" s="232" t="s">
        <v>283</v>
      </c>
      <c r="B29" s="230">
        <v>0</v>
      </c>
      <c r="C29" s="229"/>
      <c r="D29" s="229" t="s">
        <v>292</v>
      </c>
      <c r="E29" s="230">
        <v>25</v>
      </c>
      <c r="F29" s="231" t="s">
        <v>193</v>
      </c>
      <c r="G29" s="233" t="str">
        <f>IFERROR(IF(VLOOKUP(TableHandbook[[#This Row],[UDC]],TableAvailabilities[],2,FALSE)&gt;0,"Y",""),"")</f>
        <v/>
      </c>
      <c r="H29" s="234" t="str">
        <f>IFERROR(IF(VLOOKUP(TableHandbook[[#This Row],[UDC]],TableAvailabilities[],3,FALSE)&gt;0,"Y",""),"")</f>
        <v/>
      </c>
      <c r="I29" s="235" t="str">
        <f>IFERROR(IF(VLOOKUP(TableHandbook[[#This Row],[UDC]],TableAvailabilities[],4,FALSE)&gt;0,"Y",""),"")</f>
        <v/>
      </c>
      <c r="J29" s="236" t="str">
        <f>IFERROR(IF(VLOOKUP(TableHandbook[[#This Row],[UDC]],TableAvailabilities[],5,FALSE)&gt;0,"Y",""),"")</f>
        <v/>
      </c>
      <c r="K29" s="173"/>
      <c r="L29" s="237" t="str">
        <f>IFERROR(VLOOKUP(TableHandbook[[#This Row],[UDC]],TableBURPLAN2[],7,FALSE),"")</f>
        <v/>
      </c>
      <c r="M29" s="238" t="str">
        <f>IFERROR(VLOOKUP(TableHandbook[[#This Row],[UDC]],TableSTRHURPLN[],7,FALSE),"")</f>
        <v/>
      </c>
      <c r="N29" s="238" t="str">
        <f>IFERROR(VLOOKUP(TableHandbook[[#This Row],[UDC]],TableSTRUURPLN[],7,FALSE),"")</f>
        <v/>
      </c>
      <c r="O29" s="238" t="str">
        <f>IFERROR(VLOOKUP(TableHandbook[[#This Row],[UDC]],TableSPUCENVSP[],7,FALSE),"")</f>
        <v/>
      </c>
      <c r="P29" s="238" t="str">
        <f>IFERROR(VLOOKUP(TableHandbook[[#This Row],[UDC]],TableSPUCGRAPH[],7,FALSE),"")</f>
        <v/>
      </c>
      <c r="Q29" s="238" t="str">
        <f>IFERROR(VLOOKUP(TableHandbook[[#This Row],[UDC]],TableSPUCINTLD[],7,FALSE),"")</f>
        <v/>
      </c>
      <c r="R29" s="239" t="str">
        <f>IFERROR(VLOOKUP(TableHandbook[[#This Row],[UDC]],TableSPUCLANDN[],7,FALSE),"")</f>
        <v/>
      </c>
      <c r="S29" s="240" t="str">
        <f>IFERROR(VLOOKUP(TableHandbook[[#This Row],[UDC]],TableSPUCSOCJU[],7,FALSE),"")</f>
        <v/>
      </c>
      <c r="T29" s="228" t="str">
        <f>IFERROR(VLOOKUP(TableHandbook[[#This Row],[UDC]],TableUHGEOGY[],7,FALSE),"")</f>
        <v>Option</v>
      </c>
      <c r="U29" s="228" t="str">
        <f>IFERROR(VLOOKUP(TableHandbook[[#This Row],[UDC]],TableUHURPLAN[],7,FALSE),"")</f>
        <v/>
      </c>
    </row>
    <row r="30" spans="1:21" x14ac:dyDescent="0.25">
      <c r="A30" s="232" t="s">
        <v>281</v>
      </c>
      <c r="B30" s="230">
        <v>1</v>
      </c>
      <c r="C30" s="229"/>
      <c r="D30" s="229" t="s">
        <v>282</v>
      </c>
      <c r="E30" s="230">
        <v>25</v>
      </c>
      <c r="F30" s="209" t="s">
        <v>170</v>
      </c>
      <c r="G30" s="233" t="str">
        <f>IFERROR(IF(VLOOKUP(TableHandbook[[#This Row],[UDC]],TableAvailabilities[],2,FALSE)&gt;0,"Y",""),"")</f>
        <v/>
      </c>
      <c r="H30" s="234" t="str">
        <f>IFERROR(IF(VLOOKUP(TableHandbook[[#This Row],[UDC]],TableAvailabilities[],3,FALSE)&gt;0,"Y",""),"")</f>
        <v/>
      </c>
      <c r="I30" s="235" t="str">
        <f>IFERROR(IF(VLOOKUP(TableHandbook[[#This Row],[UDC]],TableAvailabilities[],4,FALSE)&gt;0,"Y",""),"")</f>
        <v>Y</v>
      </c>
      <c r="J30" s="236" t="str">
        <f>IFERROR(IF(VLOOKUP(TableHandbook[[#This Row],[UDC]],TableAvailabilities[],5,FALSE)&gt;0,"Y",""),"")</f>
        <v>Y</v>
      </c>
      <c r="K30" s="173"/>
      <c r="L30" s="237" t="str">
        <f>IFERROR(VLOOKUP(TableHandbook[[#This Row],[UDC]],TableBURPLAN2[],7,FALSE),"")</f>
        <v/>
      </c>
      <c r="M30" s="238" t="str">
        <f>IFERROR(VLOOKUP(TableHandbook[[#This Row],[UDC]],TableSTRHURPLN[],7,FALSE),"")</f>
        <v/>
      </c>
      <c r="N30" s="238" t="str">
        <f>IFERROR(VLOOKUP(TableHandbook[[#This Row],[UDC]],TableSTRUURPLN[],7,FALSE),"")</f>
        <v/>
      </c>
      <c r="O30" s="238" t="str">
        <f>IFERROR(VLOOKUP(TableHandbook[[#This Row],[UDC]],TableSPUCENVSP[],7,FALSE),"")</f>
        <v/>
      </c>
      <c r="P30" s="238" t="str">
        <f>IFERROR(VLOOKUP(TableHandbook[[#This Row],[UDC]],TableSPUCGRAPH[],7,FALSE),"")</f>
        <v/>
      </c>
      <c r="Q30" s="238" t="str">
        <f>IFERROR(VLOOKUP(TableHandbook[[#This Row],[UDC]],TableSPUCINTLD[],7,FALSE),"")</f>
        <v/>
      </c>
      <c r="R30" s="239" t="str">
        <f>IFERROR(VLOOKUP(TableHandbook[[#This Row],[UDC]],TableSPUCLANDN[],7,FALSE),"")</f>
        <v/>
      </c>
      <c r="S30" s="240" t="str">
        <f>IFERROR(VLOOKUP(TableHandbook[[#This Row],[UDC]],TableSPUCSOCJU[],7,FALSE),"")</f>
        <v/>
      </c>
      <c r="T30" s="228" t="str">
        <f>IFERROR(VLOOKUP(TableHandbook[[#This Row],[UDC]],TableUHGEOGY[],7,FALSE),"")</f>
        <v>Core</v>
      </c>
      <c r="U30" s="228" t="str">
        <f>IFERROR(VLOOKUP(TableHandbook[[#This Row],[UDC]],TableUHURPLAN[],7,FALSE),"")</f>
        <v/>
      </c>
    </row>
    <row r="31" spans="1:21" x14ac:dyDescent="0.25">
      <c r="A31" s="8" t="s">
        <v>149</v>
      </c>
      <c r="B31" s="92">
        <v>1</v>
      </c>
      <c r="C31" s="8"/>
      <c r="D31" s="8" t="s">
        <v>190</v>
      </c>
      <c r="E31" s="92">
        <v>25</v>
      </c>
      <c r="F31" s="103" t="s">
        <v>170</v>
      </c>
      <c r="G31" s="123" t="str">
        <f>IFERROR(IF(VLOOKUP(TableHandbook[[#This Row],[UDC]],TableAvailabilities[],2,FALSE)&gt;0,"Y",""),"")</f>
        <v/>
      </c>
      <c r="H31" s="124" t="str">
        <f>IFERROR(IF(VLOOKUP(TableHandbook[[#This Row],[UDC]],TableAvailabilities[],3,FALSE)&gt;0,"Y",""),"")</f>
        <v/>
      </c>
      <c r="I31" s="125" t="str">
        <f>IFERROR(IF(VLOOKUP(TableHandbook[[#This Row],[UDC]],TableAvailabilities[],4,FALSE)&gt;0,"Y",""),"")</f>
        <v>Y</v>
      </c>
      <c r="J31" s="126" t="str">
        <f>IFERROR(IF(VLOOKUP(TableHandbook[[#This Row],[UDC]],TableAvailabilities[],5,FALSE)&gt;0,"Y",""),"")</f>
        <v>Y</v>
      </c>
      <c r="K31" s="173"/>
      <c r="L31" s="186" t="str">
        <f>IFERROR(VLOOKUP(TableHandbook[[#This Row],[UDC]],TableBURPLAN2[],7,FALSE),"")</f>
        <v/>
      </c>
      <c r="M31" s="106" t="str">
        <f>IFERROR(VLOOKUP(TableHandbook[[#This Row],[UDC]],TableSTRHURPLN[],7,FALSE),"")</f>
        <v/>
      </c>
      <c r="N31" s="106" t="str">
        <f>IFERROR(VLOOKUP(TableHandbook[[#This Row],[UDC]],TableSTRUURPLN[],7,FALSE),"")</f>
        <v/>
      </c>
      <c r="O31" s="106" t="str">
        <f>IFERROR(VLOOKUP(TableHandbook[[#This Row],[UDC]],TableSPUCENVSP[],7,FALSE),"")</f>
        <v/>
      </c>
      <c r="P31" s="106" t="str">
        <f>IFERROR(VLOOKUP(TableHandbook[[#This Row],[UDC]],TableSPUCGRAPH[],7,FALSE),"")</f>
        <v/>
      </c>
      <c r="Q31" s="106" t="str">
        <f>IFERROR(VLOOKUP(TableHandbook[[#This Row],[UDC]],TableSPUCINTLD[],7,FALSE),"")</f>
        <v/>
      </c>
      <c r="R31" s="107" t="str">
        <f>IFERROR(VLOOKUP(TableHandbook[[#This Row],[UDC]],TableSPUCLANDN[],7,FALSE),"")</f>
        <v>AltCore</v>
      </c>
      <c r="S31" s="187" t="str">
        <f>IFERROR(VLOOKUP(TableHandbook[[#This Row],[UDC]],TableSPUCSOCJU[],7,FALSE),"")</f>
        <v/>
      </c>
      <c r="T31" s="226" t="str">
        <f>IFERROR(VLOOKUP(TableHandbook[[#This Row],[UDC]],TableUHGEOGY[],7,FALSE),"")</f>
        <v>Core</v>
      </c>
      <c r="U31" s="226" t="str">
        <f>IFERROR(VLOOKUP(TableHandbook[[#This Row],[UDC]],TableUHURPLAN[],7,FALSE),"")</f>
        <v/>
      </c>
    </row>
    <row r="32" spans="1:21" x14ac:dyDescent="0.25">
      <c r="A32" s="8" t="s">
        <v>126</v>
      </c>
      <c r="B32" s="92">
        <v>3</v>
      </c>
      <c r="C32" s="8"/>
      <c r="D32" s="8" t="s">
        <v>191</v>
      </c>
      <c r="E32" s="92">
        <v>25</v>
      </c>
      <c r="F32" s="103" t="s">
        <v>170</v>
      </c>
      <c r="G32" s="123" t="str">
        <f>IFERROR(IF(VLOOKUP(TableHandbook[[#This Row],[UDC]],TableAvailabilities[],2,FALSE)&gt;0,"Y",""),"")</f>
        <v/>
      </c>
      <c r="H32" s="124" t="str">
        <f>IFERROR(IF(VLOOKUP(TableHandbook[[#This Row],[UDC]],TableAvailabilities[],3,FALSE)&gt;0,"Y",""),"")</f>
        <v/>
      </c>
      <c r="I32" s="125" t="str">
        <f>IFERROR(IF(VLOOKUP(TableHandbook[[#This Row],[UDC]],TableAvailabilities[],4,FALSE)&gt;0,"Y",""),"")</f>
        <v>Y</v>
      </c>
      <c r="J32" s="126" t="str">
        <f>IFERROR(IF(VLOOKUP(TableHandbook[[#This Row],[UDC]],TableAvailabilities[],5,FALSE)&gt;0,"Y",""),"")</f>
        <v>Y</v>
      </c>
      <c r="K32" s="173"/>
      <c r="L32" s="186" t="str">
        <f>IFERROR(VLOOKUP(TableHandbook[[#This Row],[UDC]],TableBURPLAN2[],7,FALSE),"")</f>
        <v/>
      </c>
      <c r="M32" s="106" t="str">
        <f>IFERROR(VLOOKUP(TableHandbook[[#This Row],[UDC]],TableSTRHURPLN[],7,FALSE),"")</f>
        <v/>
      </c>
      <c r="N32" s="106" t="str">
        <f>IFERROR(VLOOKUP(TableHandbook[[#This Row],[UDC]],TableSTRUURPLN[],7,FALSE),"")</f>
        <v/>
      </c>
      <c r="O32" s="106" t="str">
        <f>IFERROR(VLOOKUP(TableHandbook[[#This Row],[UDC]],TableSPUCENVSP[],7,FALSE),"")</f>
        <v/>
      </c>
      <c r="P32" s="106" t="str">
        <f>IFERROR(VLOOKUP(TableHandbook[[#This Row],[UDC]],TableSPUCGRAPH[],7,FALSE),"")</f>
        <v/>
      </c>
      <c r="Q32" s="106" t="str">
        <f>IFERROR(VLOOKUP(TableHandbook[[#This Row],[UDC]],TableSPUCINTLD[],7,FALSE),"")</f>
        <v/>
      </c>
      <c r="R32" s="107" t="str">
        <f>IFERROR(VLOOKUP(TableHandbook[[#This Row],[UDC]],TableSPUCLANDN[],7,FALSE),"")</f>
        <v>Core</v>
      </c>
      <c r="S32" s="187" t="str">
        <f>IFERROR(VLOOKUP(TableHandbook[[#This Row],[UDC]],TableSPUCSOCJU[],7,FALSE),"")</f>
        <v/>
      </c>
      <c r="T32" s="226" t="str">
        <f>IFERROR(VLOOKUP(TableHandbook[[#This Row],[UDC]],TableUHGEOGY[],7,FALSE),"")</f>
        <v/>
      </c>
      <c r="U32" s="226" t="str">
        <f>IFERROR(VLOOKUP(TableHandbook[[#This Row],[UDC]],TableUHURPLAN[],7,FALSE),"")</f>
        <v/>
      </c>
    </row>
    <row r="33" spans="1:21" x14ac:dyDescent="0.25">
      <c r="A33" s="207" t="s">
        <v>264</v>
      </c>
      <c r="B33" s="208">
        <v>1</v>
      </c>
      <c r="C33" s="207"/>
      <c r="D33" s="207" t="s">
        <v>265</v>
      </c>
      <c r="E33" s="208">
        <v>25</v>
      </c>
      <c r="F33" s="209" t="s">
        <v>170</v>
      </c>
      <c r="G33" s="123" t="str">
        <f>IFERROR(IF(VLOOKUP(TableHandbook[[#This Row],[UDC]],TableAvailabilities[],2,FALSE)&gt;0,"Y",""),"")</f>
        <v>Y</v>
      </c>
      <c r="H33" s="124" t="str">
        <f>IFERROR(IF(VLOOKUP(TableHandbook[[#This Row],[UDC]],TableAvailabilities[],3,FALSE)&gt;0,"Y",""),"")</f>
        <v>Y</v>
      </c>
      <c r="I33" s="125" t="str">
        <f>IFERROR(IF(VLOOKUP(TableHandbook[[#This Row],[UDC]],TableAvailabilities[],4,FALSE)&gt;0,"Y",""),"")</f>
        <v/>
      </c>
      <c r="J33" s="126" t="str">
        <f>IFERROR(IF(VLOOKUP(TableHandbook[[#This Row],[UDC]],TableAvailabilities[],5,FALSE)&gt;0,"Y",""),"")</f>
        <v/>
      </c>
      <c r="K33" s="173" t="s">
        <v>267</v>
      </c>
      <c r="L33" s="186" t="str">
        <f>IFERROR(VLOOKUP(TableHandbook[[#This Row],[UDC]],TableBURPLAN2[],7,FALSE),"")</f>
        <v/>
      </c>
      <c r="M33" s="106" t="str">
        <f>IFERROR(VLOOKUP(TableHandbook[[#This Row],[UDC]],TableSTRHURPLN[],7,FALSE),"")</f>
        <v/>
      </c>
      <c r="N33" s="106" t="str">
        <f>IFERROR(VLOOKUP(TableHandbook[[#This Row],[UDC]],TableSTRUURPLN[],7,FALSE),"")</f>
        <v/>
      </c>
      <c r="O33" s="106" t="str">
        <f>IFERROR(VLOOKUP(TableHandbook[[#This Row],[UDC]],TableSPUCENVSP[],7,FALSE),"")</f>
        <v/>
      </c>
      <c r="P33" s="106" t="str">
        <f>IFERROR(VLOOKUP(TableHandbook[[#This Row],[UDC]],TableSPUCGRAPH[],7,FALSE),"")</f>
        <v/>
      </c>
      <c r="Q33" s="106" t="str">
        <f>IFERROR(VLOOKUP(TableHandbook[[#This Row],[UDC]],TableSPUCINTLD[],7,FALSE),"")</f>
        <v/>
      </c>
      <c r="R33" s="107" t="str">
        <f>IFERROR(VLOOKUP(TableHandbook[[#This Row],[UDC]],TableSPUCLANDN[],7,FALSE),"")</f>
        <v>Core</v>
      </c>
      <c r="S33" s="187" t="str">
        <f>IFERROR(VLOOKUP(TableHandbook[[#This Row],[UDC]],TableSPUCSOCJU[],7,FALSE),"")</f>
        <v/>
      </c>
      <c r="T33" s="226" t="str">
        <f>IFERROR(VLOOKUP(TableHandbook[[#This Row],[UDC]],TableUHGEOGY[],7,FALSE),"")</f>
        <v/>
      </c>
      <c r="U33" s="226" t="str">
        <f>IFERROR(VLOOKUP(TableHandbook[[#This Row],[UDC]],TableUHURPLAN[],7,FALSE),"")</f>
        <v/>
      </c>
    </row>
    <row r="34" spans="1:21" x14ac:dyDescent="0.25">
      <c r="A34" s="8" t="s">
        <v>80</v>
      </c>
      <c r="B34" s="92"/>
      <c r="C34" s="8"/>
      <c r="D34" s="8" t="s">
        <v>192</v>
      </c>
      <c r="E34" s="92">
        <v>25</v>
      </c>
      <c r="F34" s="103" t="s">
        <v>193</v>
      </c>
      <c r="G34" s="123" t="str">
        <f>IFERROR(IF(VLOOKUP(TableHandbook[[#This Row],[UDC]],TableAvailabilities[],2,FALSE)&gt;0,"Y",""),"")</f>
        <v/>
      </c>
      <c r="H34" s="124" t="str">
        <f>IFERROR(IF(VLOOKUP(TableHandbook[[#This Row],[UDC]],TableAvailabilities[],3,FALSE)&gt;0,"Y",""),"")</f>
        <v/>
      </c>
      <c r="I34" s="125" t="str">
        <f>IFERROR(IF(VLOOKUP(TableHandbook[[#This Row],[UDC]],TableAvailabilities[],4,FALSE)&gt;0,"Y",""),"")</f>
        <v/>
      </c>
      <c r="J34" s="126" t="str">
        <f>IFERROR(IF(VLOOKUP(TableHandbook[[#This Row],[UDC]],TableAvailabilities[],5,FALSE)&gt;0,"Y",""),"")</f>
        <v/>
      </c>
      <c r="K34" s="173"/>
      <c r="L34" s="186" t="str">
        <f>IFERROR(VLOOKUP(TableHandbook[[#This Row],[UDC]],TableBURPLAN2[],7,FALSE),"")</f>
        <v/>
      </c>
      <c r="M34" s="106" t="str">
        <f>IFERROR(VLOOKUP(TableHandbook[[#This Row],[UDC]],TableSTRHURPLN[],7,FALSE),"")</f>
        <v/>
      </c>
      <c r="N34" s="106" t="str">
        <f>IFERROR(VLOOKUP(TableHandbook[[#This Row],[UDC]],TableSTRUURPLN[],7,FALSE),"")</f>
        <v/>
      </c>
      <c r="O34" s="106" t="str">
        <f>IFERROR(VLOOKUP(TableHandbook[[#This Row],[UDC]],TableSPUCENVSP[],7,FALSE),"")</f>
        <v/>
      </c>
      <c r="P34" s="106" t="str">
        <f>IFERROR(VLOOKUP(TableHandbook[[#This Row],[UDC]],TableSPUCGRAPH[],7,FALSE),"")</f>
        <v/>
      </c>
      <c r="Q34" s="106" t="str">
        <f>IFERROR(VLOOKUP(TableHandbook[[#This Row],[UDC]],TableSPUCINTLD[],7,FALSE),"")</f>
        <v/>
      </c>
      <c r="R34" s="107" t="str">
        <f>IFERROR(VLOOKUP(TableHandbook[[#This Row],[UDC]],TableSPUCLANDN[],7,FALSE),"")</f>
        <v/>
      </c>
      <c r="S34" s="187" t="str">
        <f>IFERROR(VLOOKUP(TableHandbook[[#This Row],[UDC]],TableSPUCSOCJU[],7,FALSE),"")</f>
        <v/>
      </c>
      <c r="T34" s="226" t="str">
        <f>IFERROR(VLOOKUP(TableHandbook[[#This Row],[UDC]],TableUHGEOGY[],7,FALSE),"")</f>
        <v/>
      </c>
      <c r="U34" s="226" t="str">
        <f>IFERROR(VLOOKUP(TableHandbook[[#This Row],[UDC]],TableUHURPLAN[],7,FALSE),"")</f>
        <v/>
      </c>
    </row>
    <row r="35" spans="1:21" x14ac:dyDescent="0.25">
      <c r="A35" s="8" t="s">
        <v>194</v>
      </c>
      <c r="B35" s="92">
        <v>0</v>
      </c>
      <c r="C35" s="8"/>
      <c r="D35" s="8" t="s">
        <v>195</v>
      </c>
      <c r="E35" s="92">
        <v>100</v>
      </c>
      <c r="F35" s="103" t="s">
        <v>117</v>
      </c>
      <c r="G35" s="123" t="str">
        <f>IFERROR(IF(VLOOKUP(TableHandbook[[#This Row],[UDC]],TableAvailabilities[],2,FALSE)&gt;0,"Y",""),"")</f>
        <v/>
      </c>
      <c r="H35" s="124" t="str">
        <f>IFERROR(IF(VLOOKUP(TableHandbook[[#This Row],[UDC]],TableAvailabilities[],3,FALSE)&gt;0,"Y",""),"")</f>
        <v/>
      </c>
      <c r="I35" s="125" t="str">
        <f>IFERROR(IF(VLOOKUP(TableHandbook[[#This Row],[UDC]],TableAvailabilities[],4,FALSE)&gt;0,"Y",""),"")</f>
        <v/>
      </c>
      <c r="J35" s="126" t="str">
        <f>IFERROR(IF(VLOOKUP(TableHandbook[[#This Row],[UDC]],TableAvailabilities[],5,FALSE)&gt;0,"Y",""),"")</f>
        <v/>
      </c>
      <c r="K35" s="173"/>
      <c r="L35" s="186" t="str">
        <f>IFERROR(VLOOKUP(TableHandbook[[#This Row],[UDC]],TableBURPLAN2[],7,FALSE),"")</f>
        <v>AltCore</v>
      </c>
      <c r="M35" s="106" t="str">
        <f>IFERROR(VLOOKUP(TableHandbook[[#This Row],[UDC]],TableSTRHURPLN[],7,FALSE),"")</f>
        <v/>
      </c>
      <c r="N35" s="106" t="str">
        <f>IFERROR(VLOOKUP(TableHandbook[[#This Row],[UDC]],TableSTRUURPLN[],7,FALSE),"")</f>
        <v/>
      </c>
      <c r="O35" s="106" t="str">
        <f>IFERROR(VLOOKUP(TableHandbook[[#This Row],[UDC]],TableSPUCENVSP[],7,FALSE),"")</f>
        <v/>
      </c>
      <c r="P35" s="106" t="str">
        <f>IFERROR(VLOOKUP(TableHandbook[[#This Row],[UDC]],TableSPUCGRAPH[],7,FALSE),"")</f>
        <v/>
      </c>
      <c r="Q35" s="106" t="str">
        <f>IFERROR(VLOOKUP(TableHandbook[[#This Row],[UDC]],TableSPUCINTLD[],7,FALSE),"")</f>
        <v/>
      </c>
      <c r="R35" s="107" t="str">
        <f>IFERROR(VLOOKUP(TableHandbook[[#This Row],[UDC]],TableSPUCLANDN[],7,FALSE),"")</f>
        <v/>
      </c>
      <c r="S35" s="187" t="str">
        <f>IFERROR(VLOOKUP(TableHandbook[[#This Row],[UDC]],TableSPUCSOCJU[],7,FALSE),"")</f>
        <v/>
      </c>
      <c r="T35" s="226" t="str">
        <f>IFERROR(VLOOKUP(TableHandbook[[#This Row],[UDC]],TableUHGEOGY[],7,FALSE),"")</f>
        <v/>
      </c>
      <c r="U35" s="226" t="str">
        <f>IFERROR(VLOOKUP(TableHandbook[[#This Row],[UDC]],TableUHURPLAN[],7,FALSE),"")</f>
        <v/>
      </c>
    </row>
    <row r="36" spans="1:21" x14ac:dyDescent="0.25">
      <c r="A36" s="8" t="s">
        <v>92</v>
      </c>
      <c r="B36" s="92">
        <v>1</v>
      </c>
      <c r="C36" s="8"/>
      <c r="D36" s="8" t="s">
        <v>13</v>
      </c>
      <c r="E36" s="92">
        <v>100</v>
      </c>
      <c r="F36" s="103" t="s">
        <v>117</v>
      </c>
      <c r="G36" s="123" t="str">
        <f>IFERROR(IF(VLOOKUP(TableHandbook[[#This Row],[UDC]],TableAvailabilities[],2,FALSE)&gt;0,"Y",""),"")</f>
        <v/>
      </c>
      <c r="H36" s="124" t="str">
        <f>IFERROR(IF(VLOOKUP(TableHandbook[[#This Row],[UDC]],TableAvailabilities[],3,FALSE)&gt;0,"Y",""),"")</f>
        <v/>
      </c>
      <c r="I36" s="125" t="str">
        <f>IFERROR(IF(VLOOKUP(TableHandbook[[#This Row],[UDC]],TableAvailabilities[],4,FALSE)&gt;0,"Y",""),"")</f>
        <v/>
      </c>
      <c r="J36" s="126" t="str">
        <f>IFERROR(IF(VLOOKUP(TableHandbook[[#This Row],[UDC]],TableAvailabilities[],5,FALSE)&gt;0,"Y",""),"")</f>
        <v/>
      </c>
      <c r="K36" s="173"/>
      <c r="L36" s="186" t="str">
        <f>IFERROR(VLOOKUP(TableHandbook[[#This Row],[UDC]],TableBURPLAN2[],7,FALSE),"")</f>
        <v>AltCore</v>
      </c>
      <c r="M36" s="106" t="str">
        <f>IFERROR(VLOOKUP(TableHandbook[[#This Row],[UDC]],TableSTRHURPLN[],7,FALSE),"")</f>
        <v/>
      </c>
      <c r="N36" s="106" t="str">
        <f>IFERROR(VLOOKUP(TableHandbook[[#This Row],[UDC]],TableSTRUURPLN[],7,FALSE),"")</f>
        <v/>
      </c>
      <c r="O36" s="106" t="str">
        <f>IFERROR(VLOOKUP(TableHandbook[[#This Row],[UDC]],TableSPUCENVSP[],7,FALSE),"")</f>
        <v/>
      </c>
      <c r="P36" s="106" t="str">
        <f>IFERROR(VLOOKUP(TableHandbook[[#This Row],[UDC]],TableSPUCGRAPH[],7,FALSE),"")</f>
        <v/>
      </c>
      <c r="Q36" s="106" t="str">
        <f>IFERROR(VLOOKUP(TableHandbook[[#This Row],[UDC]],TableSPUCINTLD[],7,FALSE),"")</f>
        <v/>
      </c>
      <c r="R36" s="107" t="str">
        <f>IFERROR(VLOOKUP(TableHandbook[[#This Row],[UDC]],TableSPUCLANDN[],7,FALSE),"")</f>
        <v/>
      </c>
      <c r="S36" s="187" t="str">
        <f>IFERROR(VLOOKUP(TableHandbook[[#This Row],[UDC]],TableSPUCSOCJU[],7,FALSE),"")</f>
        <v/>
      </c>
      <c r="T36" s="226" t="str">
        <f>IFERROR(VLOOKUP(TableHandbook[[#This Row],[UDC]],TableUHGEOGY[],7,FALSE),"")</f>
        <v/>
      </c>
      <c r="U36" s="226" t="str">
        <f>IFERROR(VLOOKUP(TableHandbook[[#This Row],[UDC]],TableUHURPLAN[],7,FALSE),"")</f>
        <v/>
      </c>
    </row>
    <row r="37" spans="1:21" x14ac:dyDescent="0.25">
      <c r="A37" s="8" t="s">
        <v>99</v>
      </c>
      <c r="B37" s="92">
        <v>1</v>
      </c>
      <c r="C37" s="8"/>
      <c r="D37" s="8" t="s">
        <v>98</v>
      </c>
      <c r="E37" s="92">
        <v>100</v>
      </c>
      <c r="F37" s="103" t="s">
        <v>117</v>
      </c>
      <c r="G37" s="123" t="str">
        <f>IFERROR(IF(VLOOKUP(TableHandbook[[#This Row],[UDC]],TableAvailabilities[],2,FALSE)&gt;0,"Y",""),"")</f>
        <v/>
      </c>
      <c r="H37" s="124" t="str">
        <f>IFERROR(IF(VLOOKUP(TableHandbook[[#This Row],[UDC]],TableAvailabilities[],3,FALSE)&gt;0,"Y",""),"")</f>
        <v/>
      </c>
      <c r="I37" s="125" t="str">
        <f>IFERROR(IF(VLOOKUP(TableHandbook[[#This Row],[UDC]],TableAvailabilities[],4,FALSE)&gt;0,"Y",""),"")</f>
        <v/>
      </c>
      <c r="J37" s="126" t="str">
        <f>IFERROR(IF(VLOOKUP(TableHandbook[[#This Row],[UDC]],TableAvailabilities[],5,FALSE)&gt;0,"Y",""),"")</f>
        <v/>
      </c>
      <c r="K37" s="173"/>
      <c r="L37" s="186" t="str">
        <f>IFERROR(VLOOKUP(TableHandbook[[#This Row],[UDC]],TableBURPLAN2[],7,FALSE),"")</f>
        <v>AltCore</v>
      </c>
      <c r="M37" s="106" t="str">
        <f>IFERROR(VLOOKUP(TableHandbook[[#This Row],[UDC]],TableSTRHURPLN[],7,FALSE),"")</f>
        <v/>
      </c>
      <c r="N37" s="106" t="str">
        <f>IFERROR(VLOOKUP(TableHandbook[[#This Row],[UDC]],TableSTRUURPLN[],7,FALSE),"")</f>
        <v/>
      </c>
      <c r="O37" s="106" t="str">
        <f>IFERROR(VLOOKUP(TableHandbook[[#This Row],[UDC]],TableSPUCENVSP[],7,FALSE),"")</f>
        <v/>
      </c>
      <c r="P37" s="106" t="str">
        <f>IFERROR(VLOOKUP(TableHandbook[[#This Row],[UDC]],TableSPUCGRAPH[],7,FALSE),"")</f>
        <v/>
      </c>
      <c r="Q37" s="106" t="str">
        <f>IFERROR(VLOOKUP(TableHandbook[[#This Row],[UDC]],TableSPUCINTLD[],7,FALSE),"")</f>
        <v/>
      </c>
      <c r="R37" s="107" t="str">
        <f>IFERROR(VLOOKUP(TableHandbook[[#This Row],[UDC]],TableSPUCLANDN[],7,FALSE),"")</f>
        <v/>
      </c>
      <c r="S37" s="187" t="str">
        <f>IFERROR(VLOOKUP(TableHandbook[[#This Row],[UDC]],TableSPUCSOCJU[],7,FALSE),"")</f>
        <v/>
      </c>
      <c r="T37" s="226" t="str">
        <f>IFERROR(VLOOKUP(TableHandbook[[#This Row],[UDC]],TableUHGEOGY[],7,FALSE),"")</f>
        <v/>
      </c>
      <c r="U37" s="226" t="str">
        <f>IFERROR(VLOOKUP(TableHandbook[[#This Row],[UDC]],TableUHURPLAN[],7,FALSE),"")</f>
        <v/>
      </c>
    </row>
    <row r="38" spans="1:21" x14ac:dyDescent="0.25">
      <c r="A38" s="8" t="s">
        <v>101</v>
      </c>
      <c r="B38" s="92">
        <v>1</v>
      </c>
      <c r="C38" s="8"/>
      <c r="D38" s="8" t="s">
        <v>100</v>
      </c>
      <c r="E38" s="92">
        <v>100</v>
      </c>
      <c r="F38" s="103" t="s">
        <v>117</v>
      </c>
      <c r="G38" s="123" t="str">
        <f>IFERROR(IF(VLOOKUP(TableHandbook[[#This Row],[UDC]],TableAvailabilities[],2,FALSE)&gt;0,"Y",""),"")</f>
        <v/>
      </c>
      <c r="H38" s="124" t="str">
        <f>IFERROR(IF(VLOOKUP(TableHandbook[[#This Row],[UDC]],TableAvailabilities[],3,FALSE)&gt;0,"Y",""),"")</f>
        <v/>
      </c>
      <c r="I38" s="125" t="str">
        <f>IFERROR(IF(VLOOKUP(TableHandbook[[#This Row],[UDC]],TableAvailabilities[],4,FALSE)&gt;0,"Y",""),"")</f>
        <v/>
      </c>
      <c r="J38" s="126" t="str">
        <f>IFERROR(IF(VLOOKUP(TableHandbook[[#This Row],[UDC]],TableAvailabilities[],5,FALSE)&gt;0,"Y",""),"")</f>
        <v/>
      </c>
      <c r="K38" s="173"/>
      <c r="L38" s="186" t="str">
        <f>IFERROR(VLOOKUP(TableHandbook[[#This Row],[UDC]],TableBURPLAN2[],7,FALSE),"")</f>
        <v>AltCore</v>
      </c>
      <c r="M38" s="106" t="str">
        <f>IFERROR(VLOOKUP(TableHandbook[[#This Row],[UDC]],TableSTRHURPLN[],7,FALSE),"")</f>
        <v/>
      </c>
      <c r="N38" s="106" t="str">
        <f>IFERROR(VLOOKUP(TableHandbook[[#This Row],[UDC]],TableSTRUURPLN[],7,FALSE),"")</f>
        <v/>
      </c>
      <c r="O38" s="106" t="str">
        <f>IFERROR(VLOOKUP(TableHandbook[[#This Row],[UDC]],TableSPUCENVSP[],7,FALSE),"")</f>
        <v/>
      </c>
      <c r="P38" s="106" t="str">
        <f>IFERROR(VLOOKUP(TableHandbook[[#This Row],[UDC]],TableSPUCGRAPH[],7,FALSE),"")</f>
        <v/>
      </c>
      <c r="Q38" s="106" t="str">
        <f>IFERROR(VLOOKUP(TableHandbook[[#This Row],[UDC]],TableSPUCINTLD[],7,FALSE),"")</f>
        <v/>
      </c>
      <c r="R38" s="107" t="str">
        <f>IFERROR(VLOOKUP(TableHandbook[[#This Row],[UDC]],TableSPUCLANDN[],7,FALSE),"")</f>
        <v/>
      </c>
      <c r="S38" s="187" t="str">
        <f>IFERROR(VLOOKUP(TableHandbook[[#This Row],[UDC]],TableSPUCSOCJU[],7,FALSE),"")</f>
        <v/>
      </c>
      <c r="T38" s="226" t="str">
        <f>IFERROR(VLOOKUP(TableHandbook[[#This Row],[UDC]],TableUHGEOGY[],7,FALSE),"")</f>
        <v/>
      </c>
      <c r="U38" s="226" t="str">
        <f>IFERROR(VLOOKUP(TableHandbook[[#This Row],[UDC]],TableUHURPLAN[],7,FALSE),"")</f>
        <v/>
      </c>
    </row>
    <row r="39" spans="1:21" x14ac:dyDescent="0.25">
      <c r="A39" s="8" t="s">
        <v>103</v>
      </c>
      <c r="B39" s="92">
        <v>1</v>
      </c>
      <c r="C39" s="8"/>
      <c r="D39" s="8" t="s">
        <v>102</v>
      </c>
      <c r="E39" s="92">
        <v>100</v>
      </c>
      <c r="F39" s="103" t="s">
        <v>117</v>
      </c>
      <c r="G39" s="123" t="str">
        <f>IFERROR(IF(VLOOKUP(TableHandbook[[#This Row],[UDC]],TableAvailabilities[],2,FALSE)&gt;0,"Y",""),"")</f>
        <v/>
      </c>
      <c r="H39" s="124" t="str">
        <f>IFERROR(IF(VLOOKUP(TableHandbook[[#This Row],[UDC]],TableAvailabilities[],3,FALSE)&gt;0,"Y",""),"")</f>
        <v/>
      </c>
      <c r="I39" s="125" t="str">
        <f>IFERROR(IF(VLOOKUP(TableHandbook[[#This Row],[UDC]],TableAvailabilities[],4,FALSE)&gt;0,"Y",""),"")</f>
        <v/>
      </c>
      <c r="J39" s="126" t="str">
        <f>IFERROR(IF(VLOOKUP(TableHandbook[[#This Row],[UDC]],TableAvailabilities[],5,FALSE)&gt;0,"Y",""),"")</f>
        <v/>
      </c>
      <c r="K39" s="173"/>
      <c r="L39" s="186" t="str">
        <f>IFERROR(VLOOKUP(TableHandbook[[#This Row],[UDC]],TableBURPLAN2[],7,FALSE),"")</f>
        <v>AltCore</v>
      </c>
      <c r="M39" s="106" t="str">
        <f>IFERROR(VLOOKUP(TableHandbook[[#This Row],[UDC]],TableSTRHURPLN[],7,FALSE),"")</f>
        <v/>
      </c>
      <c r="N39" s="106" t="str">
        <f>IFERROR(VLOOKUP(TableHandbook[[#This Row],[UDC]],TableSTRUURPLN[],7,FALSE),"")</f>
        <v/>
      </c>
      <c r="O39" s="106" t="str">
        <f>IFERROR(VLOOKUP(TableHandbook[[#This Row],[UDC]],TableSPUCENVSP[],7,FALSE),"")</f>
        <v/>
      </c>
      <c r="P39" s="106" t="str">
        <f>IFERROR(VLOOKUP(TableHandbook[[#This Row],[UDC]],TableSPUCGRAPH[],7,FALSE),"")</f>
        <v/>
      </c>
      <c r="Q39" s="106" t="str">
        <f>IFERROR(VLOOKUP(TableHandbook[[#This Row],[UDC]],TableSPUCINTLD[],7,FALSE),"")</f>
        <v/>
      </c>
      <c r="R39" s="107" t="str">
        <f>IFERROR(VLOOKUP(TableHandbook[[#This Row],[UDC]],TableSPUCLANDN[],7,FALSE),"")</f>
        <v/>
      </c>
      <c r="S39" s="187" t="str">
        <f>IFERROR(VLOOKUP(TableHandbook[[#This Row],[UDC]],TableSPUCSOCJU[],7,FALSE),"")</f>
        <v/>
      </c>
      <c r="T39" s="226" t="str">
        <f>IFERROR(VLOOKUP(TableHandbook[[#This Row],[UDC]],TableUHGEOGY[],7,FALSE),"")</f>
        <v/>
      </c>
      <c r="U39" s="226" t="str">
        <f>IFERROR(VLOOKUP(TableHandbook[[#This Row],[UDC]],TableUHURPLAN[],7,FALSE),"")</f>
        <v/>
      </c>
    </row>
    <row r="40" spans="1:21" x14ac:dyDescent="0.25">
      <c r="A40" s="8" t="s">
        <v>105</v>
      </c>
      <c r="B40" s="92">
        <v>1</v>
      </c>
      <c r="C40" s="8"/>
      <c r="D40" s="8" t="s">
        <v>104</v>
      </c>
      <c r="E40" s="92">
        <v>100</v>
      </c>
      <c r="F40" s="103" t="s">
        <v>117</v>
      </c>
      <c r="G40" s="123" t="str">
        <f>IFERROR(IF(VLOOKUP(TableHandbook[[#This Row],[UDC]],TableAvailabilities[],2,FALSE)&gt;0,"Y",""),"")</f>
        <v/>
      </c>
      <c r="H40" s="124" t="str">
        <f>IFERROR(IF(VLOOKUP(TableHandbook[[#This Row],[UDC]],TableAvailabilities[],3,FALSE)&gt;0,"Y",""),"")</f>
        <v/>
      </c>
      <c r="I40" s="125" t="str">
        <f>IFERROR(IF(VLOOKUP(TableHandbook[[#This Row],[UDC]],TableAvailabilities[],4,FALSE)&gt;0,"Y",""),"")</f>
        <v/>
      </c>
      <c r="J40" s="126" t="str">
        <f>IFERROR(IF(VLOOKUP(TableHandbook[[#This Row],[UDC]],TableAvailabilities[],5,FALSE)&gt;0,"Y",""),"")</f>
        <v/>
      </c>
      <c r="K40" s="173"/>
      <c r="L40" s="186" t="str">
        <f>IFERROR(VLOOKUP(TableHandbook[[#This Row],[UDC]],TableBURPLAN2[],7,FALSE),"")</f>
        <v>AltCore</v>
      </c>
      <c r="M40" s="106" t="str">
        <f>IFERROR(VLOOKUP(TableHandbook[[#This Row],[UDC]],TableSTRHURPLN[],7,FALSE),"")</f>
        <v/>
      </c>
      <c r="N40" s="106" t="str">
        <f>IFERROR(VLOOKUP(TableHandbook[[#This Row],[UDC]],TableSTRUURPLN[],7,FALSE),"")</f>
        <v/>
      </c>
      <c r="O40" s="106" t="str">
        <f>IFERROR(VLOOKUP(TableHandbook[[#This Row],[UDC]],TableSPUCENVSP[],7,FALSE),"")</f>
        <v/>
      </c>
      <c r="P40" s="106" t="str">
        <f>IFERROR(VLOOKUP(TableHandbook[[#This Row],[UDC]],TableSPUCGRAPH[],7,FALSE),"")</f>
        <v/>
      </c>
      <c r="Q40" s="106" t="str">
        <f>IFERROR(VLOOKUP(TableHandbook[[#This Row],[UDC]],TableSPUCINTLD[],7,FALSE),"")</f>
        <v/>
      </c>
      <c r="R40" s="107" t="str">
        <f>IFERROR(VLOOKUP(TableHandbook[[#This Row],[UDC]],TableSPUCLANDN[],7,FALSE),"")</f>
        <v/>
      </c>
      <c r="S40" s="187" t="str">
        <f>IFERROR(VLOOKUP(TableHandbook[[#This Row],[UDC]],TableSPUCSOCJU[],7,FALSE),"")</f>
        <v/>
      </c>
      <c r="T40" s="226" t="str">
        <f>IFERROR(VLOOKUP(TableHandbook[[#This Row],[UDC]],TableUHGEOGY[],7,FALSE),"")</f>
        <v/>
      </c>
      <c r="U40" s="226" t="str">
        <f>IFERROR(VLOOKUP(TableHandbook[[#This Row],[UDC]],TableUHURPLAN[],7,FALSE),"")</f>
        <v/>
      </c>
    </row>
    <row r="41" spans="1:21" x14ac:dyDescent="0.25">
      <c r="A41" s="8" t="s">
        <v>86</v>
      </c>
      <c r="B41" s="92">
        <v>2</v>
      </c>
      <c r="C41" s="8"/>
      <c r="D41" s="8" t="s">
        <v>85</v>
      </c>
      <c r="E41" s="92">
        <v>200</v>
      </c>
      <c r="F41" s="103" t="s">
        <v>117</v>
      </c>
      <c r="G41" s="123" t="str">
        <f>IFERROR(IF(VLOOKUP(TableHandbook[[#This Row],[UDC]],TableAvailabilities[],2,FALSE)&gt;0,"Y",""),"")</f>
        <v/>
      </c>
      <c r="H41" s="124" t="str">
        <f>IFERROR(IF(VLOOKUP(TableHandbook[[#This Row],[UDC]],TableAvailabilities[],3,FALSE)&gt;0,"Y",""),"")</f>
        <v/>
      </c>
      <c r="I41" s="125" t="str">
        <f>IFERROR(IF(VLOOKUP(TableHandbook[[#This Row],[UDC]],TableAvailabilities[],4,FALSE)&gt;0,"Y",""),"")</f>
        <v/>
      </c>
      <c r="J41" s="126" t="str">
        <f>IFERROR(IF(VLOOKUP(TableHandbook[[#This Row],[UDC]],TableAvailabilities[],5,FALSE)&gt;0,"Y",""),"")</f>
        <v/>
      </c>
      <c r="K41" s="173"/>
      <c r="L41" s="186" t="str">
        <f>IFERROR(VLOOKUP(TableHandbook[[#This Row],[UDC]],TableBURPLAN2[],7,FALSE),"")</f>
        <v>AltCore</v>
      </c>
      <c r="M41" s="106" t="str">
        <f>IFERROR(VLOOKUP(TableHandbook[[#This Row],[UDC]],TableSTRHURPLN[],7,FALSE),"")</f>
        <v/>
      </c>
      <c r="N41" s="106" t="str">
        <f>IFERROR(VLOOKUP(TableHandbook[[#This Row],[UDC]],TableSTRUURPLN[],7,FALSE),"")</f>
        <v/>
      </c>
      <c r="O41" s="106" t="str">
        <f>IFERROR(VLOOKUP(TableHandbook[[#This Row],[UDC]],TableSPUCENVSP[],7,FALSE),"")</f>
        <v/>
      </c>
      <c r="P41" s="106" t="str">
        <f>IFERROR(VLOOKUP(TableHandbook[[#This Row],[UDC]],TableSPUCGRAPH[],7,FALSE),"")</f>
        <v/>
      </c>
      <c r="Q41" s="106" t="str">
        <f>IFERROR(VLOOKUP(TableHandbook[[#This Row],[UDC]],TableSPUCINTLD[],7,FALSE),"")</f>
        <v/>
      </c>
      <c r="R41" s="107" t="str">
        <f>IFERROR(VLOOKUP(TableHandbook[[#This Row],[UDC]],TableSPUCLANDN[],7,FALSE),"")</f>
        <v/>
      </c>
      <c r="S41" s="187" t="str">
        <f>IFERROR(VLOOKUP(TableHandbook[[#This Row],[UDC]],TableSPUCSOCJU[],7,FALSE),"")</f>
        <v/>
      </c>
      <c r="T41" s="226" t="str">
        <f>IFERROR(VLOOKUP(TableHandbook[[#This Row],[UDC]],TableUHGEOGY[],7,FALSE),"")</f>
        <v/>
      </c>
      <c r="U41" s="226" t="str">
        <f>IFERROR(VLOOKUP(TableHandbook[[#This Row],[UDC]],TableUHURPLAN[],7,FALSE),"")</f>
        <v/>
      </c>
    </row>
    <row r="42" spans="1:21" x14ac:dyDescent="0.25">
      <c r="A42" s="8" t="s">
        <v>82</v>
      </c>
      <c r="B42" s="92">
        <v>3</v>
      </c>
      <c r="C42" s="8"/>
      <c r="D42" s="8" t="s">
        <v>81</v>
      </c>
      <c r="E42" s="92">
        <v>200</v>
      </c>
      <c r="F42" s="103" t="s">
        <v>117</v>
      </c>
      <c r="G42" s="123" t="str">
        <f>IFERROR(IF(VLOOKUP(TableHandbook[[#This Row],[UDC]],TableAvailabilities[],2,FALSE)&gt;0,"Y",""),"")</f>
        <v/>
      </c>
      <c r="H42" s="124" t="str">
        <f>IFERROR(IF(VLOOKUP(TableHandbook[[#This Row],[UDC]],TableAvailabilities[],3,FALSE)&gt;0,"Y",""),"")</f>
        <v/>
      </c>
      <c r="I42" s="125" t="str">
        <f>IFERROR(IF(VLOOKUP(TableHandbook[[#This Row],[UDC]],TableAvailabilities[],4,FALSE)&gt;0,"Y",""),"")</f>
        <v/>
      </c>
      <c r="J42" s="126" t="str">
        <f>IFERROR(IF(VLOOKUP(TableHandbook[[#This Row],[UDC]],TableAvailabilities[],5,FALSE)&gt;0,"Y",""),"")</f>
        <v/>
      </c>
      <c r="K42" s="173"/>
      <c r="L42" s="186" t="str">
        <f>IFERROR(VLOOKUP(TableHandbook[[#This Row],[UDC]],TableBURPLAN2[],7,FALSE),"")</f>
        <v>AltCore</v>
      </c>
      <c r="M42" s="106" t="str">
        <f>IFERROR(VLOOKUP(TableHandbook[[#This Row],[UDC]],TableSTRHURPLN[],7,FALSE),"")</f>
        <v/>
      </c>
      <c r="N42" s="106" t="str">
        <f>IFERROR(VLOOKUP(TableHandbook[[#This Row],[UDC]],TableSTRUURPLN[],7,FALSE),"")</f>
        <v/>
      </c>
      <c r="O42" s="106" t="str">
        <f>IFERROR(VLOOKUP(TableHandbook[[#This Row],[UDC]],TableSPUCENVSP[],7,FALSE),"")</f>
        <v/>
      </c>
      <c r="P42" s="106" t="str">
        <f>IFERROR(VLOOKUP(TableHandbook[[#This Row],[UDC]],TableSPUCGRAPH[],7,FALSE),"")</f>
        <v/>
      </c>
      <c r="Q42" s="106" t="str">
        <f>IFERROR(VLOOKUP(TableHandbook[[#This Row],[UDC]],TableSPUCINTLD[],7,FALSE),"")</f>
        <v/>
      </c>
      <c r="R42" s="107" t="str">
        <f>IFERROR(VLOOKUP(TableHandbook[[#This Row],[UDC]],TableSPUCLANDN[],7,FALSE),"")</f>
        <v/>
      </c>
      <c r="S42" s="187" t="str">
        <f>IFERROR(VLOOKUP(TableHandbook[[#This Row],[UDC]],TableSPUCSOCJU[],7,FALSE),"")</f>
        <v/>
      </c>
      <c r="T42" s="226" t="str">
        <f>IFERROR(VLOOKUP(TableHandbook[[#This Row],[UDC]],TableUHGEOGY[],7,FALSE),"")</f>
        <v/>
      </c>
      <c r="U42" s="226" t="str">
        <f>IFERROR(VLOOKUP(TableHandbook[[#This Row],[UDC]],TableUHURPLAN[],7,FALSE),"")</f>
        <v/>
      </c>
    </row>
    <row r="43" spans="1:21" x14ac:dyDescent="0.25">
      <c r="A43" s="8" t="s">
        <v>133</v>
      </c>
      <c r="B43" s="92">
        <v>1</v>
      </c>
      <c r="C43" s="8"/>
      <c r="D43" s="8" t="s">
        <v>196</v>
      </c>
      <c r="E43" s="92">
        <v>25</v>
      </c>
      <c r="F43" s="103" t="s">
        <v>170</v>
      </c>
      <c r="G43" s="123" t="str">
        <f>IFERROR(IF(VLOOKUP(TableHandbook[[#This Row],[UDC]],TableAvailabilities[],2,FALSE)&gt;0,"Y",""),"")</f>
        <v>Y</v>
      </c>
      <c r="H43" s="124" t="str">
        <f>IFERROR(IF(VLOOKUP(TableHandbook[[#This Row],[UDC]],TableAvailabilities[],3,FALSE)&gt;0,"Y",""),"")</f>
        <v>Y</v>
      </c>
      <c r="I43" s="125" t="str">
        <f>IFERROR(IF(VLOOKUP(TableHandbook[[#This Row],[UDC]],TableAvailabilities[],4,FALSE)&gt;0,"Y",""),"")</f>
        <v/>
      </c>
      <c r="J43" s="126" t="str">
        <f>IFERROR(IF(VLOOKUP(TableHandbook[[#This Row],[UDC]],TableAvailabilities[],5,FALSE)&gt;0,"Y",""),"")</f>
        <v/>
      </c>
      <c r="K43" s="173"/>
      <c r="L43" s="186" t="str">
        <f>IFERROR(VLOOKUP(TableHandbook[[#This Row],[UDC]],TableBURPLAN2[],7,FALSE),"")</f>
        <v/>
      </c>
      <c r="M43" s="106" t="str">
        <f>IFERROR(VLOOKUP(TableHandbook[[#This Row],[UDC]],TableSTRHURPLN[],7,FALSE),"")</f>
        <v/>
      </c>
      <c r="N43" s="106" t="str">
        <f>IFERROR(VLOOKUP(TableHandbook[[#This Row],[UDC]],TableSTRUURPLN[],7,FALSE),"")</f>
        <v/>
      </c>
      <c r="O43" s="106" t="str">
        <f>IFERROR(VLOOKUP(TableHandbook[[#This Row],[UDC]],TableSPUCENVSP[],7,FALSE),"")</f>
        <v/>
      </c>
      <c r="P43" s="106" t="str">
        <f>IFERROR(VLOOKUP(TableHandbook[[#This Row],[UDC]],TableSPUCGRAPH[],7,FALSE),"")</f>
        <v/>
      </c>
      <c r="Q43" s="106" t="str">
        <f>IFERROR(VLOOKUP(TableHandbook[[#This Row],[UDC]],TableSPUCINTLD[],7,FALSE),"")</f>
        <v/>
      </c>
      <c r="R43" s="107" t="str">
        <f>IFERROR(VLOOKUP(TableHandbook[[#This Row],[UDC]],TableSPUCLANDN[],7,FALSE),"")</f>
        <v/>
      </c>
      <c r="S43" s="187" t="str">
        <f>IFERROR(VLOOKUP(TableHandbook[[#This Row],[UDC]],TableSPUCSOCJU[],7,FALSE),"")</f>
        <v>Core</v>
      </c>
      <c r="T43" s="226" t="str">
        <f>IFERROR(VLOOKUP(TableHandbook[[#This Row],[UDC]],TableUHGEOGY[],7,FALSE),"")</f>
        <v/>
      </c>
      <c r="U43" s="226" t="str">
        <f>IFERROR(VLOOKUP(TableHandbook[[#This Row],[UDC]],TableUHURPLAN[],7,FALSE),"")</f>
        <v/>
      </c>
    </row>
    <row r="44" spans="1:21" x14ac:dyDescent="0.25">
      <c r="A44" s="8" t="s">
        <v>56</v>
      </c>
      <c r="B44" s="92">
        <v>1</v>
      </c>
      <c r="C44" s="8"/>
      <c r="D44" s="8" t="s">
        <v>197</v>
      </c>
      <c r="E44" s="92">
        <v>25</v>
      </c>
      <c r="F44" s="103" t="s">
        <v>170</v>
      </c>
      <c r="G44" s="123" t="str">
        <f>IFERROR(IF(VLOOKUP(TableHandbook[[#This Row],[UDC]],TableAvailabilities[],2,FALSE)&gt;0,"Y",""),"")</f>
        <v/>
      </c>
      <c r="H44" s="124" t="str">
        <f>IFERROR(IF(VLOOKUP(TableHandbook[[#This Row],[UDC]],TableAvailabilities[],3,FALSE)&gt;0,"Y",""),"")</f>
        <v/>
      </c>
      <c r="I44" s="125" t="str">
        <f>IFERROR(IF(VLOOKUP(TableHandbook[[#This Row],[UDC]],TableAvailabilities[],4,FALSE)&gt;0,"Y",""),"")</f>
        <v>Y</v>
      </c>
      <c r="J44" s="126" t="str">
        <f>IFERROR(IF(VLOOKUP(TableHandbook[[#This Row],[UDC]],TableAvailabilities[],5,FALSE)&gt;0,"Y",""),"")</f>
        <v/>
      </c>
      <c r="K44" s="173"/>
      <c r="L44" s="186" t="str">
        <f>IFERROR(VLOOKUP(TableHandbook[[#This Row],[UDC]],TableBURPLAN2[],7,FALSE),"")</f>
        <v>Core</v>
      </c>
      <c r="M44" s="106" t="str">
        <f>IFERROR(VLOOKUP(TableHandbook[[#This Row],[UDC]],TableSTRHURPLN[],7,FALSE),"")</f>
        <v/>
      </c>
      <c r="N44" s="106" t="str">
        <f>IFERROR(VLOOKUP(TableHandbook[[#This Row],[UDC]],TableSTRUURPLN[],7,FALSE),"")</f>
        <v/>
      </c>
      <c r="O44" s="106" t="str">
        <f>IFERROR(VLOOKUP(TableHandbook[[#This Row],[UDC]],TableSPUCENVSP[],7,FALSE),"")</f>
        <v/>
      </c>
      <c r="P44" s="106" t="str">
        <f>IFERROR(VLOOKUP(TableHandbook[[#This Row],[UDC]],TableSPUCGRAPH[],7,FALSE),"")</f>
        <v/>
      </c>
      <c r="Q44" s="106" t="str">
        <f>IFERROR(VLOOKUP(TableHandbook[[#This Row],[UDC]],TableSPUCINTLD[],7,FALSE),"")</f>
        <v/>
      </c>
      <c r="R44" s="107" t="str">
        <f>IFERROR(VLOOKUP(TableHandbook[[#This Row],[UDC]],TableSPUCLANDN[],7,FALSE),"")</f>
        <v/>
      </c>
      <c r="S44" s="187" t="str">
        <f>IFERROR(VLOOKUP(TableHandbook[[#This Row],[UDC]],TableSPUCSOCJU[],7,FALSE),"")</f>
        <v/>
      </c>
      <c r="T44" s="226" t="str">
        <f>IFERROR(VLOOKUP(TableHandbook[[#This Row],[UDC]],TableUHGEOGY[],7,FALSE),"")</f>
        <v/>
      </c>
      <c r="U44" s="226" t="str">
        <f>IFERROR(VLOOKUP(TableHandbook[[#This Row],[UDC]],TableUHURPLAN[],7,FALSE),"")</f>
        <v/>
      </c>
    </row>
    <row r="45" spans="1:21" x14ac:dyDescent="0.25">
      <c r="A45" s="8" t="s">
        <v>60</v>
      </c>
      <c r="B45" s="92">
        <v>1</v>
      </c>
      <c r="C45" s="8"/>
      <c r="D45" s="8" t="s">
        <v>198</v>
      </c>
      <c r="E45" s="92">
        <v>25</v>
      </c>
      <c r="F45" s="103" t="s">
        <v>170</v>
      </c>
      <c r="G45" s="123" t="str">
        <f>IFERROR(IF(VLOOKUP(TableHandbook[[#This Row],[UDC]],TableAvailabilities[],2,FALSE)&gt;0,"Y",""),"")</f>
        <v>Y</v>
      </c>
      <c r="H45" s="124" t="str">
        <f>IFERROR(IF(VLOOKUP(TableHandbook[[#This Row],[UDC]],TableAvailabilities[],3,FALSE)&gt;0,"Y",""),"")</f>
        <v/>
      </c>
      <c r="I45" s="125" t="str">
        <f>IFERROR(IF(VLOOKUP(TableHandbook[[#This Row],[UDC]],TableAvailabilities[],4,FALSE)&gt;0,"Y",""),"")</f>
        <v/>
      </c>
      <c r="J45" s="126" t="str">
        <f>IFERROR(IF(VLOOKUP(TableHandbook[[#This Row],[UDC]],TableAvailabilities[],5,FALSE)&gt;0,"Y",""),"")</f>
        <v/>
      </c>
      <c r="K45" s="173"/>
      <c r="L45" s="186" t="str">
        <f>IFERROR(VLOOKUP(TableHandbook[[#This Row],[UDC]],TableBURPLAN2[],7,FALSE),"")</f>
        <v>Core</v>
      </c>
      <c r="M45" s="106" t="str">
        <f>IFERROR(VLOOKUP(TableHandbook[[#This Row],[UDC]],TableSTRHURPLN[],7,FALSE),"")</f>
        <v/>
      </c>
      <c r="N45" s="106" t="str">
        <f>IFERROR(VLOOKUP(TableHandbook[[#This Row],[UDC]],TableSTRUURPLN[],7,FALSE),"")</f>
        <v/>
      </c>
      <c r="O45" s="106" t="str">
        <f>IFERROR(VLOOKUP(TableHandbook[[#This Row],[UDC]],TableSPUCENVSP[],7,FALSE),"")</f>
        <v/>
      </c>
      <c r="P45" s="106" t="str">
        <f>IFERROR(VLOOKUP(TableHandbook[[#This Row],[UDC]],TableSPUCGRAPH[],7,FALSE),"")</f>
        <v/>
      </c>
      <c r="Q45" s="106" t="str">
        <f>IFERROR(VLOOKUP(TableHandbook[[#This Row],[UDC]],TableSPUCINTLD[],7,FALSE),"")</f>
        <v/>
      </c>
      <c r="R45" s="107" t="str">
        <f>IFERROR(VLOOKUP(TableHandbook[[#This Row],[UDC]],TableSPUCLANDN[],7,FALSE),"")</f>
        <v/>
      </c>
      <c r="S45" s="187" t="str">
        <f>IFERROR(VLOOKUP(TableHandbook[[#This Row],[UDC]],TableSPUCSOCJU[],7,FALSE),"")</f>
        <v/>
      </c>
      <c r="T45" s="226" t="str">
        <f>IFERROR(VLOOKUP(TableHandbook[[#This Row],[UDC]],TableUHGEOGY[],7,FALSE),"")</f>
        <v/>
      </c>
      <c r="U45" s="226" t="str">
        <f>IFERROR(VLOOKUP(TableHandbook[[#This Row],[UDC]],TableUHURPLAN[],7,FALSE),"")</f>
        <v/>
      </c>
    </row>
    <row r="46" spans="1:21" x14ac:dyDescent="0.25">
      <c r="A46" s="8" t="s">
        <v>64</v>
      </c>
      <c r="B46" s="92">
        <v>1</v>
      </c>
      <c r="C46" s="8"/>
      <c r="D46" s="8" t="s">
        <v>199</v>
      </c>
      <c r="E46" s="92">
        <v>25</v>
      </c>
      <c r="F46" s="103" t="s">
        <v>170</v>
      </c>
      <c r="G46" s="123" t="str">
        <f>IFERROR(IF(VLOOKUP(TableHandbook[[#This Row],[UDC]],TableAvailabilities[],2,FALSE)&gt;0,"Y",""),"")</f>
        <v>Y</v>
      </c>
      <c r="H46" s="124" t="str">
        <f>IFERROR(IF(VLOOKUP(TableHandbook[[#This Row],[UDC]],TableAvailabilities[],3,FALSE)&gt;0,"Y",""),"")</f>
        <v>Y</v>
      </c>
      <c r="I46" s="125" t="str">
        <f>IFERROR(IF(VLOOKUP(TableHandbook[[#This Row],[UDC]],TableAvailabilities[],4,FALSE)&gt;0,"Y",""),"")</f>
        <v>Y</v>
      </c>
      <c r="J46" s="126" t="str">
        <f>IFERROR(IF(VLOOKUP(TableHandbook[[#This Row],[UDC]],TableAvailabilities[],5,FALSE)&gt;0,"Y",""),"")</f>
        <v/>
      </c>
      <c r="K46" s="173"/>
      <c r="L46" s="186" t="str">
        <f>IFERROR(VLOOKUP(TableHandbook[[#This Row],[UDC]],TableBURPLAN2[],7,FALSE),"")</f>
        <v>Core</v>
      </c>
      <c r="M46" s="106" t="str">
        <f>IFERROR(VLOOKUP(TableHandbook[[#This Row],[UDC]],TableSTRHURPLN[],7,FALSE),"")</f>
        <v/>
      </c>
      <c r="N46" s="106" t="str">
        <f>IFERROR(VLOOKUP(TableHandbook[[#This Row],[UDC]],TableSTRUURPLN[],7,FALSE),"")</f>
        <v/>
      </c>
      <c r="O46" s="106" t="str">
        <f>IFERROR(VLOOKUP(TableHandbook[[#This Row],[UDC]],TableSPUCENVSP[],7,FALSE),"")</f>
        <v/>
      </c>
      <c r="P46" s="106" t="str">
        <f>IFERROR(VLOOKUP(TableHandbook[[#This Row],[UDC]],TableSPUCGRAPH[],7,FALSE),"")</f>
        <v/>
      </c>
      <c r="Q46" s="106" t="str">
        <f>IFERROR(VLOOKUP(TableHandbook[[#This Row],[UDC]],TableSPUCINTLD[],7,FALSE),"")</f>
        <v/>
      </c>
      <c r="R46" s="107" t="str">
        <f>IFERROR(VLOOKUP(TableHandbook[[#This Row],[UDC]],TableSPUCLANDN[],7,FALSE),"")</f>
        <v/>
      </c>
      <c r="S46" s="187" t="str">
        <f>IFERROR(VLOOKUP(TableHandbook[[#This Row],[UDC]],TableSPUCSOCJU[],7,FALSE),"")</f>
        <v/>
      </c>
      <c r="T46" s="226" t="str">
        <f>IFERROR(VLOOKUP(TableHandbook[[#This Row],[UDC]],TableUHGEOGY[],7,FALSE),"")</f>
        <v/>
      </c>
      <c r="U46" s="226" t="str">
        <f>IFERROR(VLOOKUP(TableHandbook[[#This Row],[UDC]],TableUHURPLAN[],7,FALSE),"")</f>
        <v>Core</v>
      </c>
    </row>
    <row r="47" spans="1:21" x14ac:dyDescent="0.25">
      <c r="A47" s="8" t="s">
        <v>50</v>
      </c>
      <c r="B47" s="92">
        <v>1</v>
      </c>
      <c r="C47" s="8"/>
      <c r="D47" s="8" t="s">
        <v>200</v>
      </c>
      <c r="E47" s="92">
        <v>25</v>
      </c>
      <c r="F47" s="103" t="s">
        <v>170</v>
      </c>
      <c r="G47" s="123" t="str">
        <f>IFERROR(IF(VLOOKUP(TableHandbook[[#This Row],[UDC]],TableAvailabilities[],2,FALSE)&gt;0,"Y",""),"")</f>
        <v>Y</v>
      </c>
      <c r="H47" s="124" t="str">
        <f>IFERROR(IF(VLOOKUP(TableHandbook[[#This Row],[UDC]],TableAvailabilities[],3,FALSE)&gt;0,"Y",""),"")</f>
        <v/>
      </c>
      <c r="I47" s="125" t="str">
        <f>IFERROR(IF(VLOOKUP(TableHandbook[[#This Row],[UDC]],TableAvailabilities[],4,FALSE)&gt;0,"Y",""),"")</f>
        <v/>
      </c>
      <c r="J47" s="126" t="str">
        <f>IFERROR(IF(VLOOKUP(TableHandbook[[#This Row],[UDC]],TableAvailabilities[],5,FALSE)&gt;0,"Y",""),"")</f>
        <v/>
      </c>
      <c r="K47" s="173"/>
      <c r="L47" s="186" t="str">
        <f>IFERROR(VLOOKUP(TableHandbook[[#This Row],[UDC]],TableBURPLAN2[],7,FALSE),"")</f>
        <v>Core</v>
      </c>
      <c r="M47" s="106" t="str">
        <f>IFERROR(VLOOKUP(TableHandbook[[#This Row],[UDC]],TableSTRHURPLN[],7,FALSE),"")</f>
        <v/>
      </c>
      <c r="N47" s="106" t="str">
        <f>IFERROR(VLOOKUP(TableHandbook[[#This Row],[UDC]],TableSTRUURPLN[],7,FALSE),"")</f>
        <v/>
      </c>
      <c r="O47" s="106" t="str">
        <f>IFERROR(VLOOKUP(TableHandbook[[#This Row],[UDC]],TableSPUCENVSP[],7,FALSE),"")</f>
        <v/>
      </c>
      <c r="P47" s="106" t="str">
        <f>IFERROR(VLOOKUP(TableHandbook[[#This Row],[UDC]],TableSPUCGRAPH[],7,FALSE),"")</f>
        <v/>
      </c>
      <c r="Q47" s="106" t="str">
        <f>IFERROR(VLOOKUP(TableHandbook[[#This Row],[UDC]],TableSPUCINTLD[],7,FALSE),"")</f>
        <v/>
      </c>
      <c r="R47" s="107" t="str">
        <f>IFERROR(VLOOKUP(TableHandbook[[#This Row],[UDC]],TableSPUCLANDN[],7,FALSE),"")</f>
        <v/>
      </c>
      <c r="S47" s="187" t="str">
        <f>IFERROR(VLOOKUP(TableHandbook[[#This Row],[UDC]],TableSPUCSOCJU[],7,FALSE),"")</f>
        <v/>
      </c>
      <c r="T47" s="226" t="str">
        <f>IFERROR(VLOOKUP(TableHandbook[[#This Row],[UDC]],TableUHGEOGY[],7,FALSE),"")</f>
        <v/>
      </c>
      <c r="U47" s="226" t="str">
        <f>IFERROR(VLOOKUP(TableHandbook[[#This Row],[UDC]],TableUHURPLAN[],7,FALSE),"")</f>
        <v>Core</v>
      </c>
    </row>
    <row r="48" spans="1:21" x14ac:dyDescent="0.25">
      <c r="A48" s="8" t="s">
        <v>55</v>
      </c>
      <c r="B48" s="92">
        <v>1</v>
      </c>
      <c r="C48" s="8"/>
      <c r="D48" s="8" t="s">
        <v>201</v>
      </c>
      <c r="E48" s="92">
        <v>25</v>
      </c>
      <c r="F48" s="103" t="s">
        <v>170</v>
      </c>
      <c r="G48" s="123" t="str">
        <f>IFERROR(IF(VLOOKUP(TableHandbook[[#This Row],[UDC]],TableAvailabilities[],2,FALSE)&gt;0,"Y",""),"")</f>
        <v>Y</v>
      </c>
      <c r="H48" s="124" t="str">
        <f>IFERROR(IF(VLOOKUP(TableHandbook[[#This Row],[UDC]],TableAvailabilities[],3,FALSE)&gt;0,"Y",""),"")</f>
        <v/>
      </c>
      <c r="I48" s="125" t="str">
        <f>IFERROR(IF(VLOOKUP(TableHandbook[[#This Row],[UDC]],TableAvailabilities[],4,FALSE)&gt;0,"Y",""),"")</f>
        <v>Y</v>
      </c>
      <c r="J48" s="126" t="str">
        <f>IFERROR(IF(VLOOKUP(TableHandbook[[#This Row],[UDC]],TableAvailabilities[],5,FALSE)&gt;0,"Y",""),"")</f>
        <v/>
      </c>
      <c r="K48" s="173"/>
      <c r="L48" s="186" t="str">
        <f>IFERROR(VLOOKUP(TableHandbook[[#This Row],[UDC]],TableBURPLAN2[],7,FALSE),"")</f>
        <v>Core</v>
      </c>
      <c r="M48" s="106" t="str">
        <f>IFERROR(VLOOKUP(TableHandbook[[#This Row],[UDC]],TableSTRHURPLN[],7,FALSE),"")</f>
        <v/>
      </c>
      <c r="N48" s="106" t="str">
        <f>IFERROR(VLOOKUP(TableHandbook[[#This Row],[UDC]],TableSTRUURPLN[],7,FALSE),"")</f>
        <v/>
      </c>
      <c r="O48" s="106" t="str">
        <f>IFERROR(VLOOKUP(TableHandbook[[#This Row],[UDC]],TableSPUCENVSP[],7,FALSE),"")</f>
        <v/>
      </c>
      <c r="P48" s="106" t="str">
        <f>IFERROR(VLOOKUP(TableHandbook[[#This Row],[UDC]],TableSPUCGRAPH[],7,FALSE),"")</f>
        <v/>
      </c>
      <c r="Q48" s="106" t="str">
        <f>IFERROR(VLOOKUP(TableHandbook[[#This Row],[UDC]],TableSPUCINTLD[],7,FALSE),"")</f>
        <v/>
      </c>
      <c r="R48" s="107" t="str">
        <f>IFERROR(VLOOKUP(TableHandbook[[#This Row],[UDC]],TableSPUCLANDN[],7,FALSE),"")</f>
        <v/>
      </c>
      <c r="S48" s="187" t="str">
        <f>IFERROR(VLOOKUP(TableHandbook[[#This Row],[UDC]],TableSPUCSOCJU[],7,FALSE),"")</f>
        <v/>
      </c>
      <c r="T48" s="226" t="str">
        <f>IFERROR(VLOOKUP(TableHandbook[[#This Row],[UDC]],TableUHGEOGY[],7,FALSE),"")</f>
        <v/>
      </c>
      <c r="U48" s="226" t="str">
        <f>IFERROR(VLOOKUP(TableHandbook[[#This Row],[UDC]],TableUHURPLAN[],7,FALSE),"")</f>
        <v>Core</v>
      </c>
    </row>
    <row r="49" spans="1:21" x14ac:dyDescent="0.25">
      <c r="A49" s="8" t="s">
        <v>51</v>
      </c>
      <c r="B49" s="92">
        <v>1</v>
      </c>
      <c r="C49" s="8"/>
      <c r="D49" s="8" t="s">
        <v>202</v>
      </c>
      <c r="E49" s="92">
        <v>25</v>
      </c>
      <c r="F49" s="103" t="s">
        <v>170</v>
      </c>
      <c r="G49" s="123" t="str">
        <f>IFERROR(IF(VLOOKUP(TableHandbook[[#This Row],[UDC]],TableAvailabilities[],2,FALSE)&gt;0,"Y",""),"")</f>
        <v/>
      </c>
      <c r="H49" s="124" t="str">
        <f>IFERROR(IF(VLOOKUP(TableHandbook[[#This Row],[UDC]],TableAvailabilities[],3,FALSE)&gt;0,"Y",""),"")</f>
        <v/>
      </c>
      <c r="I49" s="125" t="str">
        <f>IFERROR(IF(VLOOKUP(TableHandbook[[#This Row],[UDC]],TableAvailabilities[],4,FALSE)&gt;0,"Y",""),"")</f>
        <v>Y</v>
      </c>
      <c r="J49" s="126" t="str">
        <f>IFERROR(IF(VLOOKUP(TableHandbook[[#This Row],[UDC]],TableAvailabilities[],5,FALSE)&gt;0,"Y",""),"")</f>
        <v/>
      </c>
      <c r="K49" s="173"/>
      <c r="L49" s="186" t="str">
        <f>IFERROR(VLOOKUP(TableHandbook[[#This Row],[UDC]],TableBURPLAN2[],7,FALSE),"")</f>
        <v>Core</v>
      </c>
      <c r="M49" s="106" t="str">
        <f>IFERROR(VLOOKUP(TableHandbook[[#This Row],[UDC]],TableSTRHURPLN[],7,FALSE),"")</f>
        <v/>
      </c>
      <c r="N49" s="106" t="str">
        <f>IFERROR(VLOOKUP(TableHandbook[[#This Row],[UDC]],TableSTRUURPLN[],7,FALSE),"")</f>
        <v/>
      </c>
      <c r="O49" s="106" t="str">
        <f>IFERROR(VLOOKUP(TableHandbook[[#This Row],[UDC]],TableSPUCENVSP[],7,FALSE),"")</f>
        <v/>
      </c>
      <c r="P49" s="106" t="str">
        <f>IFERROR(VLOOKUP(TableHandbook[[#This Row],[UDC]],TableSPUCGRAPH[],7,FALSE),"")</f>
        <v/>
      </c>
      <c r="Q49" s="106" t="str">
        <f>IFERROR(VLOOKUP(TableHandbook[[#This Row],[UDC]],TableSPUCINTLD[],7,FALSE),"")</f>
        <v/>
      </c>
      <c r="R49" s="107" t="str">
        <f>IFERROR(VLOOKUP(TableHandbook[[#This Row],[UDC]],TableSPUCLANDN[],7,FALSE),"")</f>
        <v/>
      </c>
      <c r="S49" s="187" t="str">
        <f>IFERROR(VLOOKUP(TableHandbook[[#This Row],[UDC]],TableSPUCSOCJU[],7,FALSE),"")</f>
        <v/>
      </c>
      <c r="T49" s="226" t="str">
        <f>IFERROR(VLOOKUP(TableHandbook[[#This Row],[UDC]],TableUHGEOGY[],7,FALSE),"")</f>
        <v/>
      </c>
      <c r="U49" s="226" t="str">
        <f>IFERROR(VLOOKUP(TableHandbook[[#This Row],[UDC]],TableUHURPLAN[],7,FALSE),"")</f>
        <v>Core</v>
      </c>
    </row>
    <row r="50" spans="1:21" x14ac:dyDescent="0.25">
      <c r="A50" s="8" t="s">
        <v>61</v>
      </c>
      <c r="B50" s="92">
        <v>1</v>
      </c>
      <c r="C50" s="8"/>
      <c r="D50" s="8" t="s">
        <v>203</v>
      </c>
      <c r="E50" s="92">
        <v>25</v>
      </c>
      <c r="F50" s="103" t="s">
        <v>170</v>
      </c>
      <c r="G50" s="123" t="str">
        <f>IFERROR(IF(VLOOKUP(TableHandbook[[#This Row],[UDC]],TableAvailabilities[],2,FALSE)&gt;0,"Y",""),"")</f>
        <v/>
      </c>
      <c r="H50" s="124" t="str">
        <f>IFERROR(IF(VLOOKUP(TableHandbook[[#This Row],[UDC]],TableAvailabilities[],3,FALSE)&gt;0,"Y",""),"")</f>
        <v/>
      </c>
      <c r="I50" s="125" t="str">
        <f>IFERROR(IF(VLOOKUP(TableHandbook[[#This Row],[UDC]],TableAvailabilities[],4,FALSE)&gt;0,"Y",""),"")</f>
        <v>Y</v>
      </c>
      <c r="J50" s="126" t="str">
        <f>IFERROR(IF(VLOOKUP(TableHandbook[[#This Row],[UDC]],TableAvailabilities[],5,FALSE)&gt;0,"Y",""),"")</f>
        <v/>
      </c>
      <c r="K50" s="173"/>
      <c r="L50" s="186" t="str">
        <f>IFERROR(VLOOKUP(TableHandbook[[#This Row],[UDC]],TableBURPLAN2[],7,FALSE),"")</f>
        <v>Core</v>
      </c>
      <c r="M50" s="106" t="str">
        <f>IFERROR(VLOOKUP(TableHandbook[[#This Row],[UDC]],TableSTRHURPLN[],7,FALSE),"")</f>
        <v/>
      </c>
      <c r="N50" s="106" t="str">
        <f>IFERROR(VLOOKUP(TableHandbook[[#This Row],[UDC]],TableSTRUURPLN[],7,FALSE),"")</f>
        <v/>
      </c>
      <c r="O50" s="106" t="str">
        <f>IFERROR(VLOOKUP(TableHandbook[[#This Row],[UDC]],TableSPUCENVSP[],7,FALSE),"")</f>
        <v/>
      </c>
      <c r="P50" s="106" t="str">
        <f>IFERROR(VLOOKUP(TableHandbook[[#This Row],[UDC]],TableSPUCGRAPH[],7,FALSE),"")</f>
        <v/>
      </c>
      <c r="Q50" s="106" t="str">
        <f>IFERROR(VLOOKUP(TableHandbook[[#This Row],[UDC]],TableSPUCINTLD[],7,FALSE),"")</f>
        <v/>
      </c>
      <c r="R50" s="107" t="str">
        <f>IFERROR(VLOOKUP(TableHandbook[[#This Row],[UDC]],TableSPUCLANDN[],7,FALSE),"")</f>
        <v/>
      </c>
      <c r="S50" s="187" t="str">
        <f>IFERROR(VLOOKUP(TableHandbook[[#This Row],[UDC]],TableSPUCSOCJU[],7,FALSE),"")</f>
        <v/>
      </c>
      <c r="T50" s="226" t="str">
        <f>IFERROR(VLOOKUP(TableHandbook[[#This Row],[UDC]],TableUHGEOGY[],7,FALSE),"")</f>
        <v/>
      </c>
      <c r="U50" s="226" t="str">
        <f>IFERROR(VLOOKUP(TableHandbook[[#This Row],[UDC]],TableUHURPLAN[],7,FALSE),"")</f>
        <v/>
      </c>
    </row>
    <row r="51" spans="1:21" x14ac:dyDescent="0.25">
      <c r="A51" s="8" t="s">
        <v>74</v>
      </c>
      <c r="B51" s="92">
        <v>1</v>
      </c>
      <c r="C51" s="8"/>
      <c r="D51" s="8" t="s">
        <v>204</v>
      </c>
      <c r="E51" s="92">
        <v>25</v>
      </c>
      <c r="F51" s="103" t="s">
        <v>55</v>
      </c>
      <c r="G51" s="123" t="str">
        <f>IFERROR(IF(VLOOKUP(TableHandbook[[#This Row],[UDC]],TableAvailabilities[],2,FALSE)&gt;0,"Y",""),"")</f>
        <v>Y</v>
      </c>
      <c r="H51" s="124" t="str">
        <f>IFERROR(IF(VLOOKUP(TableHandbook[[#This Row],[UDC]],TableAvailabilities[],3,FALSE)&gt;0,"Y",""),"")</f>
        <v/>
      </c>
      <c r="I51" s="125" t="str">
        <f>IFERROR(IF(VLOOKUP(TableHandbook[[#This Row],[UDC]],TableAvailabilities[],4,FALSE)&gt;0,"Y",""),"")</f>
        <v/>
      </c>
      <c r="J51" s="126" t="str">
        <f>IFERROR(IF(VLOOKUP(TableHandbook[[#This Row],[UDC]],TableAvailabilities[],5,FALSE)&gt;0,"Y",""),"")</f>
        <v/>
      </c>
      <c r="K51" s="173"/>
      <c r="L51" s="186" t="str">
        <f>IFERROR(VLOOKUP(TableHandbook[[#This Row],[UDC]],TableBURPLAN2[],7,FALSE),"")</f>
        <v>Core</v>
      </c>
      <c r="M51" s="106" t="str">
        <f>IFERROR(VLOOKUP(TableHandbook[[#This Row],[UDC]],TableSTRHURPLN[],7,FALSE),"")</f>
        <v/>
      </c>
      <c r="N51" s="106" t="str">
        <f>IFERROR(VLOOKUP(TableHandbook[[#This Row],[UDC]],TableSTRUURPLN[],7,FALSE),"")</f>
        <v/>
      </c>
      <c r="O51" s="106" t="str">
        <f>IFERROR(VLOOKUP(TableHandbook[[#This Row],[UDC]],TableSPUCENVSP[],7,FALSE),"")</f>
        <v/>
      </c>
      <c r="P51" s="106" t="str">
        <f>IFERROR(VLOOKUP(TableHandbook[[#This Row],[UDC]],TableSPUCGRAPH[],7,FALSE),"")</f>
        <v/>
      </c>
      <c r="Q51" s="106" t="str">
        <f>IFERROR(VLOOKUP(TableHandbook[[#This Row],[UDC]],TableSPUCINTLD[],7,FALSE),"")</f>
        <v/>
      </c>
      <c r="R51" s="107" t="str">
        <f>IFERROR(VLOOKUP(TableHandbook[[#This Row],[UDC]],TableSPUCLANDN[],7,FALSE),"")</f>
        <v/>
      </c>
      <c r="S51" s="187" t="str">
        <f>IFERROR(VLOOKUP(TableHandbook[[#This Row],[UDC]],TableSPUCSOCJU[],7,FALSE),"")</f>
        <v/>
      </c>
      <c r="T51" s="226" t="str">
        <f>IFERROR(VLOOKUP(TableHandbook[[#This Row],[UDC]],TableUHGEOGY[],7,FALSE),"")</f>
        <v/>
      </c>
      <c r="U51" s="226" t="str">
        <f>IFERROR(VLOOKUP(TableHandbook[[#This Row],[UDC]],TableUHURPLAN[],7,FALSE),"")</f>
        <v/>
      </c>
    </row>
    <row r="52" spans="1:21" x14ac:dyDescent="0.25">
      <c r="A52" s="8" t="s">
        <v>75</v>
      </c>
      <c r="B52" s="92">
        <v>1</v>
      </c>
      <c r="C52" s="8"/>
      <c r="D52" s="8" t="s">
        <v>205</v>
      </c>
      <c r="E52" s="92">
        <v>25</v>
      </c>
      <c r="F52" s="103" t="s">
        <v>64</v>
      </c>
      <c r="G52" s="123" t="str">
        <f>IFERROR(IF(VLOOKUP(TableHandbook[[#This Row],[UDC]],TableAvailabilities[],2,FALSE)&gt;0,"Y",""),"")</f>
        <v/>
      </c>
      <c r="H52" s="124" t="str">
        <f>IFERROR(IF(VLOOKUP(TableHandbook[[#This Row],[UDC]],TableAvailabilities[],3,FALSE)&gt;0,"Y",""),"")</f>
        <v/>
      </c>
      <c r="I52" s="125" t="str">
        <f>IFERROR(IF(VLOOKUP(TableHandbook[[#This Row],[UDC]],TableAvailabilities[],4,FALSE)&gt;0,"Y",""),"")</f>
        <v>Y</v>
      </c>
      <c r="J52" s="126" t="str">
        <f>IFERROR(IF(VLOOKUP(TableHandbook[[#This Row],[UDC]],TableAvailabilities[],5,FALSE)&gt;0,"Y",""),"")</f>
        <v/>
      </c>
      <c r="K52" s="173"/>
      <c r="L52" s="186" t="str">
        <f>IFERROR(VLOOKUP(TableHandbook[[#This Row],[UDC]],TableBURPLAN2[],7,FALSE),"")</f>
        <v>Core</v>
      </c>
      <c r="M52" s="106" t="str">
        <f>IFERROR(VLOOKUP(TableHandbook[[#This Row],[UDC]],TableSTRHURPLN[],7,FALSE),"")</f>
        <v/>
      </c>
      <c r="N52" s="106" t="str">
        <f>IFERROR(VLOOKUP(TableHandbook[[#This Row],[UDC]],TableSTRUURPLN[],7,FALSE),"")</f>
        <v/>
      </c>
      <c r="O52" s="106" t="str">
        <f>IFERROR(VLOOKUP(TableHandbook[[#This Row],[UDC]],TableSPUCENVSP[],7,FALSE),"")</f>
        <v/>
      </c>
      <c r="P52" s="106" t="str">
        <f>IFERROR(VLOOKUP(TableHandbook[[#This Row],[UDC]],TableSPUCGRAPH[],7,FALSE),"")</f>
        <v/>
      </c>
      <c r="Q52" s="106" t="str">
        <f>IFERROR(VLOOKUP(TableHandbook[[#This Row],[UDC]],TableSPUCINTLD[],7,FALSE),"")</f>
        <v/>
      </c>
      <c r="R52" s="107" t="str">
        <f>IFERROR(VLOOKUP(TableHandbook[[#This Row],[UDC]],TableSPUCLANDN[],7,FALSE),"")</f>
        <v/>
      </c>
      <c r="S52" s="187" t="str">
        <f>IFERROR(VLOOKUP(TableHandbook[[#This Row],[UDC]],TableSPUCSOCJU[],7,FALSE),"")</f>
        <v/>
      </c>
      <c r="T52" s="226" t="str">
        <f>IFERROR(VLOOKUP(TableHandbook[[#This Row],[UDC]],TableUHGEOGY[],7,FALSE),"")</f>
        <v/>
      </c>
      <c r="U52" s="226" t="str">
        <f>IFERROR(VLOOKUP(TableHandbook[[#This Row],[UDC]],TableUHURPLAN[],7,FALSE),"")</f>
        <v/>
      </c>
    </row>
    <row r="53" spans="1:21" x14ac:dyDescent="0.25">
      <c r="A53" s="8" t="s">
        <v>76</v>
      </c>
      <c r="B53" s="92">
        <v>1</v>
      </c>
      <c r="C53" s="8"/>
      <c r="D53" s="8" t="s">
        <v>206</v>
      </c>
      <c r="E53" s="92">
        <v>25</v>
      </c>
      <c r="F53" s="103" t="s">
        <v>170</v>
      </c>
      <c r="G53" s="123" t="str">
        <f>IFERROR(IF(VLOOKUP(TableHandbook[[#This Row],[UDC]],TableAvailabilities[],2,FALSE)&gt;0,"Y",""),"")</f>
        <v>Y</v>
      </c>
      <c r="H53" s="124" t="str">
        <f>IFERROR(IF(VLOOKUP(TableHandbook[[#This Row],[UDC]],TableAvailabilities[],3,FALSE)&gt;0,"Y",""),"")</f>
        <v/>
      </c>
      <c r="I53" s="125" t="str">
        <f>IFERROR(IF(VLOOKUP(TableHandbook[[#This Row],[UDC]],TableAvailabilities[],4,FALSE)&gt;0,"Y",""),"")</f>
        <v/>
      </c>
      <c r="J53" s="126" t="str">
        <f>IFERROR(IF(VLOOKUP(TableHandbook[[#This Row],[UDC]],TableAvailabilities[],5,FALSE)&gt;0,"Y",""),"")</f>
        <v/>
      </c>
      <c r="K53" s="173"/>
      <c r="L53" s="186" t="str">
        <f>IFERROR(VLOOKUP(TableHandbook[[#This Row],[UDC]],TableBURPLAN2[],7,FALSE),"")</f>
        <v>Core</v>
      </c>
      <c r="M53" s="106" t="str">
        <f>IFERROR(VLOOKUP(TableHandbook[[#This Row],[UDC]],TableSTRHURPLN[],7,FALSE),"")</f>
        <v/>
      </c>
      <c r="N53" s="106" t="str">
        <f>IFERROR(VLOOKUP(TableHandbook[[#This Row],[UDC]],TableSTRUURPLN[],7,FALSE),"")</f>
        <v/>
      </c>
      <c r="O53" s="106" t="str">
        <f>IFERROR(VLOOKUP(TableHandbook[[#This Row],[UDC]],TableSPUCENVSP[],7,FALSE),"")</f>
        <v/>
      </c>
      <c r="P53" s="106" t="str">
        <f>IFERROR(VLOOKUP(TableHandbook[[#This Row],[UDC]],TableSPUCGRAPH[],7,FALSE),"")</f>
        <v/>
      </c>
      <c r="Q53" s="106" t="str">
        <f>IFERROR(VLOOKUP(TableHandbook[[#This Row],[UDC]],TableSPUCINTLD[],7,FALSE),"")</f>
        <v/>
      </c>
      <c r="R53" s="107" t="str">
        <f>IFERROR(VLOOKUP(TableHandbook[[#This Row],[UDC]],TableSPUCLANDN[],7,FALSE),"")</f>
        <v/>
      </c>
      <c r="S53" s="187" t="str">
        <f>IFERROR(VLOOKUP(TableHandbook[[#This Row],[UDC]],TableSPUCSOCJU[],7,FALSE),"")</f>
        <v/>
      </c>
      <c r="T53" s="226" t="str">
        <f>IFERROR(VLOOKUP(TableHandbook[[#This Row],[UDC]],TableUHGEOGY[],7,FALSE),"")</f>
        <v/>
      </c>
      <c r="U53" s="226" t="str">
        <f>IFERROR(VLOOKUP(TableHandbook[[#This Row],[UDC]],TableUHURPLAN[],7,FALSE),"")</f>
        <v/>
      </c>
    </row>
    <row r="54" spans="1:21" x14ac:dyDescent="0.25">
      <c r="A54" s="8" t="s">
        <v>79</v>
      </c>
      <c r="B54" s="92">
        <v>1</v>
      </c>
      <c r="C54" s="8"/>
      <c r="D54" s="8" t="s">
        <v>207</v>
      </c>
      <c r="E54" s="92">
        <v>25</v>
      </c>
      <c r="F54" s="103" t="s">
        <v>170</v>
      </c>
      <c r="G54" s="142" t="str">
        <f>IFERROR(IF(VLOOKUP(TableHandbook[[#This Row],[UDC]],TableAvailabilities[],2,FALSE)&gt;0,"Y",""),"")</f>
        <v>Y</v>
      </c>
      <c r="H54" s="143" t="str">
        <f>IFERROR(IF(VLOOKUP(TableHandbook[[#This Row],[UDC]],TableAvailabilities[],3,FALSE)&gt;0,"Y",""),"")</f>
        <v/>
      </c>
      <c r="I54" s="144" t="str">
        <f>IFERROR(IF(VLOOKUP(TableHandbook[[#This Row],[UDC]],TableAvailabilities[],4,FALSE)&gt;0,"Y",""),"")</f>
        <v/>
      </c>
      <c r="J54" s="145" t="str">
        <f>IFERROR(IF(VLOOKUP(TableHandbook[[#This Row],[UDC]],TableAvailabilities[],5,FALSE)&gt;0,"Y",""),"")</f>
        <v/>
      </c>
      <c r="K54" s="173"/>
      <c r="L54" s="186" t="str">
        <f>IFERROR(VLOOKUP(TableHandbook[[#This Row],[UDC]],TableBURPLAN2[],7,FALSE),"")</f>
        <v>Core</v>
      </c>
      <c r="M54" s="106" t="str">
        <f>IFERROR(VLOOKUP(TableHandbook[[#This Row],[UDC]],TableSTRHURPLN[],7,FALSE),"")</f>
        <v/>
      </c>
      <c r="N54" s="106" t="str">
        <f>IFERROR(VLOOKUP(TableHandbook[[#This Row],[UDC]],TableSTRUURPLN[],7,FALSE),"")</f>
        <v/>
      </c>
      <c r="O54" s="106" t="str">
        <f>IFERROR(VLOOKUP(TableHandbook[[#This Row],[UDC]],TableSPUCENVSP[],7,FALSE),"")</f>
        <v/>
      </c>
      <c r="P54" s="106" t="str">
        <f>IFERROR(VLOOKUP(TableHandbook[[#This Row],[UDC]],TableSPUCGRAPH[],7,FALSE),"")</f>
        <v/>
      </c>
      <c r="Q54" s="106" t="str">
        <f>IFERROR(VLOOKUP(TableHandbook[[#This Row],[UDC]],TableSPUCINTLD[],7,FALSE),"")</f>
        <v/>
      </c>
      <c r="R54" s="107" t="str">
        <f>IFERROR(VLOOKUP(TableHandbook[[#This Row],[UDC]],TableSPUCLANDN[],7,FALSE),"")</f>
        <v/>
      </c>
      <c r="S54" s="187" t="str">
        <f>IFERROR(VLOOKUP(TableHandbook[[#This Row],[UDC]],TableSPUCSOCJU[],7,FALSE),"")</f>
        <v/>
      </c>
      <c r="T54" s="226" t="str">
        <f>IFERROR(VLOOKUP(TableHandbook[[#This Row],[UDC]],TableUHGEOGY[],7,FALSE),"")</f>
        <v/>
      </c>
      <c r="U54" s="226" t="str">
        <f>IFERROR(VLOOKUP(TableHandbook[[#This Row],[UDC]],TableUHURPLAN[],7,FALSE),"")</f>
        <v/>
      </c>
    </row>
    <row r="55" spans="1:21" x14ac:dyDescent="0.25">
      <c r="A55" s="8" t="s">
        <v>77</v>
      </c>
      <c r="B55" s="92">
        <v>1</v>
      </c>
      <c r="C55" s="8"/>
      <c r="D55" s="8" t="s">
        <v>208</v>
      </c>
      <c r="E55" s="92">
        <v>25</v>
      </c>
      <c r="F55" s="103" t="s">
        <v>60</v>
      </c>
      <c r="G55" s="142" t="str">
        <f>IFERROR(IF(VLOOKUP(TableHandbook[[#This Row],[UDC]],TableAvailabilities[],2,FALSE)&gt;0,"Y",""),"")</f>
        <v/>
      </c>
      <c r="H55" s="143" t="str">
        <f>IFERROR(IF(VLOOKUP(TableHandbook[[#This Row],[UDC]],TableAvailabilities[],3,FALSE)&gt;0,"Y",""),"")</f>
        <v/>
      </c>
      <c r="I55" s="144" t="str">
        <f>IFERROR(IF(VLOOKUP(TableHandbook[[#This Row],[UDC]],TableAvailabilities[],4,FALSE)&gt;0,"Y",""),"")</f>
        <v>Y</v>
      </c>
      <c r="J55" s="145" t="str">
        <f>IFERROR(IF(VLOOKUP(TableHandbook[[#This Row],[UDC]],TableAvailabilities[],5,FALSE)&gt;0,"Y",""),"")</f>
        <v/>
      </c>
      <c r="K55" s="173"/>
      <c r="L55" s="186" t="str">
        <f>IFERROR(VLOOKUP(TableHandbook[[#This Row],[UDC]],TableBURPLAN2[],7,FALSE),"")</f>
        <v>Core</v>
      </c>
      <c r="M55" s="106" t="str">
        <f>IFERROR(VLOOKUP(TableHandbook[[#This Row],[UDC]],TableSTRHURPLN[],7,FALSE),"")</f>
        <v/>
      </c>
      <c r="N55" s="106" t="str">
        <f>IFERROR(VLOOKUP(TableHandbook[[#This Row],[UDC]],TableSTRUURPLN[],7,FALSE),"")</f>
        <v/>
      </c>
      <c r="O55" s="106" t="str">
        <f>IFERROR(VLOOKUP(TableHandbook[[#This Row],[UDC]],TableSPUCENVSP[],7,FALSE),"")</f>
        <v/>
      </c>
      <c r="P55" s="106" t="str">
        <f>IFERROR(VLOOKUP(TableHandbook[[#This Row],[UDC]],TableSPUCGRAPH[],7,FALSE),"")</f>
        <v/>
      </c>
      <c r="Q55" s="106" t="str">
        <f>IFERROR(VLOOKUP(TableHandbook[[#This Row],[UDC]],TableSPUCINTLD[],7,FALSE),"")</f>
        <v/>
      </c>
      <c r="R55" s="107" t="str">
        <f>IFERROR(VLOOKUP(TableHandbook[[#This Row],[UDC]],TableSPUCLANDN[],7,FALSE),"")</f>
        <v/>
      </c>
      <c r="S55" s="187" t="str">
        <f>IFERROR(VLOOKUP(TableHandbook[[#This Row],[UDC]],TableSPUCSOCJU[],7,FALSE),"")</f>
        <v/>
      </c>
      <c r="T55" s="226" t="str">
        <f>IFERROR(VLOOKUP(TableHandbook[[#This Row],[UDC]],TableUHGEOGY[],7,FALSE),"")</f>
        <v/>
      </c>
      <c r="U55" s="226" t="str">
        <f>IFERROR(VLOOKUP(TableHandbook[[#This Row],[UDC]],TableUHURPLAN[],7,FALSE),"")</f>
        <v/>
      </c>
    </row>
    <row r="56" spans="1:21" x14ac:dyDescent="0.25">
      <c r="A56" s="8" t="s">
        <v>72</v>
      </c>
      <c r="B56" s="92">
        <v>1</v>
      </c>
      <c r="C56" s="8"/>
      <c r="D56" s="8" t="s">
        <v>209</v>
      </c>
      <c r="E56" s="92">
        <v>25</v>
      </c>
      <c r="F56" s="103" t="s">
        <v>170</v>
      </c>
      <c r="G56" s="142" t="str">
        <f>IFERROR(IF(VLOOKUP(TableHandbook[[#This Row],[UDC]],TableAvailabilities[],2,FALSE)&gt;0,"Y",""),"")</f>
        <v/>
      </c>
      <c r="H56" s="143" t="str">
        <f>IFERROR(IF(VLOOKUP(TableHandbook[[#This Row],[UDC]],TableAvailabilities[],3,FALSE)&gt;0,"Y",""),"")</f>
        <v/>
      </c>
      <c r="I56" s="144" t="str">
        <f>IFERROR(IF(VLOOKUP(TableHandbook[[#This Row],[UDC]],TableAvailabilities[],4,FALSE)&gt;0,"Y",""),"")</f>
        <v>Y</v>
      </c>
      <c r="J56" s="145" t="str">
        <f>IFERROR(IF(VLOOKUP(TableHandbook[[#This Row],[UDC]],TableAvailabilities[],5,FALSE)&gt;0,"Y",""),"")</f>
        <v/>
      </c>
      <c r="K56" s="173"/>
      <c r="L56" s="186" t="str">
        <f>IFERROR(VLOOKUP(TableHandbook[[#This Row],[UDC]],TableBURPLAN2[],7,FALSE),"")</f>
        <v>Core</v>
      </c>
      <c r="M56" s="106" t="str">
        <f>IFERROR(VLOOKUP(TableHandbook[[#This Row],[UDC]],TableSTRHURPLN[],7,FALSE),"")</f>
        <v/>
      </c>
      <c r="N56" s="106" t="str">
        <f>IFERROR(VLOOKUP(TableHandbook[[#This Row],[UDC]],TableSTRUURPLN[],7,FALSE),"")</f>
        <v/>
      </c>
      <c r="O56" s="106" t="str">
        <f>IFERROR(VLOOKUP(TableHandbook[[#This Row],[UDC]],TableSPUCENVSP[],7,FALSE),"")</f>
        <v/>
      </c>
      <c r="P56" s="106" t="str">
        <f>IFERROR(VLOOKUP(TableHandbook[[#This Row],[UDC]],TableSPUCGRAPH[],7,FALSE),"")</f>
        <v/>
      </c>
      <c r="Q56" s="106" t="str">
        <f>IFERROR(VLOOKUP(TableHandbook[[#This Row],[UDC]],TableSPUCINTLD[],7,FALSE),"")</f>
        <v/>
      </c>
      <c r="R56" s="107" t="str">
        <f>IFERROR(VLOOKUP(TableHandbook[[#This Row],[UDC]],TableSPUCLANDN[],7,FALSE),"")</f>
        <v/>
      </c>
      <c r="S56" s="187" t="str">
        <f>IFERROR(VLOOKUP(TableHandbook[[#This Row],[UDC]],TableSPUCSOCJU[],7,FALSE),"")</f>
        <v/>
      </c>
      <c r="T56" s="226" t="str">
        <f>IFERROR(VLOOKUP(TableHandbook[[#This Row],[UDC]],TableUHGEOGY[],7,FALSE),"")</f>
        <v/>
      </c>
      <c r="U56" s="226" t="str">
        <f>IFERROR(VLOOKUP(TableHandbook[[#This Row],[UDC]],TableUHURPLAN[],7,FALSE),"")</f>
        <v/>
      </c>
    </row>
    <row r="57" spans="1:21" x14ac:dyDescent="0.25">
      <c r="A57" s="8" t="s">
        <v>69</v>
      </c>
      <c r="B57" s="92">
        <v>1</v>
      </c>
      <c r="C57" s="8"/>
      <c r="D57" s="8" t="s">
        <v>210</v>
      </c>
      <c r="E57" s="92">
        <v>25</v>
      </c>
      <c r="F57" s="103" t="s">
        <v>170</v>
      </c>
      <c r="G57" s="108" t="str">
        <f>IFERROR(IF(VLOOKUP(TableHandbook[[#This Row],[UDC]],TableAvailabilities[],2,FALSE)&gt;0,"Y",""),"")</f>
        <v>Y</v>
      </c>
      <c r="H57" s="109" t="str">
        <f>IFERROR(IF(VLOOKUP(TableHandbook[[#This Row],[UDC]],TableAvailabilities[],3,FALSE)&gt;0,"Y",""),"")</f>
        <v/>
      </c>
      <c r="I57" s="110" t="str">
        <f>IFERROR(IF(VLOOKUP(TableHandbook[[#This Row],[UDC]],TableAvailabilities[],4,FALSE)&gt;0,"Y",""),"")</f>
        <v/>
      </c>
      <c r="J57" s="111" t="str">
        <f>IFERROR(IF(VLOOKUP(TableHandbook[[#This Row],[UDC]],TableAvailabilities[],5,FALSE)&gt;0,"Y",""),"")</f>
        <v/>
      </c>
      <c r="K57" s="173"/>
      <c r="L57" s="186" t="str">
        <f>IFERROR(VLOOKUP(TableHandbook[[#This Row],[UDC]],TableBURPLAN2[],7,FALSE),"")</f>
        <v>Core</v>
      </c>
      <c r="M57" s="106" t="str">
        <f>IFERROR(VLOOKUP(TableHandbook[[#This Row],[UDC]],TableSTRHURPLN[],7,FALSE),"")</f>
        <v/>
      </c>
      <c r="N57" s="106" t="str">
        <f>IFERROR(VLOOKUP(TableHandbook[[#This Row],[UDC]],TableSTRUURPLN[],7,FALSE),"")</f>
        <v/>
      </c>
      <c r="O57" s="106" t="str">
        <f>IFERROR(VLOOKUP(TableHandbook[[#This Row],[UDC]],TableSPUCENVSP[],7,FALSE),"")</f>
        <v/>
      </c>
      <c r="P57" s="106" t="str">
        <f>IFERROR(VLOOKUP(TableHandbook[[#This Row],[UDC]],TableSPUCGRAPH[],7,FALSE),"")</f>
        <v/>
      </c>
      <c r="Q57" s="106" t="str">
        <f>IFERROR(VLOOKUP(TableHandbook[[#This Row],[UDC]],TableSPUCINTLD[],7,FALSE),"")</f>
        <v/>
      </c>
      <c r="R57" s="107" t="str">
        <f>IFERROR(VLOOKUP(TableHandbook[[#This Row],[UDC]],TableSPUCLANDN[],7,FALSE),"")</f>
        <v/>
      </c>
      <c r="S57" s="187" t="str">
        <f>IFERROR(VLOOKUP(TableHandbook[[#This Row],[UDC]],TableSPUCSOCJU[],7,FALSE),"")</f>
        <v/>
      </c>
      <c r="T57" s="226" t="str">
        <f>IFERROR(VLOOKUP(TableHandbook[[#This Row],[UDC]],TableUHGEOGY[],7,FALSE),"")</f>
        <v/>
      </c>
      <c r="U57" s="226" t="str">
        <f>IFERROR(VLOOKUP(TableHandbook[[#This Row],[UDC]],TableUHURPLAN[],7,FALSE),"")</f>
        <v/>
      </c>
    </row>
    <row r="58" spans="1:21" x14ac:dyDescent="0.25">
      <c r="A58" s="8" t="s">
        <v>97</v>
      </c>
      <c r="B58" s="92">
        <v>2</v>
      </c>
      <c r="C58" s="8"/>
      <c r="D58" s="8" t="s">
        <v>211</v>
      </c>
      <c r="E58" s="92">
        <v>25</v>
      </c>
      <c r="F58" s="103" t="s">
        <v>170</v>
      </c>
      <c r="G58" s="142" t="str">
        <f>IFERROR(IF(VLOOKUP(TableHandbook[[#This Row],[UDC]],TableAvailabilities[],2,FALSE)&gt;0,"Y",""),"")</f>
        <v/>
      </c>
      <c r="H58" s="143" t="str">
        <f>IFERROR(IF(VLOOKUP(TableHandbook[[#This Row],[UDC]],TableAvailabilities[],3,FALSE)&gt;0,"Y",""),"")</f>
        <v/>
      </c>
      <c r="I58" s="144" t="str">
        <f>IFERROR(IF(VLOOKUP(TableHandbook[[#This Row],[UDC]],TableAvailabilities[],4,FALSE)&gt;0,"Y",""),"")</f>
        <v>Y</v>
      </c>
      <c r="J58" s="145" t="str">
        <f>IFERROR(IF(VLOOKUP(TableHandbook[[#This Row],[UDC]],TableAvailabilities[],5,FALSE)&gt;0,"Y",""),"")</f>
        <v/>
      </c>
      <c r="K58" s="173"/>
      <c r="L58" s="186" t="str">
        <f>IFERROR(VLOOKUP(TableHandbook[[#This Row],[UDC]],TableBURPLAN2[],7,FALSE),"")</f>
        <v>Core</v>
      </c>
      <c r="M58" s="106" t="str">
        <f>IFERROR(VLOOKUP(TableHandbook[[#This Row],[UDC]],TableSTRHURPLN[],7,FALSE),"")</f>
        <v/>
      </c>
      <c r="N58" s="106" t="str">
        <f>IFERROR(VLOOKUP(TableHandbook[[#This Row],[UDC]],TableSTRUURPLN[],7,FALSE),"")</f>
        <v/>
      </c>
      <c r="O58" s="106" t="str">
        <f>IFERROR(VLOOKUP(TableHandbook[[#This Row],[UDC]],TableSPUCENVSP[],7,FALSE),"")</f>
        <v/>
      </c>
      <c r="P58" s="106" t="str">
        <f>IFERROR(VLOOKUP(TableHandbook[[#This Row],[UDC]],TableSPUCGRAPH[],7,FALSE),"")</f>
        <v/>
      </c>
      <c r="Q58" s="106" t="str">
        <f>IFERROR(VLOOKUP(TableHandbook[[#This Row],[UDC]],TableSPUCINTLD[],7,FALSE),"")</f>
        <v/>
      </c>
      <c r="R58" s="107" t="str">
        <f>IFERROR(VLOOKUP(TableHandbook[[#This Row],[UDC]],TableSPUCLANDN[],7,FALSE),"")</f>
        <v/>
      </c>
      <c r="S58" s="187" t="str">
        <f>IFERROR(VLOOKUP(TableHandbook[[#This Row],[UDC]],TableSPUCSOCJU[],7,FALSE),"")</f>
        <v/>
      </c>
      <c r="T58" s="226" t="str">
        <f>IFERROR(VLOOKUP(TableHandbook[[#This Row],[UDC]],TableUHGEOGY[],7,FALSE),"")</f>
        <v/>
      </c>
      <c r="U58" s="226" t="str">
        <f>IFERROR(VLOOKUP(TableHandbook[[#This Row],[UDC]],TableUHURPLAN[],7,FALSE),"")</f>
        <v/>
      </c>
    </row>
    <row r="59" spans="1:21" x14ac:dyDescent="0.25">
      <c r="A59" s="8" t="s">
        <v>96</v>
      </c>
      <c r="B59" s="92">
        <v>1</v>
      </c>
      <c r="C59" s="8"/>
      <c r="D59" s="8" t="s">
        <v>212</v>
      </c>
      <c r="E59" s="92">
        <v>25</v>
      </c>
      <c r="F59" s="103" t="s">
        <v>170</v>
      </c>
      <c r="G59" s="142" t="str">
        <f>IFERROR(IF(VLOOKUP(TableHandbook[[#This Row],[UDC]],TableAvailabilities[],2,FALSE)&gt;0,"Y",""),"")</f>
        <v>Y</v>
      </c>
      <c r="H59" s="143" t="str">
        <f>IFERROR(IF(VLOOKUP(TableHandbook[[#This Row],[UDC]],TableAvailabilities[],3,FALSE)&gt;0,"Y",""),"")</f>
        <v/>
      </c>
      <c r="I59" s="144" t="str">
        <f>IFERROR(IF(VLOOKUP(TableHandbook[[#This Row],[UDC]],TableAvailabilities[],4,FALSE)&gt;0,"Y",""),"")</f>
        <v/>
      </c>
      <c r="J59" s="145" t="str">
        <f>IFERROR(IF(VLOOKUP(TableHandbook[[#This Row],[UDC]],TableAvailabilities[],5,FALSE)&gt;0,"Y",""),"")</f>
        <v/>
      </c>
      <c r="K59" s="173"/>
      <c r="L59" s="186" t="str">
        <f>IFERROR(VLOOKUP(TableHandbook[[#This Row],[UDC]],TableBURPLAN2[],7,FALSE),"")</f>
        <v>Core</v>
      </c>
      <c r="M59" s="106" t="str">
        <f>IFERROR(VLOOKUP(TableHandbook[[#This Row],[UDC]],TableSTRHURPLN[],7,FALSE),"")</f>
        <v/>
      </c>
      <c r="N59" s="106" t="str">
        <f>IFERROR(VLOOKUP(TableHandbook[[#This Row],[UDC]],TableSTRUURPLN[],7,FALSE),"")</f>
        <v/>
      </c>
      <c r="O59" s="106" t="str">
        <f>IFERROR(VLOOKUP(TableHandbook[[#This Row],[UDC]],TableSPUCENVSP[],7,FALSE),"")</f>
        <v/>
      </c>
      <c r="P59" s="106" t="str">
        <f>IFERROR(VLOOKUP(TableHandbook[[#This Row],[UDC]],TableSPUCGRAPH[],7,FALSE),"")</f>
        <v/>
      </c>
      <c r="Q59" s="106" t="str">
        <f>IFERROR(VLOOKUP(TableHandbook[[#This Row],[UDC]],TableSPUCINTLD[],7,FALSE),"")</f>
        <v/>
      </c>
      <c r="R59" s="107" t="str">
        <f>IFERROR(VLOOKUP(TableHandbook[[#This Row],[UDC]],TableSPUCLANDN[],7,FALSE),"")</f>
        <v/>
      </c>
      <c r="S59" s="187" t="str">
        <f>IFERROR(VLOOKUP(TableHandbook[[#This Row],[UDC]],TableSPUCSOCJU[],7,FALSE),"")</f>
        <v/>
      </c>
      <c r="T59" s="226" t="str">
        <f>IFERROR(VLOOKUP(TableHandbook[[#This Row],[UDC]],TableUHGEOGY[],7,FALSE),"")</f>
        <v/>
      </c>
      <c r="U59" s="226" t="str">
        <f>IFERROR(VLOOKUP(TableHandbook[[#This Row],[UDC]],TableUHURPLAN[],7,FALSE),"")</f>
        <v/>
      </c>
    </row>
    <row r="60" spans="1:21" x14ac:dyDescent="0.25">
      <c r="A60" s="215" t="s">
        <v>266</v>
      </c>
      <c r="B60" s="216">
        <v>1</v>
      </c>
      <c r="C60" s="215"/>
      <c r="D60" s="215" t="s">
        <v>213</v>
      </c>
      <c r="E60" s="92">
        <v>25</v>
      </c>
      <c r="F60" s="103" t="s">
        <v>170</v>
      </c>
      <c r="G60" s="142" t="str">
        <f>IFERROR(IF(VLOOKUP(TableHandbook[[#This Row],[UDC]],TableAvailabilities[],2,FALSE)&gt;0,"Y",""),"")</f>
        <v/>
      </c>
      <c r="H60" s="143" t="str">
        <f>IFERROR(IF(VLOOKUP(TableHandbook[[#This Row],[UDC]],TableAvailabilities[],3,FALSE)&gt;0,"Y",""),"")</f>
        <v/>
      </c>
      <c r="I60" s="144" t="str">
        <f>IFERROR(IF(VLOOKUP(TableHandbook[[#This Row],[UDC]],TableAvailabilities[],4,FALSE)&gt;0,"Y",""),"")</f>
        <v/>
      </c>
      <c r="J60" s="145" t="str">
        <f>IFERROR(IF(VLOOKUP(TableHandbook[[#This Row],[UDC]],TableAvailabilities[],5,FALSE)&gt;0,"Y",""),"")</f>
        <v/>
      </c>
      <c r="K60" s="217" t="s">
        <v>268</v>
      </c>
      <c r="L60" s="186" t="str">
        <f>IFERROR(VLOOKUP(TableHandbook[[#This Row],[UDC]],TableBURPLAN2[],7,FALSE),"")</f>
        <v/>
      </c>
      <c r="M60" s="106" t="str">
        <f>IFERROR(VLOOKUP(TableHandbook[[#This Row],[UDC]],TableSTRHURPLN[],7,FALSE),"")</f>
        <v/>
      </c>
      <c r="N60" s="106" t="str">
        <f>IFERROR(VLOOKUP(TableHandbook[[#This Row],[UDC]],TableSTRUURPLN[],7,FALSE),"")</f>
        <v/>
      </c>
      <c r="O60" s="106" t="str">
        <f>IFERROR(VLOOKUP(TableHandbook[[#This Row],[UDC]],TableSPUCENVSP[],7,FALSE),"")</f>
        <v/>
      </c>
      <c r="P60" s="106" t="str">
        <f>IFERROR(VLOOKUP(TableHandbook[[#This Row],[UDC]],TableSPUCGRAPH[],7,FALSE),"")</f>
        <v/>
      </c>
      <c r="Q60" s="106" t="str">
        <f>IFERROR(VLOOKUP(TableHandbook[[#This Row],[UDC]],TableSPUCINTLD[],7,FALSE),"")</f>
        <v/>
      </c>
      <c r="R60" s="107" t="str">
        <f>IFERROR(VLOOKUP(TableHandbook[[#This Row],[UDC]],TableSPUCLANDN[],7,FALSE),"")</f>
        <v/>
      </c>
      <c r="S60" s="187" t="str">
        <f>IFERROR(VLOOKUP(TableHandbook[[#This Row],[UDC]],TableSPUCSOCJU[],7,FALSE),"")</f>
        <v/>
      </c>
      <c r="T60" s="226" t="str">
        <f>IFERROR(VLOOKUP(TableHandbook[[#This Row],[UDC]],TableUHGEOGY[],7,FALSE),"")</f>
        <v/>
      </c>
      <c r="U60" s="226" t="str">
        <f>IFERROR(VLOOKUP(TableHandbook[[#This Row],[UDC]],TableUHURPLAN[],7,FALSE),"")</f>
        <v/>
      </c>
    </row>
    <row r="61" spans="1:21" x14ac:dyDescent="0.25">
      <c r="A61" s="8" t="s">
        <v>151</v>
      </c>
      <c r="B61" s="92">
        <v>1</v>
      </c>
      <c r="C61" s="8"/>
      <c r="D61" s="8" t="s">
        <v>303</v>
      </c>
      <c r="E61" s="92">
        <v>25</v>
      </c>
      <c r="F61" s="103" t="s">
        <v>170</v>
      </c>
      <c r="G61" s="108" t="str">
        <f>IFERROR(IF(VLOOKUP(TableHandbook[[#This Row],[UDC]],TableAvailabilities[],2,FALSE)&gt;0,"Y",""),"")</f>
        <v/>
      </c>
      <c r="H61" s="109" t="str">
        <f>IFERROR(IF(VLOOKUP(TableHandbook[[#This Row],[UDC]],TableAvailabilities[],3,FALSE)&gt;0,"Y",""),"")</f>
        <v/>
      </c>
      <c r="I61" s="110" t="str">
        <f>IFERROR(IF(VLOOKUP(TableHandbook[[#This Row],[UDC]],TableAvailabilities[],4,FALSE)&gt;0,"Y",""),"")</f>
        <v/>
      </c>
      <c r="J61" s="111" t="str">
        <f>IFERROR(IF(VLOOKUP(TableHandbook[[#This Row],[UDC]],TableAvailabilities[],5,FALSE)&gt;0,"Y",""),"")</f>
        <v/>
      </c>
      <c r="K61" s="173"/>
      <c r="L61" s="186" t="str">
        <f>IFERROR(VLOOKUP(TableHandbook[[#This Row],[UDC]],TableBURPLAN2[],7,FALSE),"")</f>
        <v/>
      </c>
      <c r="M61" s="106" t="str">
        <f>IFERROR(VLOOKUP(TableHandbook[[#This Row],[UDC]],TableSTRHURPLN[],7,FALSE),"")</f>
        <v/>
      </c>
      <c r="N61" s="106" t="str">
        <f>IFERROR(VLOOKUP(TableHandbook[[#This Row],[UDC]],TableSTRUURPLN[],7,FALSE),"")</f>
        <v/>
      </c>
      <c r="O61" s="106" t="str">
        <f>IFERROR(VLOOKUP(TableHandbook[[#This Row],[UDC]],TableSPUCENVSP[],7,FALSE),"")</f>
        <v>AltCore</v>
      </c>
      <c r="P61" s="106" t="str">
        <f>IFERROR(VLOOKUP(TableHandbook[[#This Row],[UDC]],TableSPUCGRAPH[],7,FALSE),"")</f>
        <v>AltCore</v>
      </c>
      <c r="Q61" s="106" t="str">
        <f>IFERROR(VLOOKUP(TableHandbook[[#This Row],[UDC]],TableSPUCINTLD[],7,FALSE),"")</f>
        <v>AltCore</v>
      </c>
      <c r="R61" s="107" t="str">
        <f>IFERROR(VLOOKUP(TableHandbook[[#This Row],[UDC]],TableSPUCLANDN[],7,FALSE),"")</f>
        <v>AltCore</v>
      </c>
      <c r="S61" s="187" t="str">
        <f>IFERROR(VLOOKUP(TableHandbook[[#This Row],[UDC]],TableSPUCSOCJU[],7,FALSE),"")</f>
        <v>AltCore</v>
      </c>
      <c r="T61" s="226" t="str">
        <f>IFERROR(VLOOKUP(TableHandbook[[#This Row],[UDC]],TableUHGEOGY[],7,FALSE),"")</f>
        <v/>
      </c>
      <c r="U61" s="226" t="str">
        <f>IFERROR(VLOOKUP(TableHandbook[[#This Row],[UDC]],TableUHURPLAN[],7,FALSE),"")</f>
        <v/>
      </c>
    </row>
    <row r="62" spans="1:21" x14ac:dyDescent="0.25">
      <c r="A62" s="8" t="s">
        <v>91</v>
      </c>
      <c r="B62" s="92">
        <v>2</v>
      </c>
      <c r="C62" s="8"/>
      <c r="D62" s="8" t="s">
        <v>215</v>
      </c>
      <c r="E62" s="92">
        <v>25</v>
      </c>
      <c r="F62" s="103" t="s">
        <v>170</v>
      </c>
      <c r="G62" s="108" t="str">
        <f>IFERROR(IF(VLOOKUP(TableHandbook[[#This Row],[UDC]],TableAvailabilities[],2,FALSE)&gt;0,"Y",""),"")</f>
        <v/>
      </c>
      <c r="H62" s="109" t="str">
        <f>IFERROR(IF(VLOOKUP(TableHandbook[[#This Row],[UDC]],TableAvailabilities[],3,FALSE)&gt;0,"Y",""),"")</f>
        <v/>
      </c>
      <c r="I62" s="110" t="str">
        <f>IFERROR(IF(VLOOKUP(TableHandbook[[#This Row],[UDC]],TableAvailabilities[],4,FALSE)&gt;0,"Y",""),"")</f>
        <v>Y</v>
      </c>
      <c r="J62" s="111" t="str">
        <f>IFERROR(IF(VLOOKUP(TableHandbook[[#This Row],[UDC]],TableAvailabilities[],5,FALSE)&gt;0,"Y",""),"")</f>
        <v/>
      </c>
      <c r="K62" s="173"/>
      <c r="L62" s="186" t="str">
        <f>IFERROR(VLOOKUP(TableHandbook[[#This Row],[UDC]],TableBURPLAN2[],7,FALSE),"")</f>
        <v>Core</v>
      </c>
      <c r="M62" s="106" t="str">
        <f>IFERROR(VLOOKUP(TableHandbook[[#This Row],[UDC]],TableSTRHURPLN[],7,FALSE),"")</f>
        <v/>
      </c>
      <c r="N62" s="106" t="str">
        <f>IFERROR(VLOOKUP(TableHandbook[[#This Row],[UDC]],TableSTRUURPLN[],7,FALSE),"")</f>
        <v/>
      </c>
      <c r="O62" s="106" t="str">
        <f>IFERROR(VLOOKUP(TableHandbook[[#This Row],[UDC]],TableSPUCENVSP[],7,FALSE),"")</f>
        <v/>
      </c>
      <c r="P62" s="106" t="str">
        <f>IFERROR(VLOOKUP(TableHandbook[[#This Row],[UDC]],TableSPUCGRAPH[],7,FALSE),"")</f>
        <v/>
      </c>
      <c r="Q62" s="106" t="str">
        <f>IFERROR(VLOOKUP(TableHandbook[[#This Row],[UDC]],TableSPUCINTLD[],7,FALSE),"")</f>
        <v/>
      </c>
      <c r="R62" s="107" t="str">
        <f>IFERROR(VLOOKUP(TableHandbook[[#This Row],[UDC]],TableSPUCLANDN[],7,FALSE),"")</f>
        <v/>
      </c>
      <c r="S62" s="187" t="str">
        <f>IFERROR(VLOOKUP(TableHandbook[[#This Row],[UDC]],TableSPUCSOCJU[],7,FALSE),"")</f>
        <v/>
      </c>
      <c r="T62" s="226" t="str">
        <f>IFERROR(VLOOKUP(TableHandbook[[#This Row],[UDC]],TableUHGEOGY[],7,FALSE),"")</f>
        <v/>
      </c>
      <c r="U62" s="226" t="str">
        <f>IFERROR(VLOOKUP(TableHandbook[[#This Row],[UDC]],TableUHURPLAN[],7,FALSE),"")</f>
        <v/>
      </c>
    </row>
    <row r="63" spans="1:21" x14ac:dyDescent="0.25">
      <c r="A63" s="6" t="s">
        <v>95</v>
      </c>
      <c r="B63" s="194">
        <v>2</v>
      </c>
      <c r="C63" s="6"/>
      <c r="D63" s="6" t="s">
        <v>216</v>
      </c>
      <c r="E63" s="92">
        <v>25</v>
      </c>
      <c r="F63" s="103" t="s">
        <v>170</v>
      </c>
      <c r="G63" s="108" t="str">
        <f>IFERROR(IF(VLOOKUP(TableHandbook[[#This Row],[UDC]],TableAvailabilities[],2,FALSE)&gt;0,"Y",""),"")</f>
        <v>Y</v>
      </c>
      <c r="H63" s="109" t="str">
        <f>IFERROR(IF(VLOOKUP(TableHandbook[[#This Row],[UDC]],TableAvailabilities[],3,FALSE)&gt;0,"Y",""),"")</f>
        <v/>
      </c>
      <c r="I63" s="110" t="str">
        <f>IFERROR(IF(VLOOKUP(TableHandbook[[#This Row],[UDC]],TableAvailabilities[],4,FALSE)&gt;0,"Y",""),"")</f>
        <v>Y</v>
      </c>
      <c r="J63" s="111" t="str">
        <f>IFERROR(IF(VLOOKUP(TableHandbook[[#This Row],[UDC]],TableAvailabilities[],5,FALSE)&gt;0,"Y",""),"")</f>
        <v/>
      </c>
      <c r="K63" s="217"/>
      <c r="L63" s="186" t="str">
        <f>IFERROR(VLOOKUP(TableHandbook[[#This Row],[UDC]],TableBURPLAN2[],7,FALSE),"")</f>
        <v>Core</v>
      </c>
      <c r="M63" s="106" t="str">
        <f>IFERROR(VLOOKUP(TableHandbook[[#This Row],[UDC]],TableSTRHURPLN[],7,FALSE),"")</f>
        <v/>
      </c>
      <c r="N63" s="106" t="str">
        <f>IFERROR(VLOOKUP(TableHandbook[[#This Row],[UDC]],TableSTRUURPLN[],7,FALSE),"")</f>
        <v/>
      </c>
      <c r="O63" s="106" t="str">
        <f>IFERROR(VLOOKUP(TableHandbook[[#This Row],[UDC]],TableSPUCENVSP[],7,FALSE),"")</f>
        <v/>
      </c>
      <c r="P63" s="106" t="str">
        <f>IFERROR(VLOOKUP(TableHandbook[[#This Row],[UDC]],TableSPUCGRAPH[],7,FALSE),"")</f>
        <v/>
      </c>
      <c r="Q63" s="106" t="str">
        <f>IFERROR(VLOOKUP(TableHandbook[[#This Row],[UDC]],TableSPUCINTLD[],7,FALSE),"")</f>
        <v/>
      </c>
      <c r="R63" s="107" t="str">
        <f>IFERROR(VLOOKUP(TableHandbook[[#This Row],[UDC]],TableSPUCLANDN[],7,FALSE),"")</f>
        <v/>
      </c>
      <c r="S63" s="187" t="str">
        <f>IFERROR(VLOOKUP(TableHandbook[[#This Row],[UDC]],TableSPUCSOCJU[],7,FALSE),"")</f>
        <v/>
      </c>
      <c r="T63" s="226" t="str">
        <f>IFERROR(VLOOKUP(TableHandbook[[#This Row],[UDC]],TableUHGEOGY[],7,FALSE),"")</f>
        <v/>
      </c>
      <c r="U63" s="226" t="str">
        <f>IFERROR(VLOOKUP(TableHandbook[[#This Row],[UDC]],TableUHURPLAN[],7,FALSE),"")</f>
        <v/>
      </c>
    </row>
    <row r="64" spans="1:21" x14ac:dyDescent="0.25">
      <c r="A64" s="8" t="s">
        <v>88</v>
      </c>
      <c r="B64" s="92">
        <v>1</v>
      </c>
      <c r="C64" s="8"/>
      <c r="D64" s="8" t="s">
        <v>217</v>
      </c>
      <c r="E64" s="92">
        <v>25</v>
      </c>
      <c r="F64" s="103" t="s">
        <v>170</v>
      </c>
      <c r="G64" s="108" t="str">
        <f>IFERROR(IF(VLOOKUP(TableHandbook[[#This Row],[UDC]],TableAvailabilities[],2,FALSE)&gt;0,"Y",""),"")</f>
        <v>Y</v>
      </c>
      <c r="H64" s="109" t="str">
        <f>IFERROR(IF(VLOOKUP(TableHandbook[[#This Row],[UDC]],TableAvailabilities[],3,FALSE)&gt;0,"Y",""),"")</f>
        <v/>
      </c>
      <c r="I64" s="110" t="str">
        <f>IFERROR(IF(VLOOKUP(TableHandbook[[#This Row],[UDC]],TableAvailabilities[],4,FALSE)&gt;0,"Y",""),"")</f>
        <v/>
      </c>
      <c r="J64" s="111" t="str">
        <f>IFERROR(IF(VLOOKUP(TableHandbook[[#This Row],[UDC]],TableAvailabilities[],5,FALSE)&gt;0,"Y",""),"")</f>
        <v/>
      </c>
      <c r="K64" s="173"/>
      <c r="L64" s="186" t="str">
        <f>IFERROR(VLOOKUP(TableHandbook[[#This Row],[UDC]],TableBURPLAN2[],7,FALSE),"")</f>
        <v>Core</v>
      </c>
      <c r="M64" s="106" t="str">
        <f>IFERROR(VLOOKUP(TableHandbook[[#This Row],[UDC]],TableSTRHURPLN[],7,FALSE),"")</f>
        <v/>
      </c>
      <c r="N64" s="106" t="str">
        <f>IFERROR(VLOOKUP(TableHandbook[[#This Row],[UDC]],TableSTRUURPLN[],7,FALSE),"")</f>
        <v/>
      </c>
      <c r="O64" s="106" t="str">
        <f>IFERROR(VLOOKUP(TableHandbook[[#This Row],[UDC]],TableSPUCENVSP[],7,FALSE),"")</f>
        <v/>
      </c>
      <c r="P64" s="106" t="str">
        <f>IFERROR(VLOOKUP(TableHandbook[[#This Row],[UDC]],TableSPUCGRAPH[],7,FALSE),"")</f>
        <v/>
      </c>
      <c r="Q64" s="106" t="str">
        <f>IFERROR(VLOOKUP(TableHandbook[[#This Row],[UDC]],TableSPUCINTLD[],7,FALSE),"")</f>
        <v/>
      </c>
      <c r="R64" s="107" t="str">
        <f>IFERROR(VLOOKUP(TableHandbook[[#This Row],[UDC]],TableSPUCLANDN[],7,FALSE),"")</f>
        <v/>
      </c>
      <c r="S64" s="187" t="str">
        <f>IFERROR(VLOOKUP(TableHandbook[[#This Row],[UDC]],TableSPUCSOCJU[],7,FALSE),"")</f>
        <v/>
      </c>
      <c r="T64" s="226" t="str">
        <f>IFERROR(VLOOKUP(TableHandbook[[#This Row],[UDC]],TableUHGEOGY[],7,FALSE),"")</f>
        <v/>
      </c>
      <c r="U64" s="226" t="str">
        <f>IFERROR(VLOOKUP(TableHandbook[[#This Row],[UDC]],TableUHURPLAN[],7,FALSE),"")</f>
        <v/>
      </c>
    </row>
    <row r="65" spans="1:21" x14ac:dyDescent="0.25">
      <c r="A65" s="8" t="s">
        <v>106</v>
      </c>
      <c r="B65" s="92">
        <v>1</v>
      </c>
      <c r="C65" s="8"/>
      <c r="D65" s="8" t="s">
        <v>218</v>
      </c>
      <c r="E65" s="92">
        <v>25</v>
      </c>
      <c r="F65" s="103" t="s">
        <v>289</v>
      </c>
      <c r="G65" s="108" t="str">
        <f>IFERROR(IF(VLOOKUP(TableHandbook[[#This Row],[UDC]],TableAvailabilities[],2,FALSE)&gt;0,"Y",""),"")</f>
        <v>Y</v>
      </c>
      <c r="H65" s="109" t="str">
        <f>IFERROR(IF(VLOOKUP(TableHandbook[[#This Row],[UDC]],TableAvailabilities[],3,FALSE)&gt;0,"Y",""),"")</f>
        <v/>
      </c>
      <c r="I65" s="110" t="str">
        <f>IFERROR(IF(VLOOKUP(TableHandbook[[#This Row],[UDC]],TableAvailabilities[],4,FALSE)&gt;0,"Y",""),"")</f>
        <v/>
      </c>
      <c r="J65" s="111" t="str">
        <f>IFERROR(IF(VLOOKUP(TableHandbook[[#This Row],[UDC]],TableAvailabilities[],5,FALSE)&gt;0,"Y",""),"")</f>
        <v/>
      </c>
      <c r="K65" s="173"/>
      <c r="L65" s="186" t="str">
        <f>IFERROR(VLOOKUP(TableHandbook[[#This Row],[UDC]],TableBURPLAN2[],7,FALSE),"")</f>
        <v/>
      </c>
      <c r="M65" s="106" t="str">
        <f>IFERROR(VLOOKUP(TableHandbook[[#This Row],[UDC]],TableSTRHURPLN[],7,FALSE),"")</f>
        <v>Core</v>
      </c>
      <c r="N65" s="106" t="str">
        <f>IFERROR(VLOOKUP(TableHandbook[[#This Row],[UDC]],TableSTRUURPLN[],7,FALSE),"")</f>
        <v>Core</v>
      </c>
      <c r="O65" s="106" t="str">
        <f>IFERROR(VLOOKUP(TableHandbook[[#This Row],[UDC]],TableSPUCENVSP[],7,FALSE),"")</f>
        <v/>
      </c>
      <c r="P65" s="106" t="str">
        <f>IFERROR(VLOOKUP(TableHandbook[[#This Row],[UDC]],TableSPUCGRAPH[],7,FALSE),"")</f>
        <v/>
      </c>
      <c r="Q65" s="106" t="str">
        <f>IFERROR(VLOOKUP(TableHandbook[[#This Row],[UDC]],TableSPUCINTLD[],7,FALSE),"")</f>
        <v/>
      </c>
      <c r="R65" s="107" t="str">
        <f>IFERROR(VLOOKUP(TableHandbook[[#This Row],[UDC]],TableSPUCLANDN[],7,FALSE),"")</f>
        <v/>
      </c>
      <c r="S65" s="187" t="str">
        <f>IFERROR(VLOOKUP(TableHandbook[[#This Row],[UDC]],TableSPUCSOCJU[],7,FALSE),"")</f>
        <v/>
      </c>
      <c r="T65" s="226" t="str">
        <f>IFERROR(VLOOKUP(TableHandbook[[#This Row],[UDC]],TableUHGEOGY[],7,FALSE),"")</f>
        <v/>
      </c>
      <c r="U65" s="226" t="str">
        <f>IFERROR(VLOOKUP(TableHandbook[[#This Row],[UDC]],TableUHURPLAN[],7,FALSE),"")</f>
        <v/>
      </c>
    </row>
    <row r="66" spans="1:21" x14ac:dyDescent="0.25">
      <c r="A66" s="8" t="s">
        <v>113</v>
      </c>
      <c r="B66" s="92">
        <v>1</v>
      </c>
      <c r="C66" s="8"/>
      <c r="D66" s="8" t="s">
        <v>219</v>
      </c>
      <c r="E66" s="92">
        <v>25</v>
      </c>
      <c r="F66" s="103" t="s">
        <v>170</v>
      </c>
      <c r="G66" s="108" t="str">
        <f>IFERROR(IF(VLOOKUP(TableHandbook[[#This Row],[UDC]],TableAvailabilities[],2,FALSE)&gt;0,"Y",""),"")</f>
        <v>Y</v>
      </c>
      <c r="H66" s="109" t="str">
        <f>IFERROR(IF(VLOOKUP(TableHandbook[[#This Row],[UDC]],TableAvailabilities[],3,FALSE)&gt;0,"Y",""),"")</f>
        <v/>
      </c>
      <c r="I66" s="110" t="str">
        <f>IFERROR(IF(VLOOKUP(TableHandbook[[#This Row],[UDC]],TableAvailabilities[],4,FALSE)&gt;0,"Y",""),"")</f>
        <v>Y</v>
      </c>
      <c r="J66" s="111" t="str">
        <f>IFERROR(IF(VLOOKUP(TableHandbook[[#This Row],[UDC]],TableAvailabilities[],5,FALSE)&gt;0,"Y",""),"")</f>
        <v/>
      </c>
      <c r="K66" s="173"/>
      <c r="L66" s="186" t="str">
        <f>IFERROR(VLOOKUP(TableHandbook[[#This Row],[UDC]],TableBURPLAN2[],7,FALSE),"")</f>
        <v/>
      </c>
      <c r="M66" s="106" t="str">
        <f>IFERROR(VLOOKUP(TableHandbook[[#This Row],[UDC]],TableSTRHURPLN[],7,FALSE),"")</f>
        <v>Core</v>
      </c>
      <c r="N66" s="106" t="str">
        <f>IFERROR(VLOOKUP(TableHandbook[[#This Row],[UDC]],TableSTRUURPLN[],7,FALSE),"")</f>
        <v>Core</v>
      </c>
      <c r="O66" s="106" t="str">
        <f>IFERROR(VLOOKUP(TableHandbook[[#This Row],[UDC]],TableSPUCENVSP[],7,FALSE),"")</f>
        <v/>
      </c>
      <c r="P66" s="106" t="str">
        <f>IFERROR(VLOOKUP(TableHandbook[[#This Row],[UDC]],TableSPUCGRAPH[],7,FALSE),"")</f>
        <v/>
      </c>
      <c r="Q66" s="106" t="str">
        <f>IFERROR(VLOOKUP(TableHandbook[[#This Row],[UDC]],TableSPUCINTLD[],7,FALSE),"")</f>
        <v/>
      </c>
      <c r="R66" s="107" t="str">
        <f>IFERROR(VLOOKUP(TableHandbook[[#This Row],[UDC]],TableSPUCLANDN[],7,FALSE),"")</f>
        <v/>
      </c>
      <c r="S66" s="187" t="str">
        <f>IFERROR(VLOOKUP(TableHandbook[[#This Row],[UDC]],TableSPUCSOCJU[],7,FALSE),"")</f>
        <v/>
      </c>
      <c r="T66" s="226" t="str">
        <f>IFERROR(VLOOKUP(TableHandbook[[#This Row],[UDC]],TableUHGEOGY[],7,FALSE),"")</f>
        <v/>
      </c>
      <c r="U66" s="226" t="str">
        <f>IFERROR(VLOOKUP(TableHandbook[[#This Row],[UDC]],TableUHURPLAN[],7,FALSE),"")</f>
        <v/>
      </c>
    </row>
    <row r="67" spans="1:21" x14ac:dyDescent="0.25">
      <c r="A67" s="8" t="s">
        <v>115</v>
      </c>
      <c r="B67" s="92">
        <v>1</v>
      </c>
      <c r="C67" s="8"/>
      <c r="D67" s="8" t="s">
        <v>220</v>
      </c>
      <c r="E67" s="92">
        <v>50</v>
      </c>
      <c r="F67" s="103" t="s">
        <v>170</v>
      </c>
      <c r="G67" s="108" t="str">
        <f>IFERROR(IF(VLOOKUP(TableHandbook[[#This Row],[UDC]],TableAvailabilities[],2,FALSE)&gt;0,"Y",""),"")</f>
        <v>Y</v>
      </c>
      <c r="H67" s="109" t="str">
        <f>IFERROR(IF(VLOOKUP(TableHandbook[[#This Row],[UDC]],TableAvailabilities[],3,FALSE)&gt;0,"Y",""),"")</f>
        <v/>
      </c>
      <c r="I67" s="110" t="str">
        <f>IFERROR(IF(VLOOKUP(TableHandbook[[#This Row],[UDC]],TableAvailabilities[],4,FALSE)&gt;0,"Y",""),"")</f>
        <v>Y</v>
      </c>
      <c r="J67" s="111" t="str">
        <f>IFERROR(IF(VLOOKUP(TableHandbook[[#This Row],[UDC]],TableAvailabilities[],5,FALSE)&gt;0,"Y",""),"")</f>
        <v/>
      </c>
      <c r="K67" s="173"/>
      <c r="L67" s="186" t="str">
        <f>IFERROR(VLOOKUP(TableHandbook[[#This Row],[UDC]],TableBURPLAN2[],7,FALSE),"")</f>
        <v/>
      </c>
      <c r="M67" s="106" t="str">
        <f>IFERROR(VLOOKUP(TableHandbook[[#This Row],[UDC]],TableSTRHURPLN[],7,FALSE),"")</f>
        <v>Core</v>
      </c>
      <c r="N67" s="106" t="str">
        <f>IFERROR(VLOOKUP(TableHandbook[[#This Row],[UDC]],TableSTRUURPLN[],7,FALSE),"")</f>
        <v/>
      </c>
      <c r="O67" s="106" t="str">
        <f>IFERROR(VLOOKUP(TableHandbook[[#This Row],[UDC]],TableSPUCENVSP[],7,FALSE),"")</f>
        <v/>
      </c>
      <c r="P67" s="106" t="str">
        <f>IFERROR(VLOOKUP(TableHandbook[[#This Row],[UDC]],TableSPUCGRAPH[],7,FALSE),"")</f>
        <v/>
      </c>
      <c r="Q67" s="106" t="str">
        <f>IFERROR(VLOOKUP(TableHandbook[[#This Row],[UDC]],TableSPUCINTLD[],7,FALSE),"")</f>
        <v/>
      </c>
      <c r="R67" s="107" t="str">
        <f>IFERROR(VLOOKUP(TableHandbook[[#This Row],[UDC]],TableSPUCLANDN[],7,FALSE),"")</f>
        <v/>
      </c>
      <c r="S67" s="187" t="str">
        <f>IFERROR(VLOOKUP(TableHandbook[[#This Row],[UDC]],TableSPUCSOCJU[],7,FALSE),"")</f>
        <v/>
      </c>
      <c r="T67" s="226" t="str">
        <f>IFERROR(VLOOKUP(TableHandbook[[#This Row],[UDC]],TableUHGEOGY[],7,FALSE),"")</f>
        <v/>
      </c>
      <c r="U67" s="226" t="str">
        <f>IFERROR(VLOOKUP(TableHandbook[[#This Row],[UDC]],TableUHURPLAN[],7,FALSE),"")</f>
        <v/>
      </c>
    </row>
    <row r="68" spans="1:21" x14ac:dyDescent="0.25">
      <c r="A68" s="8" t="s">
        <v>110</v>
      </c>
      <c r="B68" s="92">
        <v>2</v>
      </c>
      <c r="C68" s="8"/>
      <c r="D68" s="8" t="s">
        <v>221</v>
      </c>
      <c r="E68" s="92">
        <v>25</v>
      </c>
      <c r="F68" s="103" t="s">
        <v>290</v>
      </c>
      <c r="G68" s="108" t="str">
        <f>IFERROR(IF(VLOOKUP(TableHandbook[[#This Row],[UDC]],TableAvailabilities[],2,FALSE)&gt;0,"Y",""),"")</f>
        <v>Y</v>
      </c>
      <c r="H68" s="109" t="str">
        <f>IFERROR(IF(VLOOKUP(TableHandbook[[#This Row],[UDC]],TableAvailabilities[],3,FALSE)&gt;0,"Y",""),"")</f>
        <v/>
      </c>
      <c r="I68" s="110" t="str">
        <f>IFERROR(IF(VLOOKUP(TableHandbook[[#This Row],[UDC]],TableAvailabilities[],4,FALSE)&gt;0,"Y",""),"")</f>
        <v>Y</v>
      </c>
      <c r="J68" s="111" t="str">
        <f>IFERROR(IF(VLOOKUP(TableHandbook[[#This Row],[UDC]],TableAvailabilities[],5,FALSE)&gt;0,"Y",""),"")</f>
        <v/>
      </c>
      <c r="K68" s="173"/>
      <c r="L68" s="186" t="str">
        <f>IFERROR(VLOOKUP(TableHandbook[[#This Row],[UDC]],TableBURPLAN2[],7,FALSE),"")</f>
        <v/>
      </c>
      <c r="M68" s="106" t="str">
        <f>IFERROR(VLOOKUP(TableHandbook[[#This Row],[UDC]],TableSTRHURPLN[],7,FALSE),"")</f>
        <v>Core</v>
      </c>
      <c r="N68" s="106" t="str">
        <f>IFERROR(VLOOKUP(TableHandbook[[#This Row],[UDC]],TableSTRUURPLN[],7,FALSE),"")</f>
        <v/>
      </c>
      <c r="O68" s="106" t="str">
        <f>IFERROR(VLOOKUP(TableHandbook[[#This Row],[UDC]],TableSPUCENVSP[],7,FALSE),"")</f>
        <v/>
      </c>
      <c r="P68" s="106" t="str">
        <f>IFERROR(VLOOKUP(TableHandbook[[#This Row],[UDC]],TableSPUCGRAPH[],7,FALSE),"")</f>
        <v/>
      </c>
      <c r="Q68" s="106" t="str">
        <f>IFERROR(VLOOKUP(TableHandbook[[#This Row],[UDC]],TableSPUCINTLD[],7,FALSE),"")</f>
        <v/>
      </c>
      <c r="R68" s="107" t="str">
        <f>IFERROR(VLOOKUP(TableHandbook[[#This Row],[UDC]],TableSPUCLANDN[],7,FALSE),"")</f>
        <v/>
      </c>
      <c r="S68" s="187" t="str">
        <f>IFERROR(VLOOKUP(TableHandbook[[#This Row],[UDC]],TableSPUCSOCJU[],7,FALSE),"")</f>
        <v/>
      </c>
      <c r="T68" s="226" t="str">
        <f>IFERROR(VLOOKUP(TableHandbook[[#This Row],[UDC]],TableUHGEOGY[],7,FALSE),"")</f>
        <v/>
      </c>
      <c r="U68" s="226" t="str">
        <f>IFERROR(VLOOKUP(TableHandbook[[#This Row],[UDC]],TableUHURPLAN[],7,FALSE),"")</f>
        <v/>
      </c>
    </row>
    <row r="69" spans="1:21" x14ac:dyDescent="0.25">
      <c r="A69" s="8" t="s">
        <v>116</v>
      </c>
      <c r="B69" s="92">
        <v>1</v>
      </c>
      <c r="C69" s="8"/>
      <c r="D69" s="8" t="s">
        <v>222</v>
      </c>
      <c r="E69" s="92">
        <v>50</v>
      </c>
      <c r="F69" s="103" t="s">
        <v>291</v>
      </c>
      <c r="G69" s="108" t="str">
        <f>IFERROR(IF(VLOOKUP(TableHandbook[[#This Row],[UDC]],TableAvailabilities[],2,FALSE)&gt;0,"Y",""),"")</f>
        <v>Y</v>
      </c>
      <c r="H69" s="109" t="str">
        <f>IFERROR(IF(VLOOKUP(TableHandbook[[#This Row],[UDC]],TableAvailabilities[],3,FALSE)&gt;0,"Y",""),"")</f>
        <v/>
      </c>
      <c r="I69" s="110" t="str">
        <f>IFERROR(IF(VLOOKUP(TableHandbook[[#This Row],[UDC]],TableAvailabilities[],4,FALSE)&gt;0,"Y",""),"")</f>
        <v>Y</v>
      </c>
      <c r="J69" s="111" t="str">
        <f>IFERROR(IF(VLOOKUP(TableHandbook[[#This Row],[UDC]],TableAvailabilities[],5,FALSE)&gt;0,"Y",""),"")</f>
        <v/>
      </c>
      <c r="K69" s="173"/>
      <c r="L69" s="186" t="str">
        <f>IFERROR(VLOOKUP(TableHandbook[[#This Row],[UDC]],TableBURPLAN2[],7,FALSE),"")</f>
        <v/>
      </c>
      <c r="M69" s="106" t="str">
        <f>IFERROR(VLOOKUP(TableHandbook[[#This Row],[UDC]],TableSTRHURPLN[],7,FALSE),"")</f>
        <v/>
      </c>
      <c r="N69" s="106" t="str">
        <f>IFERROR(VLOOKUP(TableHandbook[[#This Row],[UDC]],TableSTRUURPLN[],7,FALSE),"")</f>
        <v>Core</v>
      </c>
      <c r="O69" s="106" t="str">
        <f>IFERROR(VLOOKUP(TableHandbook[[#This Row],[UDC]],TableSPUCENVSP[],7,FALSE),"")</f>
        <v/>
      </c>
      <c r="P69" s="106" t="str">
        <f>IFERROR(VLOOKUP(TableHandbook[[#This Row],[UDC]],TableSPUCGRAPH[],7,FALSE),"")</f>
        <v/>
      </c>
      <c r="Q69" s="106" t="str">
        <f>IFERROR(VLOOKUP(TableHandbook[[#This Row],[UDC]],TableSPUCINTLD[],7,FALSE),"")</f>
        <v/>
      </c>
      <c r="R69" s="107" t="str">
        <f>IFERROR(VLOOKUP(TableHandbook[[#This Row],[UDC]],TableSPUCLANDN[],7,FALSE),"")</f>
        <v/>
      </c>
      <c r="S69" s="187" t="str">
        <f>IFERROR(VLOOKUP(TableHandbook[[#This Row],[UDC]],TableSPUCSOCJU[],7,FALSE),"")</f>
        <v/>
      </c>
      <c r="T69" s="226" t="str">
        <f>IFERROR(VLOOKUP(TableHandbook[[#This Row],[UDC]],TableUHGEOGY[],7,FALSE),"")</f>
        <v/>
      </c>
      <c r="U69" s="226" t="str">
        <f>IFERROR(VLOOKUP(TableHandbook[[#This Row],[UDC]],TableUHURPLAN[],7,FALSE),"")</f>
        <v/>
      </c>
    </row>
    <row r="70" spans="1:21" x14ac:dyDescent="0.25">
      <c r="A70" s="6" t="s">
        <v>109</v>
      </c>
      <c r="B70" s="194">
        <v>1</v>
      </c>
      <c r="C70" s="6"/>
      <c r="D70" s="6" t="s">
        <v>223</v>
      </c>
      <c r="E70" s="194">
        <v>25</v>
      </c>
      <c r="F70" s="103" t="s">
        <v>170</v>
      </c>
      <c r="G70" s="108" t="str">
        <f>IFERROR(IF(VLOOKUP(TableHandbook[[#This Row],[UDC]],TableAvailabilities[],2,FALSE)&gt;0,"Y",""),"")</f>
        <v/>
      </c>
      <c r="H70" s="109" t="str">
        <f>IFERROR(IF(VLOOKUP(TableHandbook[[#This Row],[UDC]],TableAvailabilities[],3,FALSE)&gt;0,"Y",""),"")</f>
        <v/>
      </c>
      <c r="I70" s="110" t="str">
        <f>IFERROR(IF(VLOOKUP(TableHandbook[[#This Row],[UDC]],TableAvailabilities[],4,FALSE)&gt;0,"Y",""),"")</f>
        <v>Y</v>
      </c>
      <c r="J70" s="111" t="str">
        <f>IFERROR(IF(VLOOKUP(TableHandbook[[#This Row],[UDC]],TableAvailabilities[],5,FALSE)&gt;0,"Y",""),"")</f>
        <v/>
      </c>
      <c r="K70" s="174"/>
      <c r="L70" s="186" t="str">
        <f>IFERROR(VLOOKUP(TableHandbook[[#This Row],[UDC]],TableBURPLAN2[],7,FALSE),"")</f>
        <v/>
      </c>
      <c r="M70" s="106" t="str">
        <f>IFERROR(VLOOKUP(TableHandbook[[#This Row],[UDC]],TableSTRHURPLN[],7,FALSE),"")</f>
        <v>Core</v>
      </c>
      <c r="N70" s="106" t="str">
        <f>IFERROR(VLOOKUP(TableHandbook[[#This Row],[UDC]],TableSTRUURPLN[],7,FALSE),"")</f>
        <v>Core</v>
      </c>
      <c r="O70" s="106" t="str">
        <f>IFERROR(VLOOKUP(TableHandbook[[#This Row],[UDC]],TableSPUCENVSP[],7,FALSE),"")</f>
        <v/>
      </c>
      <c r="P70" s="106" t="str">
        <f>IFERROR(VLOOKUP(TableHandbook[[#This Row],[UDC]],TableSPUCGRAPH[],7,FALSE),"")</f>
        <v/>
      </c>
      <c r="Q70" s="106" t="str">
        <f>IFERROR(VLOOKUP(TableHandbook[[#This Row],[UDC]],TableSPUCINTLD[],7,FALSE),"")</f>
        <v/>
      </c>
      <c r="R70" s="107" t="str">
        <f>IFERROR(VLOOKUP(TableHandbook[[#This Row],[UDC]],TableSPUCLANDN[],7,FALSE),"")</f>
        <v/>
      </c>
      <c r="S70" s="187" t="str">
        <f>IFERROR(VLOOKUP(TableHandbook[[#This Row],[UDC]],TableSPUCSOCJU[],7,FALSE),"")</f>
        <v/>
      </c>
      <c r="T70" s="226" t="str">
        <f>IFERROR(VLOOKUP(TableHandbook[[#This Row],[UDC]],TableUHGEOGY[],7,FALSE),"")</f>
        <v/>
      </c>
      <c r="U70" s="226" t="str">
        <f>IFERROR(VLOOKUP(TableHandbook[[#This Row],[UDC]],TableUHURPLAN[],7,FALSE),"")</f>
        <v/>
      </c>
    </row>
    <row r="71" spans="1:21" x14ac:dyDescent="0.25">
      <c r="A71" s="6" t="s">
        <v>112</v>
      </c>
      <c r="B71" s="194">
        <v>1</v>
      </c>
      <c r="C71" s="6"/>
      <c r="D71" s="6" t="s">
        <v>224</v>
      </c>
      <c r="E71" s="194">
        <v>25</v>
      </c>
      <c r="F71" s="103" t="s">
        <v>97</v>
      </c>
      <c r="G71" s="108" t="str">
        <f>IFERROR(IF(VLOOKUP(TableHandbook[[#This Row],[UDC]],TableAvailabilities[],2,FALSE)&gt;0,"Y",""),"")</f>
        <v/>
      </c>
      <c r="H71" s="109" t="str">
        <f>IFERROR(IF(VLOOKUP(TableHandbook[[#This Row],[UDC]],TableAvailabilities[],3,FALSE)&gt;0,"Y",""),"")</f>
        <v/>
      </c>
      <c r="I71" s="110" t="str">
        <f>IFERROR(IF(VLOOKUP(TableHandbook[[#This Row],[UDC]],TableAvailabilities[],4,FALSE)&gt;0,"Y",""),"")</f>
        <v>Y</v>
      </c>
      <c r="J71" s="111" t="str">
        <f>IFERROR(IF(VLOOKUP(TableHandbook[[#This Row],[UDC]],TableAvailabilities[],5,FALSE)&gt;0,"Y",""),"")</f>
        <v/>
      </c>
      <c r="K71" s="174"/>
      <c r="L71" s="186" t="str">
        <f>IFERROR(VLOOKUP(TableHandbook[[#This Row],[UDC]],TableBURPLAN2[],7,FALSE),"")</f>
        <v/>
      </c>
      <c r="M71" s="106" t="str">
        <f>IFERROR(VLOOKUP(TableHandbook[[#This Row],[UDC]],TableSTRHURPLN[],7,FALSE),"")</f>
        <v>Core</v>
      </c>
      <c r="N71" s="106" t="str">
        <f>IFERROR(VLOOKUP(TableHandbook[[#This Row],[UDC]],TableSTRUURPLN[],7,FALSE),"")</f>
        <v>Core</v>
      </c>
      <c r="O71" s="106" t="str">
        <f>IFERROR(VLOOKUP(TableHandbook[[#This Row],[UDC]],TableSPUCENVSP[],7,FALSE),"")</f>
        <v/>
      </c>
      <c r="P71" s="106" t="str">
        <f>IFERROR(VLOOKUP(TableHandbook[[#This Row],[UDC]],TableSPUCGRAPH[],7,FALSE),"")</f>
        <v/>
      </c>
      <c r="Q71" s="106" t="str">
        <f>IFERROR(VLOOKUP(TableHandbook[[#This Row],[UDC]],TableSPUCINTLD[],7,FALSE),"")</f>
        <v/>
      </c>
      <c r="R71" s="107" t="str">
        <f>IFERROR(VLOOKUP(TableHandbook[[#This Row],[UDC]],TableSPUCLANDN[],7,FALSE),"")</f>
        <v/>
      </c>
      <c r="S71" s="187" t="str">
        <f>IFERROR(VLOOKUP(TableHandbook[[#This Row],[UDC]],TableSPUCSOCJU[],7,FALSE),"")</f>
        <v/>
      </c>
      <c r="T71" s="226" t="str">
        <f>IFERROR(VLOOKUP(TableHandbook[[#This Row],[UDC]],TableUHGEOGY[],7,FALSE),"")</f>
        <v/>
      </c>
      <c r="U71" s="226" t="str">
        <f>IFERROR(VLOOKUP(TableHandbook[[#This Row],[UDC]],TableUHURPLAN[],7,FALSE),"")</f>
        <v/>
      </c>
    </row>
    <row r="72" spans="1:21" x14ac:dyDescent="0.25">
      <c r="A72" s="8" t="s">
        <v>111</v>
      </c>
      <c r="B72" s="92">
        <v>1</v>
      </c>
      <c r="C72" s="8"/>
      <c r="D72" s="8" t="s">
        <v>225</v>
      </c>
      <c r="E72" s="92">
        <v>25</v>
      </c>
      <c r="F72" s="103" t="s">
        <v>170</v>
      </c>
      <c r="G72" s="108" t="str">
        <f>IFERROR(IF(VLOOKUP(TableHandbook[[#This Row],[UDC]],TableAvailabilities[],2,FALSE)&gt;0,"Y",""),"")</f>
        <v>Y</v>
      </c>
      <c r="H72" s="109" t="str">
        <f>IFERROR(IF(VLOOKUP(TableHandbook[[#This Row],[UDC]],TableAvailabilities[],3,FALSE)&gt;0,"Y",""),"")</f>
        <v/>
      </c>
      <c r="I72" s="110" t="str">
        <f>IFERROR(IF(VLOOKUP(TableHandbook[[#This Row],[UDC]],TableAvailabilities[],4,FALSE)&gt;0,"Y",""),"")</f>
        <v/>
      </c>
      <c r="J72" s="111" t="str">
        <f>IFERROR(IF(VLOOKUP(TableHandbook[[#This Row],[UDC]],TableAvailabilities[],5,FALSE)&gt;0,"Y",""),"")</f>
        <v/>
      </c>
      <c r="K72" s="173"/>
      <c r="L72" s="186" t="str">
        <f>IFERROR(VLOOKUP(TableHandbook[[#This Row],[UDC]],TableBURPLAN2[],7,FALSE),"")</f>
        <v/>
      </c>
      <c r="M72" s="106" t="str">
        <f>IFERROR(VLOOKUP(TableHandbook[[#This Row],[UDC]],TableSTRHURPLN[],7,FALSE),"")</f>
        <v>Core</v>
      </c>
      <c r="N72" s="106" t="str">
        <f>IFERROR(VLOOKUP(TableHandbook[[#This Row],[UDC]],TableSTRUURPLN[],7,FALSE),"")</f>
        <v>Core</v>
      </c>
      <c r="O72" s="106" t="str">
        <f>IFERROR(VLOOKUP(TableHandbook[[#This Row],[UDC]],TableSPUCENVSP[],7,FALSE),"")</f>
        <v/>
      </c>
      <c r="P72" s="106" t="str">
        <f>IFERROR(VLOOKUP(TableHandbook[[#This Row],[UDC]],TableSPUCGRAPH[],7,FALSE),"")</f>
        <v/>
      </c>
      <c r="Q72" s="106" t="str">
        <f>IFERROR(VLOOKUP(TableHandbook[[#This Row],[UDC]],TableSPUCINTLD[],7,FALSE),"")</f>
        <v/>
      </c>
      <c r="R72" s="107" t="str">
        <f>IFERROR(VLOOKUP(TableHandbook[[#This Row],[UDC]],TableSPUCLANDN[],7,FALSE),"")</f>
        <v/>
      </c>
      <c r="S72" s="187" t="str">
        <f>IFERROR(VLOOKUP(TableHandbook[[#This Row],[UDC]],TableSPUCSOCJU[],7,FALSE),"")</f>
        <v/>
      </c>
      <c r="T72" s="226" t="str">
        <f>IFERROR(VLOOKUP(TableHandbook[[#This Row],[UDC]],TableUHGEOGY[],7,FALSE),"")</f>
        <v/>
      </c>
      <c r="U72" s="226" t="str">
        <f>IFERROR(VLOOKUP(TableHandbook[[#This Row],[UDC]],TableUHURPLAN[],7,FALSE),"")</f>
        <v/>
      </c>
    </row>
    <row r="73" spans="1:21" x14ac:dyDescent="0.25">
      <c r="B73"/>
      <c r="E73"/>
      <c r="G73"/>
      <c r="H73"/>
      <c r="I73"/>
      <c r="J73"/>
    </row>
    <row r="74" spans="1:21" x14ac:dyDescent="0.25">
      <c r="B74"/>
      <c r="E74"/>
      <c r="G74"/>
      <c r="H74"/>
      <c r="I74"/>
      <c r="J74"/>
    </row>
    <row r="75" spans="1:21" x14ac:dyDescent="0.25">
      <c r="B75"/>
      <c r="E75"/>
      <c r="G75"/>
      <c r="H75"/>
      <c r="I75"/>
      <c r="J75"/>
    </row>
    <row r="76" spans="1:21" x14ac:dyDescent="0.25">
      <c r="B76"/>
      <c r="E76"/>
      <c r="G76"/>
      <c r="H76"/>
      <c r="I76"/>
      <c r="J76"/>
    </row>
  </sheetData>
  <sortState ref="A24:D37">
    <sortCondition ref="A24"/>
  </sortState>
  <conditionalFormatting sqref="A4:A72">
    <cfRule type="duplicateValues" dxfId="104" priority="43"/>
  </conditionalFormatting>
  <pageMargins left="0.7" right="0.7" top="0.75" bottom="0.75" header="0.3" footer="0.3"/>
  <pageSetup paperSize="9" orientation="portrait"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R108"/>
  <sheetViews>
    <sheetView zoomScale="70" zoomScaleNormal="70" workbookViewId="0">
      <selection activeCell="D5" sqref="D5"/>
    </sheetView>
  </sheetViews>
  <sheetFormatPr defaultRowHeight="15.75" x14ac:dyDescent="0.25"/>
  <cols>
    <col min="1" max="1" width="17.5" bestFit="1" customWidth="1"/>
    <col min="2" max="2" width="8.125" style="2" bestFit="1" customWidth="1"/>
    <col min="3" max="3" width="12.5" bestFit="1" customWidth="1"/>
    <col min="4" max="4" width="54.625" bestFit="1" customWidth="1"/>
    <col min="5" max="5" width="9.75" style="2" bestFit="1" customWidth="1"/>
    <col min="6" max="6" width="6.875" bestFit="1" customWidth="1"/>
    <col min="7" max="7" width="18.375" bestFit="1" customWidth="1"/>
    <col min="8" max="8" width="12.625" bestFit="1" customWidth="1"/>
    <col min="9" max="9" width="14.625" bestFit="1" customWidth="1"/>
    <col min="10" max="10" width="20.5" bestFit="1" customWidth="1"/>
    <col min="11" max="11" width="7.125" bestFit="1" customWidth="1"/>
    <col min="12" max="12" width="54.625" bestFit="1" customWidth="1"/>
    <col min="13" max="13" width="14.75" bestFit="1" customWidth="1"/>
    <col min="14" max="14" width="12.5" bestFit="1" customWidth="1"/>
    <col min="15" max="15" width="11.25" bestFit="1" customWidth="1"/>
    <col min="17" max="17" width="17.5" bestFit="1" customWidth="1"/>
    <col min="18" max="18" width="7.125" bestFit="1" customWidth="1"/>
  </cols>
  <sheetData>
    <row r="1" spans="1:18" x14ac:dyDescent="0.25">
      <c r="B1"/>
      <c r="E1"/>
      <c r="F1" s="86"/>
      <c r="G1" s="87" t="s">
        <v>226</v>
      </c>
      <c r="H1" s="88">
        <v>44197</v>
      </c>
      <c r="J1" s="204" t="s">
        <v>36</v>
      </c>
      <c r="K1" s="89" t="s">
        <v>93</v>
      </c>
      <c r="L1" s="146" t="s">
        <v>35</v>
      </c>
      <c r="N1" s="210" t="s">
        <v>257</v>
      </c>
      <c r="O1" s="191">
        <v>45309</v>
      </c>
    </row>
    <row r="2" spans="1:18" x14ac:dyDescent="0.25">
      <c r="A2" t="s">
        <v>0</v>
      </c>
      <c r="B2" s="2" t="s">
        <v>227</v>
      </c>
      <c r="C2" t="s">
        <v>228</v>
      </c>
      <c r="D2" t="s">
        <v>3</v>
      </c>
      <c r="E2" s="90" t="s">
        <v>229</v>
      </c>
      <c r="F2" t="s">
        <v>230</v>
      </c>
      <c r="G2" t="s">
        <v>231</v>
      </c>
      <c r="H2" t="s">
        <v>232</v>
      </c>
      <c r="I2" t="s">
        <v>20</v>
      </c>
      <c r="J2" t="s">
        <v>233</v>
      </c>
      <c r="K2" t="s">
        <v>1</v>
      </c>
      <c r="L2" t="s">
        <v>46</v>
      </c>
      <c r="M2" t="s">
        <v>53</v>
      </c>
      <c r="N2" t="s">
        <v>255</v>
      </c>
      <c r="O2" t="s">
        <v>234</v>
      </c>
      <c r="Q2" t="s">
        <v>256</v>
      </c>
      <c r="R2" t="s">
        <v>1</v>
      </c>
    </row>
    <row r="3" spans="1:18" x14ac:dyDescent="0.25">
      <c r="A3" t="str">
        <f>TableBURPLAN2[[#This Row],[Study Package Code]]</f>
        <v>COMS1010</v>
      </c>
      <c r="B3" s="2">
        <f>TableBURPLAN2[[#This Row],[Ver]]</f>
        <v>2</v>
      </c>
      <c r="D3" t="str">
        <f>TableBURPLAN2[[#This Row],[Structure Line]]</f>
        <v>Academic and Professional Communications</v>
      </c>
      <c r="E3" s="90">
        <f>TableBURPLAN2[[#This Row],[Credit Points]]</f>
        <v>25</v>
      </c>
      <c r="F3">
        <v>1</v>
      </c>
      <c r="G3" t="s">
        <v>235</v>
      </c>
      <c r="H3">
        <v>1</v>
      </c>
      <c r="I3" t="s">
        <v>237</v>
      </c>
      <c r="J3" t="s">
        <v>47</v>
      </c>
      <c r="K3" s="104">
        <v>2</v>
      </c>
      <c r="L3" s="104" t="s">
        <v>177</v>
      </c>
      <c r="M3" s="206">
        <v>25</v>
      </c>
      <c r="N3" s="205">
        <v>42917</v>
      </c>
      <c r="O3" s="211"/>
      <c r="Q3" t="s">
        <v>47</v>
      </c>
      <c r="R3">
        <v>2</v>
      </c>
    </row>
    <row r="4" spans="1:18" x14ac:dyDescent="0.25">
      <c r="A4" t="str">
        <f>TableBURPLAN2[[#This Row],[Study Package Code]]</f>
        <v>URDE1005</v>
      </c>
      <c r="B4" s="2">
        <f>TableBURPLAN2[[#This Row],[Ver]]</f>
        <v>1</v>
      </c>
      <c r="D4" t="str">
        <f>TableBURPLAN2[[#This Row],[Structure Line]]</f>
        <v>Diversity and Cultural Planning</v>
      </c>
      <c r="E4" s="90">
        <f>TableBURPLAN2[[#This Row],[Credit Points]]</f>
        <v>25</v>
      </c>
      <c r="F4">
        <v>2</v>
      </c>
      <c r="G4" t="s">
        <v>235</v>
      </c>
      <c r="H4">
        <v>1</v>
      </c>
      <c r="I4" t="s">
        <v>237</v>
      </c>
      <c r="J4" t="s">
        <v>50</v>
      </c>
      <c r="K4" s="104">
        <v>1</v>
      </c>
      <c r="L4" s="104" t="s">
        <v>200</v>
      </c>
      <c r="M4" s="206">
        <v>25</v>
      </c>
      <c r="N4" s="205">
        <v>42005</v>
      </c>
      <c r="O4" s="211"/>
      <c r="Q4" t="s">
        <v>50</v>
      </c>
      <c r="R4">
        <v>1</v>
      </c>
    </row>
    <row r="5" spans="1:18" x14ac:dyDescent="0.25">
      <c r="A5" t="str">
        <f>TableBURPLAN2[[#This Row],[Study Package Code]]</f>
        <v>URDE1006</v>
      </c>
      <c r="B5" s="2">
        <f>TableBURPLAN2[[#This Row],[Ver]]</f>
        <v>1</v>
      </c>
      <c r="D5" t="str">
        <f>TableBURPLAN2[[#This Row],[Structure Line]]</f>
        <v>Introduction to Planning</v>
      </c>
      <c r="E5" s="90">
        <f>TableBURPLAN2[[#This Row],[Credit Points]]</f>
        <v>25</v>
      </c>
      <c r="F5">
        <v>3</v>
      </c>
      <c r="G5" t="s">
        <v>235</v>
      </c>
      <c r="H5">
        <v>1</v>
      </c>
      <c r="I5" t="s">
        <v>237</v>
      </c>
      <c r="J5" t="s">
        <v>55</v>
      </c>
      <c r="K5" s="104">
        <v>1</v>
      </c>
      <c r="L5" s="104" t="s">
        <v>201</v>
      </c>
      <c r="M5" s="206">
        <v>25</v>
      </c>
      <c r="N5" s="205">
        <v>42005</v>
      </c>
      <c r="O5" s="211"/>
      <c r="Q5" t="s">
        <v>55</v>
      </c>
      <c r="R5">
        <v>1</v>
      </c>
    </row>
    <row r="6" spans="1:18" x14ac:dyDescent="0.25">
      <c r="A6" t="str">
        <f>TableBURPLAN2[[#This Row],[Study Package Code]]</f>
        <v>URDE1002</v>
      </c>
      <c r="B6" s="2">
        <f>TableBURPLAN2[[#This Row],[Ver]]</f>
        <v>1</v>
      </c>
      <c r="D6" t="str">
        <f>TableBURPLAN2[[#This Row],[Structure Line]]</f>
        <v>Planning Graphics and Design</v>
      </c>
      <c r="E6" s="90">
        <f>TableBURPLAN2[[#This Row],[Credit Points]]</f>
        <v>25</v>
      </c>
      <c r="F6">
        <v>4</v>
      </c>
      <c r="G6" t="s">
        <v>235</v>
      </c>
      <c r="H6">
        <v>1</v>
      </c>
      <c r="I6" t="s">
        <v>237</v>
      </c>
      <c r="J6" t="s">
        <v>60</v>
      </c>
      <c r="K6" s="104">
        <v>1</v>
      </c>
      <c r="L6" s="104" t="s">
        <v>198</v>
      </c>
      <c r="M6" s="206">
        <v>25</v>
      </c>
      <c r="N6" s="205">
        <v>42005</v>
      </c>
      <c r="O6" s="211"/>
      <c r="Q6" t="s">
        <v>60</v>
      </c>
      <c r="R6">
        <v>1</v>
      </c>
    </row>
    <row r="7" spans="1:18" x14ac:dyDescent="0.25">
      <c r="A7" t="str">
        <f>TableBURPLAN2[[#This Row],[Study Package Code]]</f>
        <v>URDE1003</v>
      </c>
      <c r="B7" s="2">
        <f>TableBURPLAN2[[#This Row],[Ver]]</f>
        <v>1</v>
      </c>
      <c r="D7" t="str">
        <f>TableBURPLAN2[[#This Row],[Structure Line]]</f>
        <v>Governance for Planning</v>
      </c>
      <c r="E7" s="90">
        <f>TableBURPLAN2[[#This Row],[Credit Points]]</f>
        <v>25</v>
      </c>
      <c r="F7">
        <v>5</v>
      </c>
      <c r="G7" t="s">
        <v>235</v>
      </c>
      <c r="H7">
        <v>1</v>
      </c>
      <c r="I7" t="s">
        <v>237</v>
      </c>
      <c r="J7" t="s">
        <v>64</v>
      </c>
      <c r="K7" s="104">
        <v>1</v>
      </c>
      <c r="L7" s="104" t="s">
        <v>199</v>
      </c>
      <c r="M7" s="206">
        <v>25</v>
      </c>
      <c r="N7" s="205">
        <v>42005</v>
      </c>
      <c r="O7" s="211"/>
      <c r="Q7" t="s">
        <v>64</v>
      </c>
      <c r="R7">
        <v>1</v>
      </c>
    </row>
    <row r="8" spans="1:18" x14ac:dyDescent="0.25">
      <c r="A8" t="str">
        <f>TableBURPLAN2[[#This Row],[Study Package Code]]</f>
        <v>URDE1009</v>
      </c>
      <c r="B8" s="2">
        <f>TableBURPLAN2[[#This Row],[Ver]]</f>
        <v>1</v>
      </c>
      <c r="D8" t="str">
        <f>TableBURPLAN2[[#This Row],[Structure Line]]</f>
        <v>Planning for Sustainable Urban Development</v>
      </c>
      <c r="E8" s="90">
        <f>TableBURPLAN2[[#This Row],[Credit Points]]</f>
        <v>25</v>
      </c>
      <c r="F8">
        <v>6</v>
      </c>
      <c r="G8" t="s">
        <v>235</v>
      </c>
      <c r="H8">
        <v>1</v>
      </c>
      <c r="I8" t="s">
        <v>237</v>
      </c>
      <c r="J8" t="s">
        <v>51</v>
      </c>
      <c r="K8" s="104">
        <v>1</v>
      </c>
      <c r="L8" s="104" t="s">
        <v>202</v>
      </c>
      <c r="M8" s="206">
        <v>25</v>
      </c>
      <c r="N8" s="205">
        <v>44197</v>
      </c>
      <c r="O8" s="211"/>
      <c r="Q8" t="s">
        <v>51</v>
      </c>
      <c r="R8">
        <v>1</v>
      </c>
    </row>
    <row r="9" spans="1:18" x14ac:dyDescent="0.25">
      <c r="A9" t="str">
        <f>TableBURPLAN2[[#This Row],[Study Package Code]]</f>
        <v>URDE1001</v>
      </c>
      <c r="B9" s="2">
        <f>TableBURPLAN2[[#This Row],[Ver]]</f>
        <v>1</v>
      </c>
      <c r="D9" t="str">
        <f>TableBURPLAN2[[#This Row],[Structure Line]]</f>
        <v>Urban Analysis</v>
      </c>
      <c r="E9" s="90">
        <f>TableBURPLAN2[[#This Row],[Credit Points]]</f>
        <v>25</v>
      </c>
      <c r="F9">
        <v>7</v>
      </c>
      <c r="G9" t="s">
        <v>235</v>
      </c>
      <c r="H9">
        <v>1</v>
      </c>
      <c r="I9" t="s">
        <v>237</v>
      </c>
      <c r="J9" t="s">
        <v>56</v>
      </c>
      <c r="K9" s="104">
        <v>1</v>
      </c>
      <c r="L9" s="104" t="s">
        <v>197</v>
      </c>
      <c r="M9" s="206">
        <v>25</v>
      </c>
      <c r="N9" s="205">
        <v>42005</v>
      </c>
      <c r="O9" s="211"/>
      <c r="Q9" t="s">
        <v>56</v>
      </c>
      <c r="R9">
        <v>1</v>
      </c>
    </row>
    <row r="10" spans="1:18" x14ac:dyDescent="0.25">
      <c r="A10" t="str">
        <f>TableBURPLAN2[[#This Row],[Study Package Code]]</f>
        <v>URDE1010</v>
      </c>
      <c r="B10" s="2">
        <f>TableBURPLAN2[[#This Row],[Ver]]</f>
        <v>1</v>
      </c>
      <c r="D10" t="str">
        <f>TableBURPLAN2[[#This Row],[Structure Line]]</f>
        <v>Urban Transport Systems</v>
      </c>
      <c r="E10" s="90">
        <f>TableBURPLAN2[[#This Row],[Credit Points]]</f>
        <v>25</v>
      </c>
      <c r="F10">
        <v>8</v>
      </c>
      <c r="G10" t="s">
        <v>235</v>
      </c>
      <c r="H10">
        <v>1</v>
      </c>
      <c r="I10" t="s">
        <v>237</v>
      </c>
      <c r="J10" t="s">
        <v>61</v>
      </c>
      <c r="K10" s="104">
        <v>1</v>
      </c>
      <c r="L10" s="104" t="s">
        <v>203</v>
      </c>
      <c r="M10" s="206">
        <v>25</v>
      </c>
      <c r="N10" s="205">
        <v>44197</v>
      </c>
      <c r="O10" s="211"/>
      <c r="Q10" t="s">
        <v>61</v>
      </c>
      <c r="R10">
        <v>1</v>
      </c>
    </row>
    <row r="11" spans="1:18" x14ac:dyDescent="0.25">
      <c r="A11" t="str">
        <f>TableBURPLAN2[[#This Row],[Study Package Code]]</f>
        <v>URDE2011</v>
      </c>
      <c r="B11" s="2">
        <f>TableBURPLAN2[[#This Row],[Ver]]</f>
        <v>1</v>
      </c>
      <c r="D11" t="str">
        <f>TableBURPLAN2[[#This Row],[Structure Line]]</f>
        <v>Environmental Planning</v>
      </c>
      <c r="E11" s="90">
        <f>TableBURPLAN2[[#This Row],[Credit Points]]</f>
        <v>25</v>
      </c>
      <c r="F11">
        <v>9</v>
      </c>
      <c r="G11" t="s">
        <v>235</v>
      </c>
      <c r="H11">
        <v>2</v>
      </c>
      <c r="I11" t="s">
        <v>237</v>
      </c>
      <c r="J11" t="s">
        <v>69</v>
      </c>
      <c r="K11" s="104">
        <v>1</v>
      </c>
      <c r="L11" s="104" t="s">
        <v>210</v>
      </c>
      <c r="M11" s="206">
        <v>25</v>
      </c>
      <c r="N11" s="205">
        <v>44197</v>
      </c>
      <c r="O11" s="211"/>
      <c r="Q11" t="s">
        <v>69</v>
      </c>
      <c r="R11">
        <v>1</v>
      </c>
    </row>
    <row r="12" spans="1:18" x14ac:dyDescent="0.25">
      <c r="A12" t="str">
        <f>TableBURPLAN2[[#This Row],[Study Package Code]]</f>
        <v>URDE2000</v>
      </c>
      <c r="B12" s="2">
        <f>TableBURPLAN2[[#This Row],[Ver]]</f>
        <v>1</v>
      </c>
      <c r="D12" t="str">
        <f>TableBURPLAN2[[#This Row],[Structure Line]]</f>
        <v>Local Planning</v>
      </c>
      <c r="E12" s="90">
        <f>TableBURPLAN2[[#This Row],[Credit Points]]</f>
        <v>25</v>
      </c>
      <c r="F12">
        <v>10</v>
      </c>
      <c r="G12" t="s">
        <v>235</v>
      </c>
      <c r="H12">
        <v>2</v>
      </c>
      <c r="I12" t="s">
        <v>237</v>
      </c>
      <c r="J12" t="s">
        <v>74</v>
      </c>
      <c r="K12" s="104">
        <v>1</v>
      </c>
      <c r="L12" s="104" t="s">
        <v>204</v>
      </c>
      <c r="M12" s="206">
        <v>25</v>
      </c>
      <c r="N12" s="205">
        <v>42005</v>
      </c>
      <c r="O12" s="211"/>
      <c r="Q12" t="s">
        <v>74</v>
      </c>
      <c r="R12">
        <v>1</v>
      </c>
    </row>
    <row r="13" spans="1:18" x14ac:dyDescent="0.25">
      <c r="A13" t="str">
        <f>TableBURPLAN2[[#This Row],[Study Package Code]]</f>
        <v>URDE2004</v>
      </c>
      <c r="B13" s="2">
        <f>TableBURPLAN2[[#This Row],[Ver]]</f>
        <v>1</v>
      </c>
      <c r="D13" t="str">
        <f>TableBURPLAN2[[#This Row],[Structure Line]]</f>
        <v>Planning for Economic Development</v>
      </c>
      <c r="E13" s="90">
        <f>TableBURPLAN2[[#This Row],[Credit Points]]</f>
        <v>25</v>
      </c>
      <c r="F13">
        <v>11</v>
      </c>
      <c r="G13" t="s">
        <v>235</v>
      </c>
      <c r="H13">
        <v>2</v>
      </c>
      <c r="I13" t="s">
        <v>237</v>
      </c>
      <c r="J13" t="s">
        <v>76</v>
      </c>
      <c r="K13" s="104">
        <v>1</v>
      </c>
      <c r="L13" s="104" t="s">
        <v>206</v>
      </c>
      <c r="M13" s="206">
        <v>25</v>
      </c>
      <c r="N13" s="205">
        <v>42005</v>
      </c>
      <c r="O13" s="211"/>
      <c r="Q13" t="s">
        <v>76</v>
      </c>
      <c r="R13">
        <v>1</v>
      </c>
    </row>
    <row r="14" spans="1:18" x14ac:dyDescent="0.25">
      <c r="A14" t="str">
        <f>TableBURPLAN2[[#This Row],[Study Package Code]]</f>
        <v>URDE2006</v>
      </c>
      <c r="B14" s="2">
        <f>TableBURPLAN2[[#This Row],[Ver]]</f>
        <v>1</v>
      </c>
      <c r="D14" t="str">
        <f>TableBURPLAN2[[#This Row],[Structure Line]]</f>
        <v>Planning for Housing</v>
      </c>
      <c r="E14" s="90">
        <f>TableBURPLAN2[[#This Row],[Credit Points]]</f>
        <v>25</v>
      </c>
      <c r="F14">
        <v>12</v>
      </c>
      <c r="G14" t="s">
        <v>235</v>
      </c>
      <c r="H14">
        <v>2</v>
      </c>
      <c r="I14" t="s">
        <v>237</v>
      </c>
      <c r="J14" t="s">
        <v>79</v>
      </c>
      <c r="K14" s="104">
        <v>1</v>
      </c>
      <c r="L14" s="104" t="s">
        <v>207</v>
      </c>
      <c r="M14" s="206">
        <v>25</v>
      </c>
      <c r="N14" s="205">
        <v>42005</v>
      </c>
      <c r="O14" s="211"/>
      <c r="Q14" t="s">
        <v>79</v>
      </c>
      <c r="R14">
        <v>1</v>
      </c>
    </row>
    <row r="15" spans="1:18" x14ac:dyDescent="0.25">
      <c r="A15" t="str">
        <f>TableBURPLAN2[[#This Row],[Study Package Code]]</f>
        <v>URDE2009</v>
      </c>
      <c r="B15" s="2">
        <f>TableBURPLAN2[[#This Row],[Ver]]</f>
        <v>1</v>
      </c>
      <c r="D15" t="str">
        <f>TableBURPLAN2[[#This Row],[Structure Line]]</f>
        <v>Land and Development Economics</v>
      </c>
      <c r="E15" s="90">
        <f>TableBURPLAN2[[#This Row],[Credit Points]]</f>
        <v>25</v>
      </c>
      <c r="F15">
        <v>13</v>
      </c>
      <c r="G15" t="s">
        <v>235</v>
      </c>
      <c r="H15">
        <v>2</v>
      </c>
      <c r="I15" t="s">
        <v>237</v>
      </c>
      <c r="J15" t="s">
        <v>72</v>
      </c>
      <c r="K15" s="104">
        <v>1</v>
      </c>
      <c r="L15" s="104" t="s">
        <v>209</v>
      </c>
      <c r="M15" s="206">
        <v>25</v>
      </c>
      <c r="N15" s="205">
        <v>44197</v>
      </c>
      <c r="O15" s="211"/>
      <c r="Q15" t="s">
        <v>72</v>
      </c>
      <c r="R15">
        <v>1</v>
      </c>
    </row>
    <row r="16" spans="1:18" x14ac:dyDescent="0.25">
      <c r="A16" t="str">
        <f>TableBURPLAN2[[#This Row],[Study Package Code]]</f>
        <v>URDE2001</v>
      </c>
      <c r="B16" s="2">
        <f>TableBURPLAN2[[#This Row],[Ver]]</f>
        <v>1</v>
      </c>
      <c r="D16" t="str">
        <f>TableBURPLAN2[[#This Row],[Structure Line]]</f>
        <v>Participatory Planning</v>
      </c>
      <c r="E16" s="90">
        <f>TableBURPLAN2[[#This Row],[Credit Points]]</f>
        <v>25</v>
      </c>
      <c r="F16">
        <v>14</v>
      </c>
      <c r="G16" t="s">
        <v>235</v>
      </c>
      <c r="H16">
        <v>2</v>
      </c>
      <c r="I16" t="s">
        <v>237</v>
      </c>
      <c r="J16" t="s">
        <v>75</v>
      </c>
      <c r="K16" s="104">
        <v>1</v>
      </c>
      <c r="L16" s="104" t="s">
        <v>205</v>
      </c>
      <c r="M16" s="206">
        <v>25</v>
      </c>
      <c r="N16" s="205">
        <v>42005</v>
      </c>
      <c r="O16" s="211"/>
      <c r="Q16" t="s">
        <v>75</v>
      </c>
      <c r="R16">
        <v>1</v>
      </c>
    </row>
    <row r="17" spans="1:18" x14ac:dyDescent="0.25">
      <c r="A17" t="str">
        <f>TableBURPLAN2[[#This Row],[Study Package Code]]</f>
        <v>URDE2007</v>
      </c>
      <c r="B17" s="2">
        <f>TableBURPLAN2[[#This Row],[Ver]]</f>
        <v>1</v>
      </c>
      <c r="D17" t="str">
        <f>TableBURPLAN2[[#This Row],[Structure Line]]</f>
        <v>Site Planning</v>
      </c>
      <c r="E17" s="90">
        <f>TableBURPLAN2[[#This Row],[Credit Points]]</f>
        <v>25</v>
      </c>
      <c r="F17">
        <v>15</v>
      </c>
      <c r="G17" t="s">
        <v>235</v>
      </c>
      <c r="H17">
        <v>2</v>
      </c>
      <c r="I17" t="s">
        <v>237</v>
      </c>
      <c r="J17" t="s">
        <v>77</v>
      </c>
      <c r="K17" s="104">
        <v>1</v>
      </c>
      <c r="L17" s="104" t="s">
        <v>208</v>
      </c>
      <c r="M17" s="206">
        <v>25</v>
      </c>
      <c r="N17" s="205">
        <v>42005</v>
      </c>
      <c r="O17" s="211"/>
      <c r="Q17" t="s">
        <v>77</v>
      </c>
      <c r="R17">
        <v>1</v>
      </c>
    </row>
    <row r="18" spans="1:18" x14ac:dyDescent="0.25">
      <c r="A18" t="str">
        <f>TableBURPLAN2[[#This Row],[Study Package Code]]</f>
        <v>URDE3009</v>
      </c>
      <c r="B18" s="2">
        <f>TableBURPLAN2[[#This Row],[Ver]]</f>
        <v>1</v>
      </c>
      <c r="D18" t="str">
        <f>TableBURPLAN2[[#This Row],[Structure Line]]</f>
        <v>Planning History and Theory</v>
      </c>
      <c r="E18" s="90">
        <f>TableBURPLAN2[[#This Row],[Credit Points]]</f>
        <v>25</v>
      </c>
      <c r="F18">
        <v>16</v>
      </c>
      <c r="G18" t="s">
        <v>235</v>
      </c>
      <c r="H18">
        <v>3</v>
      </c>
      <c r="I18" t="s">
        <v>237</v>
      </c>
      <c r="J18" t="s">
        <v>88</v>
      </c>
      <c r="K18" s="104">
        <v>1</v>
      </c>
      <c r="L18" s="104" t="s">
        <v>217</v>
      </c>
      <c r="M18" s="206">
        <v>25</v>
      </c>
      <c r="N18" s="205">
        <v>44197</v>
      </c>
      <c r="O18" s="211"/>
      <c r="Q18" t="s">
        <v>88</v>
      </c>
      <c r="R18">
        <v>1</v>
      </c>
    </row>
    <row r="19" spans="1:18" x14ac:dyDescent="0.25">
      <c r="A19" t="str">
        <f>TableBURPLAN2[[#This Row],[Study Package Code]]</f>
        <v>URDE3007</v>
      </c>
      <c r="B19" s="2">
        <f>TableBURPLAN2[[#This Row],[Ver]]</f>
        <v>2</v>
      </c>
      <c r="D19" t="str">
        <f>TableBURPLAN2[[#This Row],[Structure Line]]</f>
        <v>Design and Built Environment Research Methods</v>
      </c>
      <c r="E19" s="90">
        <f>TableBURPLAN2[[#This Row],[Credit Points]]</f>
        <v>25</v>
      </c>
      <c r="F19">
        <v>17</v>
      </c>
      <c r="G19" t="s">
        <v>235</v>
      </c>
      <c r="H19">
        <v>3</v>
      </c>
      <c r="I19" t="s">
        <v>237</v>
      </c>
      <c r="J19" t="s">
        <v>95</v>
      </c>
      <c r="K19" s="104">
        <v>2</v>
      </c>
      <c r="L19" s="104" t="s">
        <v>216</v>
      </c>
      <c r="M19" s="206">
        <v>25</v>
      </c>
      <c r="N19" s="205">
        <v>44197</v>
      </c>
      <c r="O19" s="211"/>
      <c r="Q19" t="s">
        <v>95</v>
      </c>
      <c r="R19">
        <v>2</v>
      </c>
    </row>
    <row r="20" spans="1:18" x14ac:dyDescent="0.25">
      <c r="A20" t="str">
        <f>TableBURPLAN2[[#This Row],[Study Package Code]]</f>
        <v>URDE3002</v>
      </c>
      <c r="B20" s="2">
        <f>TableBURPLAN2[[#This Row],[Ver]]</f>
        <v>1</v>
      </c>
      <c r="D20" t="str">
        <f>TableBURPLAN2[[#This Row],[Structure Line]]</f>
        <v>Urban Regeneration</v>
      </c>
      <c r="E20" s="90">
        <f>TableBURPLAN2[[#This Row],[Credit Points]]</f>
        <v>25</v>
      </c>
      <c r="F20">
        <v>18</v>
      </c>
      <c r="G20" t="s">
        <v>235</v>
      </c>
      <c r="H20">
        <v>3</v>
      </c>
      <c r="I20" t="s">
        <v>237</v>
      </c>
      <c r="J20" t="s">
        <v>96</v>
      </c>
      <c r="K20" s="104">
        <v>1</v>
      </c>
      <c r="L20" s="104" t="s">
        <v>212</v>
      </c>
      <c r="M20" s="206">
        <v>25</v>
      </c>
      <c r="N20" s="205">
        <v>42005</v>
      </c>
      <c r="O20" s="211"/>
      <c r="Q20" t="s">
        <v>96</v>
      </c>
      <c r="R20">
        <v>1</v>
      </c>
    </row>
    <row r="21" spans="1:18" x14ac:dyDescent="0.25">
      <c r="A21" t="str">
        <f>TableBURPLAN2[[#This Row],[Study Package Code]]</f>
        <v>URDE3006</v>
      </c>
      <c r="B21" s="2">
        <f>TableBURPLAN2[[#This Row],[Ver]]</f>
        <v>2</v>
      </c>
      <c r="D21" t="str">
        <f>TableBURPLAN2[[#This Row],[Structure Line]]</f>
        <v>Planning Analytics</v>
      </c>
      <c r="E21" s="90">
        <f>TableBURPLAN2[[#This Row],[Credit Points]]</f>
        <v>25</v>
      </c>
      <c r="F21">
        <v>19</v>
      </c>
      <c r="G21" t="s">
        <v>235</v>
      </c>
      <c r="H21">
        <v>3</v>
      </c>
      <c r="I21" t="s">
        <v>237</v>
      </c>
      <c r="J21" t="s">
        <v>91</v>
      </c>
      <c r="K21" s="104">
        <v>2</v>
      </c>
      <c r="L21" s="104" t="s">
        <v>215</v>
      </c>
      <c r="M21" s="206">
        <v>25</v>
      </c>
      <c r="N21" s="205">
        <v>44197</v>
      </c>
      <c r="O21" s="211"/>
      <c r="Q21" t="s">
        <v>91</v>
      </c>
      <c r="R21">
        <v>2</v>
      </c>
    </row>
    <row r="22" spans="1:18" x14ac:dyDescent="0.25">
      <c r="A22" t="str">
        <f>TableBURPLAN2[[#This Row],[Study Package Code]]</f>
        <v>URDE3001</v>
      </c>
      <c r="B22" s="2">
        <f>TableBURPLAN2[[#This Row],[Ver]]</f>
        <v>2</v>
      </c>
      <c r="D22" t="str">
        <f>TableBURPLAN2[[#This Row],[Structure Line]]</f>
        <v>Professional Practice in Urban and Regional Planning 1</v>
      </c>
      <c r="E22" s="90">
        <f>TableBURPLAN2[[#This Row],[Credit Points]]</f>
        <v>25</v>
      </c>
      <c r="F22">
        <v>20</v>
      </c>
      <c r="G22" t="s">
        <v>235</v>
      </c>
      <c r="H22">
        <v>3</v>
      </c>
      <c r="I22" t="s">
        <v>237</v>
      </c>
      <c r="J22" t="s">
        <v>97</v>
      </c>
      <c r="K22" s="104">
        <v>2</v>
      </c>
      <c r="L22" s="104" t="s">
        <v>211</v>
      </c>
      <c r="M22" s="206">
        <v>25</v>
      </c>
      <c r="N22" s="205">
        <v>44197</v>
      </c>
      <c r="O22" s="211"/>
      <c r="Q22" t="s">
        <v>97</v>
      </c>
      <c r="R22">
        <v>2</v>
      </c>
    </row>
    <row r="23" spans="1:18" x14ac:dyDescent="0.25">
      <c r="A23" t="str">
        <f>TableBURPLAN2[[#This Row],[Study Package Code]]</f>
        <v>Fourth Year Stream</v>
      </c>
      <c r="B23" s="2">
        <f>TableBURPLAN2[[#This Row],[Ver]]</f>
        <v>0</v>
      </c>
      <c r="D23" t="str">
        <f>TableBURPLAN2[[#This Row],[Structure Line]]</f>
        <v>Choose your Fourth Year Stream</v>
      </c>
      <c r="E23" s="90">
        <f>TableBURPLAN2[[#This Row],[Credit Points]]</f>
        <v>200</v>
      </c>
      <c r="F23">
        <v>21</v>
      </c>
      <c r="G23" t="s">
        <v>236</v>
      </c>
      <c r="H23">
        <v>4</v>
      </c>
      <c r="I23" t="s">
        <v>237</v>
      </c>
      <c r="J23" t="s">
        <v>182</v>
      </c>
      <c r="K23" s="104">
        <v>0</v>
      </c>
      <c r="L23" s="104" t="s">
        <v>183</v>
      </c>
      <c r="M23" s="104">
        <v>200</v>
      </c>
      <c r="N23" s="205"/>
      <c r="O23" s="211"/>
      <c r="Q23" t="s">
        <v>182</v>
      </c>
      <c r="R23">
        <v>0</v>
      </c>
    </row>
    <row r="24" spans="1:18" x14ac:dyDescent="0.25">
      <c r="A24" t="str">
        <f>TableBURPLAN2[[#This Row],[Study Package Code]]</f>
        <v>Specialisation</v>
      </c>
      <c r="B24" s="2">
        <f>TableBURPLAN2[[#This Row],[Ver]]</f>
        <v>0</v>
      </c>
      <c r="D24" t="str">
        <f>TableBURPLAN2[[#This Row],[Structure Line]]</f>
        <v>Choose a Specialisation</v>
      </c>
      <c r="E24" s="90">
        <f>TableBURPLAN2[[#This Row],[Credit Points]]</f>
        <v>100</v>
      </c>
      <c r="F24">
        <v>22</v>
      </c>
      <c r="G24" t="s">
        <v>236</v>
      </c>
      <c r="H24">
        <v>0</v>
      </c>
      <c r="I24" t="s">
        <v>237</v>
      </c>
      <c r="J24" t="s">
        <v>194</v>
      </c>
      <c r="K24" s="104">
        <v>0</v>
      </c>
      <c r="L24" s="104" t="s">
        <v>195</v>
      </c>
      <c r="M24" s="104">
        <v>100</v>
      </c>
      <c r="N24" s="205"/>
      <c r="O24" s="211"/>
      <c r="Q24" t="s">
        <v>194</v>
      </c>
      <c r="R24">
        <v>0</v>
      </c>
    </row>
    <row r="25" spans="1:18" x14ac:dyDescent="0.25">
      <c r="A25" t="str">
        <f>TableBURPLAN2[[#This Row],[Study Package Code]]</f>
        <v>STRH-URPLN</v>
      </c>
      <c r="B25" s="2">
        <f>TableBURPLAN2[[#This Row],[Ver]]</f>
        <v>2</v>
      </c>
      <c r="D25" t="str">
        <f>TableBURPLAN2[[#This Row],[Structure Line]]</f>
        <v>Honours Urban and Regional Planning Stream</v>
      </c>
      <c r="E25" s="90">
        <f>TableBURPLAN2[[#This Row],[Credit Points]]</f>
        <v>200</v>
      </c>
      <c r="F25">
        <v>21</v>
      </c>
      <c r="G25" t="s">
        <v>236</v>
      </c>
      <c r="H25">
        <v>4</v>
      </c>
      <c r="I25" t="s">
        <v>237</v>
      </c>
      <c r="J25" t="s">
        <v>86</v>
      </c>
      <c r="K25" s="206">
        <v>2</v>
      </c>
      <c r="L25" s="104" t="s">
        <v>85</v>
      </c>
      <c r="M25" s="206">
        <v>200</v>
      </c>
      <c r="N25" s="205">
        <v>44197</v>
      </c>
      <c r="O25" s="211"/>
      <c r="Q25" t="s">
        <v>86</v>
      </c>
      <c r="R25">
        <v>2</v>
      </c>
    </row>
    <row r="26" spans="1:18" x14ac:dyDescent="0.25">
      <c r="A26" t="str">
        <f>TableBURPLAN2[[#This Row],[Study Package Code]]</f>
        <v>STRU-URPLN</v>
      </c>
      <c r="B26" s="2">
        <f>TableBURPLAN2[[#This Row],[Ver]]</f>
        <v>3</v>
      </c>
      <c r="D26" t="str">
        <f>TableBURPLAN2[[#This Row],[Structure Line]]</f>
        <v>Urban and Regional Planning Fourth Year Stream</v>
      </c>
      <c r="E26" s="90">
        <f>TableBURPLAN2[[#This Row],[Credit Points]]</f>
        <v>200</v>
      </c>
      <c r="F26">
        <v>21</v>
      </c>
      <c r="G26" t="s">
        <v>236</v>
      </c>
      <c r="H26">
        <v>4</v>
      </c>
      <c r="I26" t="s">
        <v>237</v>
      </c>
      <c r="J26" t="s">
        <v>82</v>
      </c>
      <c r="K26" s="206">
        <v>3</v>
      </c>
      <c r="L26" s="104" t="s">
        <v>81</v>
      </c>
      <c r="M26" s="206">
        <v>200</v>
      </c>
      <c r="N26" s="205">
        <v>44927</v>
      </c>
      <c r="O26" s="211"/>
      <c r="Q26" t="s">
        <v>82</v>
      </c>
      <c r="R26">
        <v>3</v>
      </c>
    </row>
    <row r="27" spans="1:18" x14ac:dyDescent="0.25">
      <c r="A27" t="str">
        <f>TableBURPLAN2[[#This Row],[Study Package Code]]</f>
        <v>SPUC-ENVSP</v>
      </c>
      <c r="B27" s="2">
        <f>TableBURPLAN2[[#This Row],[Ver]]</f>
        <v>1</v>
      </c>
      <c r="D27" t="str">
        <f>TableBURPLAN2[[#This Row],[Structure Line]]</f>
        <v>Environmental Planning Specialisation</v>
      </c>
      <c r="E27" s="90">
        <f>TableBURPLAN2[[#This Row],[Credit Points]]</f>
        <v>100</v>
      </c>
      <c r="F27">
        <v>22</v>
      </c>
      <c r="G27" t="s">
        <v>236</v>
      </c>
      <c r="H27">
        <v>0</v>
      </c>
      <c r="I27" t="s">
        <v>237</v>
      </c>
      <c r="J27" t="s">
        <v>92</v>
      </c>
      <c r="K27" s="206">
        <v>1</v>
      </c>
      <c r="L27" s="104" t="s">
        <v>13</v>
      </c>
      <c r="M27" s="206">
        <v>100</v>
      </c>
      <c r="N27" s="205">
        <v>44197</v>
      </c>
      <c r="O27" s="211"/>
      <c r="Q27" t="s">
        <v>92</v>
      </c>
      <c r="R27">
        <v>1</v>
      </c>
    </row>
    <row r="28" spans="1:18" x14ac:dyDescent="0.25">
      <c r="A28" t="str">
        <f>TableBURPLAN2[[#This Row],[Study Package Code]]</f>
        <v>SPUC-GRAPH</v>
      </c>
      <c r="B28" s="2">
        <f>TableBURPLAN2[[#This Row],[Ver]]</f>
        <v>1</v>
      </c>
      <c r="D28" t="str">
        <f>TableBURPLAN2[[#This Row],[Structure Line]]</f>
        <v>Graphics Specialisation</v>
      </c>
      <c r="E28" s="90">
        <f>TableBURPLAN2[[#This Row],[Credit Points]]</f>
        <v>100</v>
      </c>
      <c r="F28">
        <v>22</v>
      </c>
      <c r="G28" t="s">
        <v>236</v>
      </c>
      <c r="H28">
        <v>0</v>
      </c>
      <c r="I28" t="s">
        <v>237</v>
      </c>
      <c r="J28" t="s">
        <v>99</v>
      </c>
      <c r="K28" s="206">
        <v>1</v>
      </c>
      <c r="L28" s="104" t="s">
        <v>98</v>
      </c>
      <c r="M28" s="206">
        <v>100</v>
      </c>
      <c r="N28" s="205">
        <v>44197</v>
      </c>
      <c r="O28" s="211"/>
      <c r="Q28" t="s">
        <v>99</v>
      </c>
      <c r="R28">
        <v>1</v>
      </c>
    </row>
    <row r="29" spans="1:18" x14ac:dyDescent="0.25">
      <c r="A29" t="str">
        <f>TableBURPLAN2[[#This Row],[Study Package Code]]</f>
        <v>SPUC-INTLD</v>
      </c>
      <c r="B29" s="2">
        <f>TableBURPLAN2[[#This Row],[Ver]]</f>
        <v>1</v>
      </c>
      <c r="D29" t="str">
        <f>TableBURPLAN2[[#This Row],[Structure Line]]</f>
        <v>International Development Specialisation</v>
      </c>
      <c r="E29" s="90">
        <f>TableBURPLAN2[[#This Row],[Credit Points]]</f>
        <v>100</v>
      </c>
      <c r="F29">
        <v>22</v>
      </c>
      <c r="G29" t="s">
        <v>236</v>
      </c>
      <c r="H29">
        <v>0</v>
      </c>
      <c r="I29" t="s">
        <v>237</v>
      </c>
      <c r="J29" t="s">
        <v>101</v>
      </c>
      <c r="K29" s="206">
        <v>1</v>
      </c>
      <c r="L29" s="104" t="s">
        <v>100</v>
      </c>
      <c r="M29" s="206">
        <v>100</v>
      </c>
      <c r="N29" s="205">
        <v>44197</v>
      </c>
      <c r="O29" s="211"/>
      <c r="Q29" t="s">
        <v>101</v>
      </c>
      <c r="R29">
        <v>1</v>
      </c>
    </row>
    <row r="30" spans="1:18" x14ac:dyDescent="0.25">
      <c r="A30" t="str">
        <f>TableBURPLAN2[[#This Row],[Study Package Code]]</f>
        <v>SPUC-LANDN</v>
      </c>
      <c r="B30" s="2">
        <f>TableBURPLAN2[[#This Row],[Ver]]</f>
        <v>2</v>
      </c>
      <c r="D30" t="str">
        <f>TableBURPLAN2[[#This Row],[Structure Line]]</f>
        <v>Landscape and Natural Resource Management Specialisation</v>
      </c>
      <c r="E30" s="90">
        <f>TableBURPLAN2[[#This Row],[Credit Points]]</f>
        <v>100</v>
      </c>
      <c r="F30">
        <v>22</v>
      </c>
      <c r="G30" t="s">
        <v>236</v>
      </c>
      <c r="H30">
        <v>0</v>
      </c>
      <c r="I30" t="s">
        <v>237</v>
      </c>
      <c r="J30" t="s">
        <v>103</v>
      </c>
      <c r="K30" s="206">
        <v>2</v>
      </c>
      <c r="L30" s="104" t="s">
        <v>102</v>
      </c>
      <c r="M30" s="206">
        <v>100</v>
      </c>
      <c r="N30" s="205">
        <v>45292</v>
      </c>
      <c r="O30" s="211"/>
      <c r="Q30" t="s">
        <v>103</v>
      </c>
      <c r="R30">
        <v>1</v>
      </c>
    </row>
    <row r="31" spans="1:18" x14ac:dyDescent="0.25">
      <c r="A31" t="str">
        <f>TableBURPLAN2[[#This Row],[Study Package Code]]</f>
        <v>SPUC-SOCJU</v>
      </c>
      <c r="B31" s="2">
        <f>TableBURPLAN2[[#This Row],[Ver]]</f>
        <v>1</v>
      </c>
      <c r="D31" t="str">
        <f>TableBURPLAN2[[#This Row],[Structure Line]]</f>
        <v>Social Inclusion and Equity Specialisation</v>
      </c>
      <c r="E31" s="90">
        <f>TableBURPLAN2[[#This Row],[Credit Points]]</f>
        <v>100</v>
      </c>
      <c r="F31">
        <v>22</v>
      </c>
      <c r="G31" t="s">
        <v>236</v>
      </c>
      <c r="H31">
        <v>0</v>
      </c>
      <c r="I31" t="s">
        <v>237</v>
      </c>
      <c r="J31" t="s">
        <v>105</v>
      </c>
      <c r="K31" s="206">
        <v>1</v>
      </c>
      <c r="L31" s="104" t="s">
        <v>104</v>
      </c>
      <c r="M31" s="206">
        <v>100</v>
      </c>
      <c r="N31" s="205">
        <v>44197</v>
      </c>
      <c r="O31" s="211"/>
      <c r="Q31" t="s">
        <v>105</v>
      </c>
      <c r="R31">
        <v>1</v>
      </c>
    </row>
    <row r="32" spans="1:18" x14ac:dyDescent="0.25">
      <c r="B32"/>
      <c r="E32"/>
      <c r="F32" s="86"/>
      <c r="G32" s="87" t="s">
        <v>226</v>
      </c>
      <c r="H32" s="88">
        <v>44197</v>
      </c>
      <c r="J32" s="204" t="s">
        <v>86</v>
      </c>
      <c r="K32" s="89" t="s">
        <v>87</v>
      </c>
      <c r="L32" s="146" t="s">
        <v>85</v>
      </c>
      <c r="N32" s="210" t="s">
        <v>257</v>
      </c>
      <c r="O32" s="191">
        <v>45309</v>
      </c>
    </row>
    <row r="33" spans="1:18" x14ac:dyDescent="0.25">
      <c r="A33" t="s">
        <v>0</v>
      </c>
      <c r="B33" s="2" t="s">
        <v>227</v>
      </c>
      <c r="C33" t="s">
        <v>228</v>
      </c>
      <c r="D33" t="s">
        <v>3</v>
      </c>
      <c r="E33" s="90" t="s">
        <v>229</v>
      </c>
      <c r="F33" t="s">
        <v>230</v>
      </c>
      <c r="G33" t="s">
        <v>231</v>
      </c>
      <c r="H33" t="s">
        <v>232</v>
      </c>
      <c r="I33" t="s">
        <v>20</v>
      </c>
      <c r="J33" t="s">
        <v>233</v>
      </c>
      <c r="K33" t="s">
        <v>1</v>
      </c>
      <c r="L33" t="s">
        <v>46</v>
      </c>
      <c r="M33" t="s">
        <v>53</v>
      </c>
      <c r="N33" t="s">
        <v>255</v>
      </c>
      <c r="O33" t="s">
        <v>234</v>
      </c>
      <c r="Q33" t="s">
        <v>256</v>
      </c>
      <c r="R33" t="s">
        <v>1</v>
      </c>
    </row>
    <row r="34" spans="1:18" x14ac:dyDescent="0.25">
      <c r="A34" t="str">
        <f>TableSTRHURPLN[[#This Row],[Study Package Code]]</f>
        <v>URDE4004</v>
      </c>
      <c r="B34" s="2">
        <f>TableSTRHURPLN[[#This Row],[Ver]]</f>
        <v>1</v>
      </c>
      <c r="D34" t="str">
        <f>TableSTRHURPLN[[#This Row],[Structure Line]]</f>
        <v>International Perspectives for Planning</v>
      </c>
      <c r="E34" s="90">
        <f>TableSTRHURPLN[[#This Row],[Credit Points]]</f>
        <v>25</v>
      </c>
      <c r="F34">
        <v>1</v>
      </c>
      <c r="G34" t="s">
        <v>235</v>
      </c>
      <c r="H34">
        <v>4</v>
      </c>
      <c r="I34" t="s">
        <v>157</v>
      </c>
      <c r="J34" t="s">
        <v>106</v>
      </c>
      <c r="K34">
        <v>1</v>
      </c>
      <c r="L34" t="s">
        <v>218</v>
      </c>
      <c r="M34" s="212">
        <v>25</v>
      </c>
      <c r="N34" s="205">
        <v>42005</v>
      </c>
      <c r="O34" s="211"/>
      <c r="Q34" t="s">
        <v>106</v>
      </c>
      <c r="R34">
        <v>1</v>
      </c>
    </row>
    <row r="35" spans="1:18" x14ac:dyDescent="0.25">
      <c r="A35" t="str">
        <f>TableSTRHURPLN[[#This Row],[Study Package Code]]</f>
        <v>URDE4008</v>
      </c>
      <c r="B35" s="2">
        <f>TableSTRHURPLN[[#This Row],[Ver]]</f>
        <v>2</v>
      </c>
      <c r="D35" t="str">
        <f>TableSTRHURPLN[[#This Row],[Structure Line]]</f>
        <v>Planning Dissertation Preparation</v>
      </c>
      <c r="E35" s="90">
        <f>TableSTRHURPLN[[#This Row],[Credit Points]]</f>
        <v>25</v>
      </c>
      <c r="F35">
        <v>2</v>
      </c>
      <c r="G35" t="s">
        <v>235</v>
      </c>
      <c r="H35">
        <v>4</v>
      </c>
      <c r="I35" t="s">
        <v>157</v>
      </c>
      <c r="J35" t="s">
        <v>110</v>
      </c>
      <c r="K35">
        <v>2</v>
      </c>
      <c r="L35" t="s">
        <v>221</v>
      </c>
      <c r="M35" s="212">
        <v>25</v>
      </c>
      <c r="N35" s="205">
        <v>44197</v>
      </c>
      <c r="O35" s="211"/>
      <c r="Q35" t="s">
        <v>110</v>
      </c>
      <c r="R35">
        <v>2</v>
      </c>
    </row>
    <row r="36" spans="1:18" x14ac:dyDescent="0.25">
      <c r="A36" t="str">
        <f>TableSTRHURPLN[[#This Row],[Study Package Code]]</f>
        <v>URDE4013</v>
      </c>
      <c r="B36" s="2">
        <f>TableSTRHURPLN[[#This Row],[Ver]]</f>
        <v>1</v>
      </c>
      <c r="D36" t="str">
        <f>TableSTRHURPLN[[#This Row],[Structure Line]]</f>
        <v>Planning for Regions</v>
      </c>
      <c r="E36" s="90">
        <f>TableSTRHURPLN[[#This Row],[Credit Points]]</f>
        <v>25</v>
      </c>
      <c r="F36">
        <v>3</v>
      </c>
      <c r="G36" t="s">
        <v>235</v>
      </c>
      <c r="H36">
        <v>4</v>
      </c>
      <c r="I36" t="s">
        <v>157</v>
      </c>
      <c r="J36" t="s">
        <v>111</v>
      </c>
      <c r="K36">
        <v>1</v>
      </c>
      <c r="L36" t="s">
        <v>225</v>
      </c>
      <c r="M36" s="212">
        <v>25</v>
      </c>
      <c r="N36" s="205">
        <v>44197</v>
      </c>
      <c r="O36" s="211"/>
      <c r="Q36" t="s">
        <v>111</v>
      </c>
      <c r="R36">
        <v>1</v>
      </c>
    </row>
    <row r="37" spans="1:18" x14ac:dyDescent="0.25">
      <c r="A37" t="str">
        <f>TableSTRHURPLN[[#This Row],[Study Package Code]]</f>
        <v>URDE4006</v>
      </c>
      <c r="B37" s="2">
        <f>TableSTRHURPLN[[#This Row],[Ver]]</f>
        <v>1</v>
      </c>
      <c r="D37" t="str">
        <f>TableSTRHURPLN[[#This Row],[Structure Line]]</f>
        <v>Planning Law</v>
      </c>
      <c r="E37" s="90">
        <f>TableSTRHURPLN[[#This Row],[Credit Points]]</f>
        <v>25</v>
      </c>
      <c r="F37">
        <v>4</v>
      </c>
      <c r="G37" t="s">
        <v>235</v>
      </c>
      <c r="H37">
        <v>4</v>
      </c>
      <c r="I37" t="s">
        <v>157</v>
      </c>
      <c r="J37" t="s">
        <v>113</v>
      </c>
      <c r="K37">
        <v>1</v>
      </c>
      <c r="L37" t="s">
        <v>219</v>
      </c>
      <c r="M37" s="212">
        <v>25</v>
      </c>
      <c r="N37" s="205">
        <v>42005</v>
      </c>
      <c r="O37" s="211"/>
      <c r="Q37" t="s">
        <v>113</v>
      </c>
      <c r="R37">
        <v>1</v>
      </c>
    </row>
    <row r="38" spans="1:18" x14ac:dyDescent="0.25">
      <c r="A38" t="str">
        <f>TableSTRHURPLN[[#This Row],[Study Package Code]]</f>
        <v>URDE4011</v>
      </c>
      <c r="B38" s="2">
        <f>TableSTRHURPLN[[#This Row],[Ver]]</f>
        <v>1</v>
      </c>
      <c r="D38" t="str">
        <f>TableSTRHURPLN[[#This Row],[Structure Line]]</f>
        <v>Development Outcomes</v>
      </c>
      <c r="E38" s="90">
        <f>TableSTRHURPLN[[#This Row],[Credit Points]]</f>
        <v>25</v>
      </c>
      <c r="F38">
        <v>5</v>
      </c>
      <c r="G38" t="s">
        <v>235</v>
      </c>
      <c r="H38">
        <v>4</v>
      </c>
      <c r="I38" t="s">
        <v>158</v>
      </c>
      <c r="J38" t="s">
        <v>109</v>
      </c>
      <c r="K38">
        <v>1</v>
      </c>
      <c r="L38" t="s">
        <v>223</v>
      </c>
      <c r="M38" s="212">
        <v>25</v>
      </c>
      <c r="N38" s="205">
        <v>44197</v>
      </c>
      <c r="O38" s="211"/>
      <c r="Q38" t="s">
        <v>109</v>
      </c>
      <c r="R38">
        <v>1</v>
      </c>
    </row>
    <row r="39" spans="1:18" x14ac:dyDescent="0.25">
      <c r="A39" t="str">
        <f>TableSTRHURPLN[[#This Row],[Study Package Code]]</f>
        <v>URDE4007</v>
      </c>
      <c r="B39" s="2">
        <f>TableSTRHURPLN[[#This Row],[Ver]]</f>
        <v>1</v>
      </c>
      <c r="D39" t="str">
        <f>TableSTRHURPLN[[#This Row],[Structure Line]]</f>
        <v>Planning Honours Dissertation</v>
      </c>
      <c r="E39" s="90">
        <f>TableSTRHURPLN[[#This Row],[Credit Points]]</f>
        <v>50</v>
      </c>
      <c r="F39">
        <v>6</v>
      </c>
      <c r="G39" t="s">
        <v>235</v>
      </c>
      <c r="H39">
        <v>4</v>
      </c>
      <c r="I39" t="s">
        <v>158</v>
      </c>
      <c r="J39" t="s">
        <v>115</v>
      </c>
      <c r="K39">
        <v>1</v>
      </c>
      <c r="L39" t="s">
        <v>220</v>
      </c>
      <c r="M39" s="212">
        <v>50</v>
      </c>
      <c r="N39" s="205">
        <v>42005</v>
      </c>
      <c r="O39" s="211"/>
      <c r="Q39" t="s">
        <v>115</v>
      </c>
      <c r="R39">
        <v>1</v>
      </c>
    </row>
    <row r="40" spans="1:18" x14ac:dyDescent="0.25">
      <c r="A40" t="str">
        <f>TableSTRHURPLN[[#This Row],[Study Package Code]]</f>
        <v>URDE4012</v>
      </c>
      <c r="B40" s="2">
        <f>TableSTRHURPLN[[#This Row],[Ver]]</f>
        <v>1</v>
      </c>
      <c r="D40" t="str">
        <f>TableSTRHURPLN[[#This Row],[Structure Line]]</f>
        <v>Professional Practice in Urban and Regional Planning 2</v>
      </c>
      <c r="E40" s="90">
        <f>TableSTRHURPLN[[#This Row],[Credit Points]]</f>
        <v>25</v>
      </c>
      <c r="F40">
        <v>7</v>
      </c>
      <c r="G40" t="s">
        <v>235</v>
      </c>
      <c r="H40">
        <v>4</v>
      </c>
      <c r="I40" t="s">
        <v>158</v>
      </c>
      <c r="J40" t="s">
        <v>112</v>
      </c>
      <c r="K40" s="104">
        <v>1</v>
      </c>
      <c r="L40" s="104" t="s">
        <v>224</v>
      </c>
      <c r="M40" s="206">
        <v>25</v>
      </c>
      <c r="N40" s="205">
        <v>44197</v>
      </c>
      <c r="O40" s="211"/>
      <c r="Q40" t="s">
        <v>112</v>
      </c>
      <c r="R40" s="104">
        <v>1</v>
      </c>
    </row>
    <row r="41" spans="1:18" x14ac:dyDescent="0.25">
      <c r="B41"/>
      <c r="E41"/>
      <c r="F41" s="86"/>
      <c r="G41" s="87" t="s">
        <v>226</v>
      </c>
      <c r="H41" s="88">
        <v>44927</v>
      </c>
      <c r="J41" s="204" t="s">
        <v>82</v>
      </c>
      <c r="K41" s="89" t="s">
        <v>83</v>
      </c>
      <c r="L41" s="146" t="s">
        <v>81</v>
      </c>
      <c r="N41" s="210" t="s">
        <v>257</v>
      </c>
      <c r="O41" s="191">
        <v>45309</v>
      </c>
    </row>
    <row r="42" spans="1:18" x14ac:dyDescent="0.25">
      <c r="A42" t="s">
        <v>0</v>
      </c>
      <c r="B42" s="2" t="s">
        <v>227</v>
      </c>
      <c r="C42" t="s">
        <v>228</v>
      </c>
      <c r="D42" t="s">
        <v>3</v>
      </c>
      <c r="E42" s="90" t="s">
        <v>229</v>
      </c>
      <c r="F42" t="s">
        <v>230</v>
      </c>
      <c r="G42" t="s">
        <v>231</v>
      </c>
      <c r="H42" t="s">
        <v>232</v>
      </c>
      <c r="I42" t="s">
        <v>20</v>
      </c>
      <c r="J42" t="s">
        <v>233</v>
      </c>
      <c r="K42" t="s">
        <v>1</v>
      </c>
      <c r="L42" t="s">
        <v>46</v>
      </c>
      <c r="M42" t="s">
        <v>53</v>
      </c>
      <c r="N42" t="s">
        <v>255</v>
      </c>
      <c r="O42" t="s">
        <v>234</v>
      </c>
      <c r="Q42" t="s">
        <v>256</v>
      </c>
      <c r="R42" t="s">
        <v>1</v>
      </c>
    </row>
    <row r="43" spans="1:18" x14ac:dyDescent="0.25">
      <c r="A43" t="str">
        <f>TableSTRUURPLN[[#This Row],[Study Package Code]]</f>
        <v>URDE4004</v>
      </c>
      <c r="B43" s="2">
        <f>TableSTRUURPLN[[#This Row],[Ver]]</f>
        <v>1</v>
      </c>
      <c r="D43" t="str">
        <f>TableSTRUURPLN[[#This Row],[Structure Line]]</f>
        <v>International Perspectives for Planning</v>
      </c>
      <c r="E43" s="90">
        <f>TableSTRUURPLN[[#This Row],[Credit Points]]</f>
        <v>25</v>
      </c>
      <c r="F43">
        <v>1</v>
      </c>
      <c r="G43" t="s">
        <v>235</v>
      </c>
      <c r="H43">
        <v>4</v>
      </c>
      <c r="I43" t="s">
        <v>157</v>
      </c>
      <c r="J43" t="s">
        <v>106</v>
      </c>
      <c r="K43">
        <v>1</v>
      </c>
      <c r="L43" t="s">
        <v>218</v>
      </c>
      <c r="M43" s="212">
        <v>25</v>
      </c>
      <c r="N43" s="205">
        <v>42005</v>
      </c>
      <c r="O43" s="211"/>
      <c r="Q43" t="s">
        <v>106</v>
      </c>
      <c r="R43">
        <v>1</v>
      </c>
    </row>
    <row r="44" spans="1:18" x14ac:dyDescent="0.25">
      <c r="A44" t="str">
        <f>TableSTRUURPLN[[#This Row],[Study Package Code]]</f>
        <v>URDE4006</v>
      </c>
      <c r="B44" s="2">
        <f>TableSTRUURPLN[[#This Row],[Ver]]</f>
        <v>1</v>
      </c>
      <c r="D44" t="str">
        <f>TableSTRUURPLN[[#This Row],[Structure Line]]</f>
        <v>Planning Law</v>
      </c>
      <c r="E44" s="90">
        <f>TableSTRUURPLN[[#This Row],[Credit Points]]</f>
        <v>25</v>
      </c>
      <c r="F44">
        <v>2</v>
      </c>
      <c r="G44" t="s">
        <v>235</v>
      </c>
      <c r="H44">
        <v>4</v>
      </c>
      <c r="I44" t="s">
        <v>157</v>
      </c>
      <c r="J44" t="s">
        <v>113</v>
      </c>
      <c r="K44">
        <v>1</v>
      </c>
      <c r="L44" t="s">
        <v>219</v>
      </c>
      <c r="M44" s="212">
        <v>25</v>
      </c>
      <c r="N44" s="205">
        <v>42005</v>
      </c>
      <c r="O44" s="211"/>
      <c r="Q44" t="s">
        <v>113</v>
      </c>
      <c r="R44">
        <v>1</v>
      </c>
    </row>
    <row r="45" spans="1:18" x14ac:dyDescent="0.25">
      <c r="A45" t="str">
        <f>TableSTRUURPLN[[#This Row],[Study Package Code]]</f>
        <v>URDE4013</v>
      </c>
      <c r="B45" s="2">
        <f>TableSTRUURPLN[[#This Row],[Ver]]</f>
        <v>1</v>
      </c>
      <c r="D45" t="str">
        <f>TableSTRUURPLN[[#This Row],[Structure Line]]</f>
        <v>Planning for Regions</v>
      </c>
      <c r="E45" s="90">
        <f>TableSTRUURPLN[[#This Row],[Credit Points]]</f>
        <v>25</v>
      </c>
      <c r="F45">
        <v>3</v>
      </c>
      <c r="G45" t="s">
        <v>235</v>
      </c>
      <c r="H45">
        <v>4</v>
      </c>
      <c r="I45" t="s">
        <v>157</v>
      </c>
      <c r="J45" t="s">
        <v>111</v>
      </c>
      <c r="K45">
        <v>1</v>
      </c>
      <c r="L45" t="s">
        <v>225</v>
      </c>
      <c r="M45" s="212">
        <v>25</v>
      </c>
      <c r="N45" s="205">
        <v>44197</v>
      </c>
      <c r="O45" s="211"/>
      <c r="Q45" t="s">
        <v>111</v>
      </c>
      <c r="R45">
        <v>1</v>
      </c>
    </row>
    <row r="46" spans="1:18" x14ac:dyDescent="0.25">
      <c r="A46" t="str">
        <f>TableSTRUURPLN[[#This Row],[Study Package Code]]</f>
        <v>Elective</v>
      </c>
      <c r="B46" s="2">
        <f>TableSTRUURPLN[[#This Row],[Ver]]</f>
        <v>0</v>
      </c>
      <c r="D46" t="str">
        <f>TableSTRUURPLN[[#This Row],[Structure Line]]</f>
        <v>Choose an Elective</v>
      </c>
      <c r="E46" s="90">
        <f>TableSTRUURPLN[[#This Row],[Credit Points]]</f>
        <v>25</v>
      </c>
      <c r="F46">
        <v>4</v>
      </c>
      <c r="G46" t="s">
        <v>114</v>
      </c>
      <c r="H46">
        <v>4</v>
      </c>
      <c r="I46" t="s">
        <v>157</v>
      </c>
      <c r="J46" t="s">
        <v>114</v>
      </c>
      <c r="K46">
        <v>0</v>
      </c>
      <c r="L46" t="s">
        <v>238</v>
      </c>
      <c r="M46">
        <v>25</v>
      </c>
      <c r="N46" s="205"/>
      <c r="O46" s="211"/>
      <c r="Q46" t="s">
        <v>114</v>
      </c>
      <c r="R46">
        <v>0</v>
      </c>
    </row>
    <row r="47" spans="1:18" x14ac:dyDescent="0.25">
      <c r="A47" t="str">
        <f>TableSTRUURPLN[[#This Row],[Study Package Code]]</f>
        <v>URDE4011</v>
      </c>
      <c r="B47" s="2">
        <f>TableSTRUURPLN[[#This Row],[Ver]]</f>
        <v>1</v>
      </c>
      <c r="D47" t="str">
        <f>TableSTRUURPLN[[#This Row],[Structure Line]]</f>
        <v>Development Outcomes</v>
      </c>
      <c r="E47" s="90">
        <f>TableSTRUURPLN[[#This Row],[Credit Points]]</f>
        <v>25</v>
      </c>
      <c r="F47">
        <v>5</v>
      </c>
      <c r="G47" t="s">
        <v>235</v>
      </c>
      <c r="H47">
        <v>4</v>
      </c>
      <c r="I47" t="s">
        <v>158</v>
      </c>
      <c r="J47" t="s">
        <v>109</v>
      </c>
      <c r="K47">
        <v>1</v>
      </c>
      <c r="L47" t="s">
        <v>223</v>
      </c>
      <c r="M47" s="212">
        <v>25</v>
      </c>
      <c r="N47" s="205">
        <v>44197</v>
      </c>
      <c r="O47" s="211"/>
      <c r="Q47" t="s">
        <v>109</v>
      </c>
      <c r="R47">
        <v>1</v>
      </c>
    </row>
    <row r="48" spans="1:18" x14ac:dyDescent="0.25">
      <c r="A48" t="str">
        <f>TableSTRUURPLN[[#This Row],[Study Package Code]]</f>
        <v>URDE4009</v>
      </c>
      <c r="B48" s="2">
        <f>TableSTRUURPLN[[#This Row],[Ver]]</f>
        <v>1</v>
      </c>
      <c r="D48" t="str">
        <f>TableSTRUURPLN[[#This Row],[Structure Line]]</f>
        <v>Planning Report</v>
      </c>
      <c r="E48" s="90">
        <f>TableSTRUURPLN[[#This Row],[Credit Points]]</f>
        <v>50</v>
      </c>
      <c r="F48">
        <v>6</v>
      </c>
      <c r="G48" t="s">
        <v>235</v>
      </c>
      <c r="H48">
        <v>4</v>
      </c>
      <c r="I48" t="s">
        <v>158</v>
      </c>
      <c r="J48" t="s">
        <v>116</v>
      </c>
      <c r="K48">
        <v>1</v>
      </c>
      <c r="L48" t="s">
        <v>222</v>
      </c>
      <c r="M48" s="212">
        <v>50</v>
      </c>
      <c r="N48" s="205">
        <v>42005</v>
      </c>
      <c r="O48" s="211"/>
      <c r="Q48" t="s">
        <v>116</v>
      </c>
      <c r="R48">
        <v>1</v>
      </c>
    </row>
    <row r="49" spans="1:18" x14ac:dyDescent="0.25">
      <c r="A49" t="str">
        <f>TableSTRUURPLN[[#This Row],[Study Package Code]]</f>
        <v>URDE4012</v>
      </c>
      <c r="B49" s="2">
        <f>TableSTRUURPLN[[#This Row],[Ver]]</f>
        <v>1</v>
      </c>
      <c r="D49" t="str">
        <f>TableSTRUURPLN[[#This Row],[Structure Line]]</f>
        <v>Professional Practice in Urban and Regional Planning 2</v>
      </c>
      <c r="E49" s="90">
        <f>TableSTRUURPLN[[#This Row],[Credit Points]]</f>
        <v>25</v>
      </c>
      <c r="F49">
        <v>7</v>
      </c>
      <c r="G49" t="s">
        <v>235</v>
      </c>
      <c r="H49">
        <v>4</v>
      </c>
      <c r="I49" t="s">
        <v>158</v>
      </c>
      <c r="J49" t="s">
        <v>112</v>
      </c>
      <c r="K49" s="104">
        <v>1</v>
      </c>
      <c r="L49" s="104" t="s">
        <v>224</v>
      </c>
      <c r="M49" s="206">
        <v>25</v>
      </c>
      <c r="N49" s="205">
        <v>44197</v>
      </c>
      <c r="O49" s="211"/>
      <c r="Q49" t="s">
        <v>112</v>
      </c>
      <c r="R49">
        <v>1</v>
      </c>
    </row>
    <row r="50" spans="1:18" x14ac:dyDescent="0.25">
      <c r="B50"/>
      <c r="E50"/>
      <c r="F50" s="86"/>
      <c r="G50" s="87" t="s">
        <v>226</v>
      </c>
      <c r="H50" s="88">
        <v>44197</v>
      </c>
      <c r="J50" s="204" t="s">
        <v>92</v>
      </c>
      <c r="K50" s="89" t="s">
        <v>93</v>
      </c>
      <c r="L50" s="146" t="s">
        <v>13</v>
      </c>
      <c r="N50" s="210" t="s">
        <v>257</v>
      </c>
      <c r="O50" s="191">
        <v>45309</v>
      </c>
    </row>
    <row r="51" spans="1:18" x14ac:dyDescent="0.25">
      <c r="A51" t="s">
        <v>0</v>
      </c>
      <c r="B51" s="2" t="s">
        <v>227</v>
      </c>
      <c r="C51" t="s">
        <v>228</v>
      </c>
      <c r="D51" t="s">
        <v>3</v>
      </c>
      <c r="E51" s="90" t="s">
        <v>229</v>
      </c>
      <c r="F51" t="s">
        <v>230</v>
      </c>
      <c r="G51" t="s">
        <v>231</v>
      </c>
      <c r="H51" t="s">
        <v>232</v>
      </c>
      <c r="I51" t="s">
        <v>20</v>
      </c>
      <c r="J51" t="s">
        <v>233</v>
      </c>
      <c r="K51" t="s">
        <v>1</v>
      </c>
      <c r="L51" t="s">
        <v>46</v>
      </c>
      <c r="M51" t="s">
        <v>53</v>
      </c>
      <c r="N51" t="s">
        <v>255</v>
      </c>
      <c r="O51" t="s">
        <v>234</v>
      </c>
      <c r="Q51" t="s">
        <v>256</v>
      </c>
      <c r="R51" t="s">
        <v>1</v>
      </c>
    </row>
    <row r="52" spans="1:18" x14ac:dyDescent="0.25">
      <c r="A52" t="str">
        <f>TableSPUCENVSP[[#This Row],[Study Package Code]]</f>
        <v>ENST3000</v>
      </c>
      <c r="B52" s="2">
        <f>TableSPUCENVSP[[#This Row],[Ver]]</f>
        <v>1</v>
      </c>
      <c r="D52" t="str">
        <f>TableSPUCENVSP[[#This Row],[Structure Line]]</f>
        <v>Environmental Impact Assessment</v>
      </c>
      <c r="E52" s="90">
        <f>TableSPUCENVSP[[#This Row],[Credit Points]]</f>
        <v>25</v>
      </c>
      <c r="F52">
        <v>1</v>
      </c>
      <c r="G52" t="s">
        <v>235</v>
      </c>
      <c r="H52">
        <v>1</v>
      </c>
      <c r="I52" t="s">
        <v>237</v>
      </c>
      <c r="J52" t="s">
        <v>129</v>
      </c>
      <c r="K52">
        <v>1</v>
      </c>
      <c r="L52" t="s">
        <v>180</v>
      </c>
      <c r="M52" s="212">
        <v>25</v>
      </c>
      <c r="N52" s="205">
        <v>42005</v>
      </c>
      <c r="O52" s="211"/>
      <c r="Q52" t="s">
        <v>129</v>
      </c>
      <c r="R52">
        <v>1</v>
      </c>
    </row>
    <row r="53" spans="1:18" x14ac:dyDescent="0.25">
      <c r="A53" t="str">
        <f>TableSPUCENVSP[[#This Row],[Study Package Code]]</f>
        <v>AGRI1000</v>
      </c>
      <c r="B53" s="2">
        <f>TableSPUCENVSP[[#This Row],[Ver]]</f>
        <v>1</v>
      </c>
      <c r="D53" t="str">
        <f>TableSPUCENVSP[[#This Row],[Structure Line]]</f>
        <v>Land and Water Resources</v>
      </c>
      <c r="E53" s="90">
        <f>TableSPUCENVSP[[#This Row],[Credit Points]]</f>
        <v>25</v>
      </c>
      <c r="F53">
        <v>2</v>
      </c>
      <c r="G53" t="s">
        <v>235</v>
      </c>
      <c r="H53">
        <v>1</v>
      </c>
      <c r="I53" t="s">
        <v>237</v>
      </c>
      <c r="J53" t="s">
        <v>123</v>
      </c>
      <c r="K53">
        <v>1</v>
      </c>
      <c r="L53" t="s">
        <v>169</v>
      </c>
      <c r="M53" s="212">
        <v>25</v>
      </c>
      <c r="N53" s="205">
        <v>42005</v>
      </c>
      <c r="O53" s="211"/>
      <c r="Q53" t="s">
        <v>123</v>
      </c>
      <c r="R53">
        <v>1</v>
      </c>
    </row>
    <row r="54" spans="1:18" x14ac:dyDescent="0.25">
      <c r="A54" t="str">
        <f>TableSPUCENVSP[[#This Row],[Study Package Code]]</f>
        <v>ENST3004</v>
      </c>
      <c r="B54" s="2">
        <f>TableSPUCENVSP[[#This Row],[Ver]]</f>
        <v>1</v>
      </c>
      <c r="D54" t="str">
        <f>TableSPUCENVSP[[#This Row],[Structure Line]]</f>
        <v>Topics in Sustainable Development</v>
      </c>
      <c r="E54" s="90">
        <f>TableSPUCENVSP[[#This Row],[Credit Points]]</f>
        <v>25</v>
      </c>
      <c r="F54">
        <v>3</v>
      </c>
      <c r="G54" t="s">
        <v>235</v>
      </c>
      <c r="H54">
        <v>1</v>
      </c>
      <c r="I54" t="s">
        <v>237</v>
      </c>
      <c r="J54" t="s">
        <v>135</v>
      </c>
      <c r="K54">
        <v>1</v>
      </c>
      <c r="L54" t="s">
        <v>181</v>
      </c>
      <c r="M54" s="212">
        <v>25</v>
      </c>
      <c r="N54" s="205">
        <v>43282</v>
      </c>
      <c r="O54" s="211"/>
      <c r="Q54" t="s">
        <v>135</v>
      </c>
      <c r="R54">
        <v>1</v>
      </c>
    </row>
    <row r="55" spans="1:18" x14ac:dyDescent="0.25">
      <c r="A55" t="str">
        <f>TableSPUCENVSP[[#This Row],[Study Package Code]]</f>
        <v>AC-ENVSP</v>
      </c>
      <c r="B55" s="2">
        <f>TableSPUCENVSP[[#This Row],[Ver]]</f>
        <v>0</v>
      </c>
      <c r="D55" t="str">
        <f>TableSPUCENVSP[[#This Row],[Structure Line]]</f>
        <v>Choose ARCH2012 or URDE3005</v>
      </c>
      <c r="E55" s="90">
        <f>TableSPUCENVSP[[#This Row],[Credit Points]]</f>
        <v>25</v>
      </c>
      <c r="F55">
        <v>4</v>
      </c>
      <c r="G55" t="s">
        <v>236</v>
      </c>
      <c r="H55">
        <v>1</v>
      </c>
      <c r="I55" t="s">
        <v>237</v>
      </c>
      <c r="J55" t="s">
        <v>258</v>
      </c>
      <c r="K55">
        <v>0</v>
      </c>
      <c r="L55" t="s">
        <v>239</v>
      </c>
      <c r="M55">
        <v>25</v>
      </c>
      <c r="N55" s="205"/>
      <c r="O55" s="211"/>
      <c r="Q55" t="s">
        <v>143</v>
      </c>
      <c r="R55">
        <v>0</v>
      </c>
    </row>
    <row r="56" spans="1:18" x14ac:dyDescent="0.25">
      <c r="A56" t="str">
        <f>TableSPUCENVSP[[#This Row],[Study Package Code]]</f>
        <v>ARCH2012</v>
      </c>
      <c r="B56" s="2">
        <f>TableSPUCENVSP[[#This Row],[Ver]]</f>
        <v>1</v>
      </c>
      <c r="D56" t="str">
        <f>TableSPUCENVSP[[#This Row],[Structure Line]]</f>
        <v>Built Environment Special Topic</v>
      </c>
      <c r="E56" s="90">
        <f>TableSPUCENVSP[[#This Row],[Credit Points]]</f>
        <v>25</v>
      </c>
      <c r="F56">
        <v>4</v>
      </c>
      <c r="G56" t="s">
        <v>236</v>
      </c>
      <c r="H56">
        <v>1</v>
      </c>
      <c r="I56" t="s">
        <v>237</v>
      </c>
      <c r="J56" t="s">
        <v>148</v>
      </c>
      <c r="K56" s="212">
        <v>1</v>
      </c>
      <c r="L56" t="s">
        <v>176</v>
      </c>
      <c r="M56" s="212">
        <v>25</v>
      </c>
      <c r="N56" s="205">
        <v>42005</v>
      </c>
      <c r="O56" s="211"/>
      <c r="Q56" t="s">
        <v>148</v>
      </c>
      <c r="R56">
        <v>1</v>
      </c>
    </row>
    <row r="57" spans="1:18" x14ac:dyDescent="0.25">
      <c r="A57" t="str">
        <f>TableSPUCENVSP[[#This Row],[Study Package Code]]</f>
        <v>URDE3005</v>
      </c>
      <c r="B57" s="2">
        <f>TableSPUCENVSP[[#This Row],[Ver]]</f>
        <v>1</v>
      </c>
      <c r="D57" t="str">
        <f>TableSPUCENVSP[[#This Row],[Structure Line]]</f>
        <v>Special Topics in Urban &amp; Regional Planning</v>
      </c>
      <c r="E57" s="90">
        <f>TableSPUCENVSP[[#This Row],[Credit Points]]</f>
        <v>25</v>
      </c>
      <c r="F57">
        <v>4</v>
      </c>
      <c r="G57" t="s">
        <v>236</v>
      </c>
      <c r="H57">
        <v>1</v>
      </c>
      <c r="I57" t="s">
        <v>237</v>
      </c>
      <c r="J57" t="s">
        <v>151</v>
      </c>
      <c r="K57" s="212">
        <v>1</v>
      </c>
      <c r="L57" t="s">
        <v>214</v>
      </c>
      <c r="M57" s="212">
        <v>25</v>
      </c>
      <c r="N57" s="205">
        <v>42005</v>
      </c>
      <c r="O57" s="211"/>
      <c r="Q57" t="s">
        <v>151</v>
      </c>
      <c r="R57">
        <v>1</v>
      </c>
    </row>
    <row r="58" spans="1:18" x14ac:dyDescent="0.25">
      <c r="B58"/>
      <c r="E58"/>
      <c r="F58" s="86"/>
      <c r="G58" s="87" t="s">
        <v>226</v>
      </c>
      <c r="H58" s="88">
        <v>44197</v>
      </c>
      <c r="J58" s="204" t="s">
        <v>99</v>
      </c>
      <c r="K58" s="89" t="s">
        <v>93</v>
      </c>
      <c r="L58" s="146" t="s">
        <v>98</v>
      </c>
      <c r="N58" s="210" t="s">
        <v>257</v>
      </c>
      <c r="O58" s="191">
        <v>45309</v>
      </c>
    </row>
    <row r="59" spans="1:18" x14ac:dyDescent="0.25">
      <c r="A59" t="s">
        <v>0</v>
      </c>
      <c r="B59" s="2" t="s">
        <v>227</v>
      </c>
      <c r="C59" t="s">
        <v>228</v>
      </c>
      <c r="D59" t="s">
        <v>3</v>
      </c>
      <c r="E59" s="90" t="s">
        <v>229</v>
      </c>
      <c r="F59" t="s">
        <v>230</v>
      </c>
      <c r="G59" t="s">
        <v>231</v>
      </c>
      <c r="H59" t="s">
        <v>232</v>
      </c>
      <c r="I59" t="s">
        <v>20</v>
      </c>
      <c r="J59" t="s">
        <v>233</v>
      </c>
      <c r="K59" t="s">
        <v>1</v>
      </c>
      <c r="L59" t="s">
        <v>46</v>
      </c>
      <c r="M59" t="s">
        <v>53</v>
      </c>
      <c r="N59" t="s">
        <v>255</v>
      </c>
      <c r="O59" t="s">
        <v>234</v>
      </c>
      <c r="Q59" t="s">
        <v>256</v>
      </c>
      <c r="R59" t="s">
        <v>1</v>
      </c>
    </row>
    <row r="60" spans="1:18" x14ac:dyDescent="0.25">
      <c r="A60" t="str">
        <f>TableSPUCGRAPH[[#This Row],[Study Package Code]]</f>
        <v>GRDE1004</v>
      </c>
      <c r="B60" s="2">
        <f>TableSPUCGRAPH[[#This Row],[Ver]]</f>
        <v>2</v>
      </c>
      <c r="D60" t="str">
        <f>TableSPUCGRAPH[[#This Row],[Structure Line]]</f>
        <v>Design Computing</v>
      </c>
      <c r="E60" s="90">
        <f>TableSPUCGRAPH[[#This Row],[Credit Points]]</f>
        <v>25</v>
      </c>
      <c r="F60">
        <v>1</v>
      </c>
      <c r="G60" t="s">
        <v>235</v>
      </c>
      <c r="H60">
        <v>1</v>
      </c>
      <c r="I60" t="s">
        <v>237</v>
      </c>
      <c r="J60" t="s">
        <v>124</v>
      </c>
      <c r="K60">
        <v>2</v>
      </c>
      <c r="L60" t="s">
        <v>187</v>
      </c>
      <c r="M60" s="212">
        <v>25</v>
      </c>
      <c r="N60" s="205">
        <v>43101</v>
      </c>
      <c r="O60" s="211"/>
      <c r="Q60" t="s">
        <v>124</v>
      </c>
      <c r="R60">
        <v>2</v>
      </c>
    </row>
    <row r="61" spans="1:18" x14ac:dyDescent="0.25">
      <c r="A61" t="str">
        <f>TableSPUCGRAPH[[#This Row],[Study Package Code]]</f>
        <v>GRDE1015</v>
      </c>
      <c r="B61" s="2">
        <f>TableSPUCGRAPH[[#This Row],[Ver]]</f>
        <v>1</v>
      </c>
      <c r="D61" t="str">
        <f>TableSPUCGRAPH[[#This Row],[Structure Line]]</f>
        <v>Illustration Fundamentals</v>
      </c>
      <c r="E61" s="90">
        <f>TableSPUCGRAPH[[#This Row],[Credit Points]]</f>
        <v>25</v>
      </c>
      <c r="F61">
        <v>2</v>
      </c>
      <c r="G61" t="s">
        <v>235</v>
      </c>
      <c r="H61">
        <v>1</v>
      </c>
      <c r="I61" t="s">
        <v>237</v>
      </c>
      <c r="J61" t="s">
        <v>130</v>
      </c>
      <c r="K61">
        <v>1</v>
      </c>
      <c r="L61" t="s">
        <v>188</v>
      </c>
      <c r="M61" s="212">
        <v>25</v>
      </c>
      <c r="N61" s="205">
        <v>42552</v>
      </c>
      <c r="O61" s="211"/>
      <c r="Q61" t="s">
        <v>130</v>
      </c>
      <c r="R61">
        <v>1</v>
      </c>
    </row>
    <row r="62" spans="1:18" x14ac:dyDescent="0.25">
      <c r="A62" t="str">
        <f>TableSPUCGRAPH[[#This Row],[Study Package Code]]</f>
        <v>GRDE2035</v>
      </c>
      <c r="B62" s="2">
        <f>TableSPUCGRAPH[[#This Row],[Ver]]</f>
        <v>1</v>
      </c>
      <c r="D62" t="str">
        <f>TableSPUCGRAPH[[#This Row],[Structure Line]]</f>
        <v>Introduction to 3D Modelling and Rendering</v>
      </c>
      <c r="E62" s="90">
        <f>TableSPUCGRAPH[[#This Row],[Credit Points]]</f>
        <v>25</v>
      </c>
      <c r="F62">
        <v>3</v>
      </c>
      <c r="G62" t="s">
        <v>235</v>
      </c>
      <c r="H62">
        <v>1</v>
      </c>
      <c r="I62" t="s">
        <v>237</v>
      </c>
      <c r="J62" t="s">
        <v>136</v>
      </c>
      <c r="K62">
        <v>1</v>
      </c>
      <c r="L62" t="s">
        <v>189</v>
      </c>
      <c r="M62" s="212">
        <v>25</v>
      </c>
      <c r="N62" s="205">
        <v>42736</v>
      </c>
      <c r="O62" s="211"/>
      <c r="Q62" t="s">
        <v>136</v>
      </c>
      <c r="R62">
        <v>1</v>
      </c>
    </row>
    <row r="63" spans="1:18" x14ac:dyDescent="0.25">
      <c r="A63" t="str">
        <f>TableSPUCGRAPH[[#This Row],[Study Package Code]]</f>
        <v>AC-GRAPH</v>
      </c>
      <c r="B63" s="2">
        <f>TableSPUCGRAPH[[#This Row],[Ver]]</f>
        <v>0</v>
      </c>
      <c r="D63" t="str">
        <f>TableSPUCGRAPH[[#This Row],[Structure Line]]</f>
        <v>Choose URDE3005 or ARCH2012</v>
      </c>
      <c r="E63" s="90">
        <f>TableSPUCGRAPH[[#This Row],[Credit Points]]</f>
        <v>25</v>
      </c>
      <c r="F63">
        <v>4</v>
      </c>
      <c r="G63" t="s">
        <v>236</v>
      </c>
      <c r="H63">
        <v>1</v>
      </c>
      <c r="I63" t="s">
        <v>237</v>
      </c>
      <c r="J63" t="s">
        <v>259</v>
      </c>
      <c r="K63">
        <v>0</v>
      </c>
      <c r="L63" t="s">
        <v>240</v>
      </c>
      <c r="M63">
        <v>25</v>
      </c>
      <c r="N63" s="205"/>
      <c r="O63" s="211"/>
      <c r="Q63" t="s">
        <v>144</v>
      </c>
      <c r="R63">
        <v>0</v>
      </c>
    </row>
    <row r="64" spans="1:18" x14ac:dyDescent="0.25">
      <c r="A64" t="str">
        <f>TableSPUCGRAPH[[#This Row],[Study Package Code]]</f>
        <v>ARCH2012</v>
      </c>
      <c r="B64" s="2">
        <f>TableSPUCGRAPH[[#This Row],[Ver]]</f>
        <v>1</v>
      </c>
      <c r="D64" t="str">
        <f>TableSPUCGRAPH[[#This Row],[Structure Line]]</f>
        <v>Built Environment Special Topic</v>
      </c>
      <c r="E64" s="90">
        <f>TableSPUCGRAPH[[#This Row],[Credit Points]]</f>
        <v>25</v>
      </c>
      <c r="F64">
        <v>4</v>
      </c>
      <c r="G64" t="s">
        <v>236</v>
      </c>
      <c r="H64">
        <v>1</v>
      </c>
      <c r="I64" t="s">
        <v>237</v>
      </c>
      <c r="J64" t="s">
        <v>148</v>
      </c>
      <c r="K64">
        <v>1</v>
      </c>
      <c r="L64" t="s">
        <v>176</v>
      </c>
      <c r="M64">
        <v>25</v>
      </c>
      <c r="N64" s="205">
        <v>42005</v>
      </c>
      <c r="O64" s="211"/>
      <c r="Q64" t="s">
        <v>148</v>
      </c>
      <c r="R64">
        <v>1</v>
      </c>
    </row>
    <row r="65" spans="1:18" x14ac:dyDescent="0.25">
      <c r="A65" t="str">
        <f>TableSPUCGRAPH[[#This Row],[Study Package Code]]</f>
        <v>URDE3005</v>
      </c>
      <c r="B65" s="2">
        <f>TableSPUCGRAPH[[#This Row],[Ver]]</f>
        <v>1</v>
      </c>
      <c r="D65" t="str">
        <f>TableSPUCGRAPH[[#This Row],[Structure Line]]</f>
        <v>Special Topics in Urban &amp; Regional Planning</v>
      </c>
      <c r="E65" s="90">
        <f>TableSPUCGRAPH[[#This Row],[Credit Points]]</f>
        <v>25</v>
      </c>
      <c r="F65">
        <v>4</v>
      </c>
      <c r="G65" t="s">
        <v>236</v>
      </c>
      <c r="H65">
        <v>1</v>
      </c>
      <c r="I65" t="s">
        <v>237</v>
      </c>
      <c r="J65" t="s">
        <v>151</v>
      </c>
      <c r="K65">
        <v>1</v>
      </c>
      <c r="L65" t="s">
        <v>214</v>
      </c>
      <c r="M65">
        <v>25</v>
      </c>
      <c r="N65" s="205">
        <v>42005</v>
      </c>
      <c r="O65" s="211"/>
      <c r="Q65" t="s">
        <v>151</v>
      </c>
      <c r="R65">
        <v>1</v>
      </c>
    </row>
    <row r="66" spans="1:18" x14ac:dyDescent="0.25">
      <c r="B66"/>
      <c r="E66"/>
      <c r="F66" s="86"/>
      <c r="G66" s="87" t="s">
        <v>226</v>
      </c>
      <c r="H66" s="88">
        <v>44197</v>
      </c>
      <c r="J66" s="204" t="s">
        <v>101</v>
      </c>
      <c r="K66" s="89" t="s">
        <v>93</v>
      </c>
      <c r="L66" s="146" t="s">
        <v>100</v>
      </c>
      <c r="N66" s="210" t="s">
        <v>257</v>
      </c>
      <c r="O66" s="191">
        <v>45309</v>
      </c>
    </row>
    <row r="67" spans="1:18" x14ac:dyDescent="0.25">
      <c r="A67" t="s">
        <v>0</v>
      </c>
      <c r="B67" s="2" t="s">
        <v>227</v>
      </c>
      <c r="C67" t="s">
        <v>228</v>
      </c>
      <c r="D67" t="s">
        <v>3</v>
      </c>
      <c r="E67" s="90" t="s">
        <v>229</v>
      </c>
      <c r="F67" t="s">
        <v>230</v>
      </c>
      <c r="G67" t="s">
        <v>231</v>
      </c>
      <c r="H67" t="s">
        <v>232</v>
      </c>
      <c r="I67" t="s">
        <v>20</v>
      </c>
      <c r="J67" t="s">
        <v>233</v>
      </c>
      <c r="K67" t="s">
        <v>1</v>
      </c>
      <c r="L67" t="s">
        <v>46</v>
      </c>
      <c r="M67" t="s">
        <v>53</v>
      </c>
      <c r="N67" t="s">
        <v>255</v>
      </c>
      <c r="O67" t="s">
        <v>234</v>
      </c>
      <c r="Q67" t="s">
        <v>256</v>
      </c>
      <c r="R67" t="s">
        <v>1</v>
      </c>
    </row>
    <row r="68" spans="1:18" x14ac:dyDescent="0.25">
      <c r="A68" t="str">
        <f>TableSPUCINTLD[[#This Row],[Study Package Code]]</f>
        <v>GEOG2001</v>
      </c>
      <c r="B68" s="2">
        <f>TableSPUCINTLD[[#This Row],[Ver]]</f>
        <v>1</v>
      </c>
      <c r="D68" t="str">
        <f>TableSPUCINTLD[[#This Row],[Structure Line]]</f>
        <v>Geographies of Food Security</v>
      </c>
      <c r="E68" s="90">
        <f>TableSPUCINTLD[[#This Row],[Credit Points]]</f>
        <v>25</v>
      </c>
      <c r="F68">
        <v>1</v>
      </c>
      <c r="G68" t="s">
        <v>235</v>
      </c>
      <c r="H68">
        <v>1</v>
      </c>
      <c r="I68" t="s">
        <v>237</v>
      </c>
      <c r="J68" t="s">
        <v>131</v>
      </c>
      <c r="K68">
        <v>1</v>
      </c>
      <c r="L68" t="s">
        <v>185</v>
      </c>
      <c r="M68" s="212">
        <v>25</v>
      </c>
      <c r="N68" s="205">
        <v>42005</v>
      </c>
      <c r="O68" s="211"/>
      <c r="Q68" t="s">
        <v>131</v>
      </c>
      <c r="R68">
        <v>1</v>
      </c>
    </row>
    <row r="69" spans="1:18" x14ac:dyDescent="0.25">
      <c r="A69" t="str">
        <f>TableSPUCINTLD[[#This Row],[Study Package Code]]</f>
        <v>GEOG2000</v>
      </c>
      <c r="B69" s="2">
        <f>TableSPUCINTLD[[#This Row],[Ver]]</f>
        <v>1</v>
      </c>
      <c r="D69" t="str">
        <f>TableSPUCINTLD[[#This Row],[Structure Line]]</f>
        <v>Geographies of Migration</v>
      </c>
      <c r="E69" s="90">
        <f>TableSPUCINTLD[[#This Row],[Credit Points]]</f>
        <v>25</v>
      </c>
      <c r="F69">
        <v>2</v>
      </c>
      <c r="G69" t="s">
        <v>235</v>
      </c>
      <c r="H69">
        <v>1</v>
      </c>
      <c r="I69" t="s">
        <v>237</v>
      </c>
      <c r="J69" t="s">
        <v>125</v>
      </c>
      <c r="K69">
        <v>1</v>
      </c>
      <c r="L69" t="s">
        <v>184</v>
      </c>
      <c r="M69" s="212">
        <v>25</v>
      </c>
      <c r="N69" s="205">
        <v>42005</v>
      </c>
      <c r="O69" s="211"/>
      <c r="Q69" t="s">
        <v>125</v>
      </c>
      <c r="R69">
        <v>1</v>
      </c>
    </row>
    <row r="70" spans="1:18" x14ac:dyDescent="0.25">
      <c r="A70" t="str">
        <f>TableSPUCINTLD[[#This Row],[Study Package Code]]</f>
        <v>GEOG3001</v>
      </c>
      <c r="B70" s="2">
        <f>TableSPUCINTLD[[#This Row],[Ver]]</f>
        <v>1</v>
      </c>
      <c r="D70" t="str">
        <f>TableSPUCINTLD[[#This Row],[Structure Line]]</f>
        <v>Sustainable Livelihoods</v>
      </c>
      <c r="E70" s="90">
        <f>TableSPUCINTLD[[#This Row],[Credit Points]]</f>
        <v>25</v>
      </c>
      <c r="F70">
        <v>3</v>
      </c>
      <c r="G70" t="s">
        <v>235</v>
      </c>
      <c r="H70">
        <v>1</v>
      </c>
      <c r="I70" t="s">
        <v>237</v>
      </c>
      <c r="J70" t="s">
        <v>137</v>
      </c>
      <c r="K70">
        <v>1</v>
      </c>
      <c r="L70" t="s">
        <v>186</v>
      </c>
      <c r="M70" s="212">
        <v>25</v>
      </c>
      <c r="N70" s="205">
        <v>42005</v>
      </c>
      <c r="O70" s="211"/>
      <c r="Q70" t="s">
        <v>137</v>
      </c>
      <c r="R70">
        <v>1</v>
      </c>
    </row>
    <row r="71" spans="1:18" x14ac:dyDescent="0.25">
      <c r="A71" t="str">
        <f>TableSPUCINTLD[[#This Row],[Study Package Code]]</f>
        <v>AC-INTLD</v>
      </c>
      <c r="B71" s="2">
        <f>TableSPUCINTLD[[#This Row],[Ver]]</f>
        <v>0</v>
      </c>
      <c r="D71" t="str">
        <f>TableSPUCINTLD[[#This Row],[Structure Line]]</f>
        <v>Choose URDE3005 or ARCH2012</v>
      </c>
      <c r="E71" s="90">
        <f>TableSPUCINTLD[[#This Row],[Credit Points]]</f>
        <v>25</v>
      </c>
      <c r="F71">
        <v>4</v>
      </c>
      <c r="G71" t="s">
        <v>236</v>
      </c>
      <c r="H71">
        <v>1</v>
      </c>
      <c r="I71" t="s">
        <v>237</v>
      </c>
      <c r="J71" t="s">
        <v>260</v>
      </c>
      <c r="K71">
        <v>0</v>
      </c>
      <c r="L71" t="s">
        <v>240</v>
      </c>
      <c r="M71">
        <v>25</v>
      </c>
      <c r="N71" s="205"/>
      <c r="O71" s="211"/>
      <c r="Q71" t="s">
        <v>145</v>
      </c>
      <c r="R71">
        <v>0</v>
      </c>
    </row>
    <row r="72" spans="1:18" x14ac:dyDescent="0.25">
      <c r="A72" t="str">
        <f>TableSPUCINTLD[[#This Row],[Study Package Code]]</f>
        <v>ARCH2012</v>
      </c>
      <c r="B72" s="2">
        <f>TableSPUCINTLD[[#This Row],[Ver]]</f>
        <v>1</v>
      </c>
      <c r="D72" t="str">
        <f>TableSPUCINTLD[[#This Row],[Structure Line]]</f>
        <v>Built Environment Special Topic</v>
      </c>
      <c r="E72" s="90">
        <f>TableSPUCINTLD[[#This Row],[Credit Points]]</f>
        <v>25</v>
      </c>
      <c r="F72">
        <v>4</v>
      </c>
      <c r="G72" t="s">
        <v>236</v>
      </c>
      <c r="H72">
        <v>1</v>
      </c>
      <c r="I72" t="s">
        <v>237</v>
      </c>
      <c r="J72" t="s">
        <v>148</v>
      </c>
      <c r="K72">
        <v>1</v>
      </c>
      <c r="L72" t="s">
        <v>176</v>
      </c>
      <c r="M72">
        <v>25</v>
      </c>
      <c r="N72" s="205">
        <v>42005</v>
      </c>
      <c r="O72" s="211"/>
      <c r="Q72" t="s">
        <v>148</v>
      </c>
      <c r="R72">
        <v>1</v>
      </c>
    </row>
    <row r="73" spans="1:18" x14ac:dyDescent="0.25">
      <c r="A73" t="str">
        <f>TableSPUCINTLD[[#This Row],[Study Package Code]]</f>
        <v>URDE3005</v>
      </c>
      <c r="B73" s="2">
        <f>TableSPUCINTLD[[#This Row],[Ver]]</f>
        <v>1</v>
      </c>
      <c r="D73" t="str">
        <f>TableSPUCINTLD[[#This Row],[Structure Line]]</f>
        <v>Special Topics in Urban &amp; Regional Planning</v>
      </c>
      <c r="E73" s="90">
        <f>TableSPUCINTLD[[#This Row],[Credit Points]]</f>
        <v>25</v>
      </c>
      <c r="F73">
        <v>4</v>
      </c>
      <c r="G73" t="s">
        <v>236</v>
      </c>
      <c r="H73">
        <v>1</v>
      </c>
      <c r="I73" t="s">
        <v>237</v>
      </c>
      <c r="J73" t="s">
        <v>151</v>
      </c>
      <c r="K73">
        <v>1</v>
      </c>
      <c r="L73" t="s">
        <v>214</v>
      </c>
      <c r="M73">
        <v>25</v>
      </c>
      <c r="N73" s="205">
        <v>42005</v>
      </c>
      <c r="O73" s="211"/>
      <c r="Q73" t="s">
        <v>151</v>
      </c>
      <c r="R73">
        <v>1</v>
      </c>
    </row>
    <row r="74" spans="1:18" x14ac:dyDescent="0.25">
      <c r="B74"/>
      <c r="E74"/>
      <c r="F74" s="86"/>
      <c r="G74" s="87" t="s">
        <v>226</v>
      </c>
      <c r="H74" s="213">
        <v>45292</v>
      </c>
      <c r="J74" s="204" t="s">
        <v>103</v>
      </c>
      <c r="K74" s="214" t="s">
        <v>87</v>
      </c>
      <c r="L74" s="146" t="s">
        <v>102</v>
      </c>
      <c r="N74" s="210" t="s">
        <v>257</v>
      </c>
      <c r="O74" s="191">
        <v>45309</v>
      </c>
    </row>
    <row r="75" spans="1:18" x14ac:dyDescent="0.25">
      <c r="A75" t="s">
        <v>0</v>
      </c>
      <c r="B75" s="2" t="s">
        <v>227</v>
      </c>
      <c r="C75" t="s">
        <v>228</v>
      </c>
      <c r="D75" t="s">
        <v>3</v>
      </c>
      <c r="E75" s="90" t="s">
        <v>229</v>
      </c>
      <c r="F75" t="s">
        <v>230</v>
      </c>
      <c r="G75" t="s">
        <v>231</v>
      </c>
      <c r="H75" t="s">
        <v>232</v>
      </c>
      <c r="I75" t="s">
        <v>20</v>
      </c>
      <c r="J75" t="s">
        <v>233</v>
      </c>
      <c r="K75" t="s">
        <v>1</v>
      </c>
      <c r="L75" t="s">
        <v>46</v>
      </c>
      <c r="M75" t="s">
        <v>53</v>
      </c>
      <c r="N75" t="s">
        <v>255</v>
      </c>
      <c r="O75" t="s">
        <v>234</v>
      </c>
      <c r="Q75" t="s">
        <v>256</v>
      </c>
      <c r="R75" t="s">
        <v>1</v>
      </c>
    </row>
    <row r="76" spans="1:18" x14ac:dyDescent="0.25">
      <c r="A76" t="str">
        <f>TableSPUCLANDN[[#This Row],[Study Package Code]]</f>
        <v>PHGY3000</v>
      </c>
      <c r="B76" s="2">
        <f>TableSPUCLANDN[[#This Row],[Ver]]</f>
        <v>3</v>
      </c>
      <c r="D76" t="str">
        <f>TableSPUCLANDN[[#This Row],[Structure Line]]</f>
        <v>Cultural Landscapes</v>
      </c>
      <c r="E76" s="90">
        <f>TableSPUCLANDN[[#This Row],[Credit Points]]</f>
        <v>25</v>
      </c>
      <c r="F76">
        <v>1</v>
      </c>
      <c r="G76" t="s">
        <v>235</v>
      </c>
      <c r="H76">
        <v>0</v>
      </c>
      <c r="I76" t="s">
        <v>237</v>
      </c>
      <c r="J76" t="s">
        <v>126</v>
      </c>
      <c r="K76">
        <v>3</v>
      </c>
      <c r="L76" t="s">
        <v>191</v>
      </c>
      <c r="M76" s="212">
        <v>25</v>
      </c>
      <c r="N76" s="205">
        <v>44562</v>
      </c>
      <c r="O76" s="211"/>
      <c r="Q76" t="s">
        <v>126</v>
      </c>
      <c r="R76">
        <v>3</v>
      </c>
    </row>
    <row r="77" spans="1:18" x14ac:dyDescent="0.25">
      <c r="A77" t="str">
        <f>TableSPUCLANDN[[#This Row],[Study Package Code]]</f>
        <v>PHGY3002</v>
      </c>
      <c r="B77" s="2">
        <f>TableSPUCLANDN[[#This Row],[Ver]]</f>
        <v>1</v>
      </c>
      <c r="D77" t="str">
        <f>TableSPUCLANDN[[#This Row],[Structure Line]]</f>
        <v>Rural Geographies</v>
      </c>
      <c r="E77" s="90">
        <f>TableSPUCLANDN[[#This Row],[Credit Points]]</f>
        <v>25</v>
      </c>
      <c r="F77">
        <v>2</v>
      </c>
      <c r="G77" t="s">
        <v>235</v>
      </c>
      <c r="H77">
        <v>0</v>
      </c>
      <c r="I77" t="s">
        <v>237</v>
      </c>
      <c r="J77" t="s">
        <v>264</v>
      </c>
      <c r="K77">
        <v>1</v>
      </c>
      <c r="L77" t="s">
        <v>265</v>
      </c>
      <c r="M77" s="212">
        <v>25</v>
      </c>
      <c r="N77" s="205">
        <v>45292</v>
      </c>
      <c r="O77" s="211"/>
      <c r="Q77" t="s">
        <v>132</v>
      </c>
      <c r="R77">
        <v>1</v>
      </c>
    </row>
    <row r="78" spans="1:18" x14ac:dyDescent="0.25">
      <c r="A78" t="str">
        <f>TableSPUCLANDN[[#This Row],[Study Package Code]]</f>
        <v>AC-LANDN1</v>
      </c>
      <c r="B78" s="2">
        <f>TableSPUCLANDN[[#This Row],[Ver]]</f>
        <v>0</v>
      </c>
      <c r="D78" t="str">
        <f>TableSPUCLANDN[[#This Row],[Structure Line]]</f>
        <v>Choose URDE3005 or ARCH2012</v>
      </c>
      <c r="E78" s="90">
        <f>TableSPUCLANDN[[#This Row],[Credit Points]]</f>
        <v>25</v>
      </c>
      <c r="F78">
        <v>3</v>
      </c>
      <c r="G78" t="s">
        <v>236</v>
      </c>
      <c r="H78">
        <v>0</v>
      </c>
      <c r="I78" t="s">
        <v>237</v>
      </c>
      <c r="J78" t="s">
        <v>261</v>
      </c>
      <c r="K78">
        <v>0</v>
      </c>
      <c r="L78" t="s">
        <v>240</v>
      </c>
      <c r="M78" s="212">
        <v>25</v>
      </c>
      <c r="N78" s="205"/>
      <c r="O78" s="211"/>
      <c r="Q78" t="s">
        <v>141</v>
      </c>
      <c r="R78">
        <v>0</v>
      </c>
    </row>
    <row r="79" spans="1:18" x14ac:dyDescent="0.25">
      <c r="A79" t="str">
        <f>TableSPUCLANDN[[#This Row],[Study Package Code]]</f>
        <v>AC-LANDN2</v>
      </c>
      <c r="B79" s="2">
        <f>TableSPUCLANDN[[#This Row],[Ver]]</f>
        <v>0</v>
      </c>
      <c r="D79" t="str">
        <f>TableSPUCLANDN[[#This Row],[Structure Line]]</f>
        <v>Choose PHGY2000 or GEOG3001</v>
      </c>
      <c r="E79" s="90">
        <f>TableSPUCLANDN[[#This Row],[Credit Points]]</f>
        <v>25</v>
      </c>
      <c r="F79">
        <v>4</v>
      </c>
      <c r="G79" t="s">
        <v>236</v>
      </c>
      <c r="H79">
        <v>0</v>
      </c>
      <c r="I79" t="s">
        <v>237</v>
      </c>
      <c r="J79" t="s">
        <v>262</v>
      </c>
      <c r="K79">
        <v>0</v>
      </c>
      <c r="L79" t="s">
        <v>241</v>
      </c>
      <c r="M79" s="212">
        <v>25</v>
      </c>
      <c r="N79" s="205"/>
      <c r="O79" s="211"/>
      <c r="Q79" t="s">
        <v>153</v>
      </c>
      <c r="R79">
        <v>0</v>
      </c>
    </row>
    <row r="80" spans="1:18" x14ac:dyDescent="0.25">
      <c r="A80" t="str">
        <f>TableSPUCLANDN[[#This Row],[Study Package Code]]</f>
        <v>GEOG3001</v>
      </c>
      <c r="B80" s="2">
        <f>TableSPUCLANDN[[#This Row],[Ver]]</f>
        <v>1</v>
      </c>
      <c r="D80" t="str">
        <f>TableSPUCLANDN[[#This Row],[Structure Line]]</f>
        <v>Sustainable Livelihoods</v>
      </c>
      <c r="E80" s="90">
        <f>TableSPUCLANDN[[#This Row],[Credit Points]]</f>
        <v>25</v>
      </c>
      <c r="F80">
        <v>3</v>
      </c>
      <c r="G80" t="s">
        <v>236</v>
      </c>
      <c r="H80">
        <v>1</v>
      </c>
      <c r="I80" t="s">
        <v>237</v>
      </c>
      <c r="J80" t="s">
        <v>137</v>
      </c>
      <c r="K80" s="212">
        <v>1</v>
      </c>
      <c r="L80" t="s">
        <v>186</v>
      </c>
      <c r="M80" s="212">
        <v>25</v>
      </c>
      <c r="N80" s="205">
        <v>42005</v>
      </c>
      <c r="O80" s="211"/>
      <c r="Q80" t="s">
        <v>137</v>
      </c>
      <c r="R80">
        <v>1</v>
      </c>
    </row>
    <row r="81" spans="1:18" x14ac:dyDescent="0.25">
      <c r="A81" t="str">
        <f>TableSPUCLANDN[[#This Row],[Study Package Code]]</f>
        <v>PHGY2000</v>
      </c>
      <c r="B81" s="2">
        <f>TableSPUCLANDN[[#This Row],[Ver]]</f>
        <v>1</v>
      </c>
      <c r="D81" t="str">
        <f>TableSPUCLANDN[[#This Row],[Structure Line]]</f>
        <v>Natural Hazards</v>
      </c>
      <c r="E81" s="90">
        <f>TableSPUCLANDN[[#This Row],[Credit Points]]</f>
        <v>25</v>
      </c>
      <c r="F81">
        <v>3</v>
      </c>
      <c r="G81" t="s">
        <v>236</v>
      </c>
      <c r="H81">
        <v>1</v>
      </c>
      <c r="I81" t="s">
        <v>237</v>
      </c>
      <c r="J81" t="s">
        <v>149</v>
      </c>
      <c r="K81" s="212">
        <v>1</v>
      </c>
      <c r="L81" t="s">
        <v>190</v>
      </c>
      <c r="M81" s="212">
        <v>25</v>
      </c>
      <c r="N81" s="205">
        <v>42005</v>
      </c>
      <c r="O81" s="211"/>
      <c r="Q81" t="s">
        <v>149</v>
      </c>
      <c r="R81">
        <v>1</v>
      </c>
    </row>
    <row r="82" spans="1:18" x14ac:dyDescent="0.25">
      <c r="A82" t="str">
        <f>TableSPUCLANDN[[#This Row],[Study Package Code]]</f>
        <v>ARCH2012</v>
      </c>
      <c r="B82" s="2">
        <f>TableSPUCLANDN[[#This Row],[Ver]]</f>
        <v>1</v>
      </c>
      <c r="D82" t="str">
        <f>TableSPUCLANDN[[#This Row],[Structure Line]]</f>
        <v>Built Environment Special Topic</v>
      </c>
      <c r="E82" s="90">
        <f>TableSPUCLANDN[[#This Row],[Credit Points]]</f>
        <v>25</v>
      </c>
      <c r="F82">
        <v>4</v>
      </c>
      <c r="G82" t="s">
        <v>236</v>
      </c>
      <c r="H82">
        <v>1</v>
      </c>
      <c r="I82" t="s">
        <v>237</v>
      </c>
      <c r="J82" t="s">
        <v>148</v>
      </c>
      <c r="K82">
        <v>1</v>
      </c>
      <c r="L82" t="s">
        <v>176</v>
      </c>
      <c r="M82">
        <v>25</v>
      </c>
      <c r="N82" s="205">
        <v>42005</v>
      </c>
      <c r="O82" s="211"/>
      <c r="Q82" t="s">
        <v>148</v>
      </c>
      <c r="R82">
        <v>1</v>
      </c>
    </row>
    <row r="83" spans="1:18" x14ac:dyDescent="0.25">
      <c r="A83" t="str">
        <f>TableSPUCLANDN[[#This Row],[Study Package Code]]</f>
        <v>URDE3005</v>
      </c>
      <c r="B83" s="2">
        <f>TableSPUCLANDN[[#This Row],[Ver]]</f>
        <v>1</v>
      </c>
      <c r="D83" t="str">
        <f>TableSPUCLANDN[[#This Row],[Structure Line]]</f>
        <v>Special Topics in Urban &amp; Regional Planning</v>
      </c>
      <c r="E83" s="90">
        <f>TableSPUCLANDN[[#This Row],[Credit Points]]</f>
        <v>25</v>
      </c>
      <c r="F83">
        <v>4</v>
      </c>
      <c r="G83" t="s">
        <v>236</v>
      </c>
      <c r="H83">
        <v>1</v>
      </c>
      <c r="I83" t="s">
        <v>237</v>
      </c>
      <c r="J83" t="s">
        <v>151</v>
      </c>
      <c r="K83">
        <v>1</v>
      </c>
      <c r="L83" t="s">
        <v>214</v>
      </c>
      <c r="M83">
        <v>25</v>
      </c>
      <c r="N83" s="205">
        <v>42005</v>
      </c>
      <c r="O83" s="211"/>
      <c r="Q83" t="s">
        <v>151</v>
      </c>
      <c r="R83">
        <v>1</v>
      </c>
    </row>
    <row r="84" spans="1:18" x14ac:dyDescent="0.25">
      <c r="B84"/>
      <c r="E84"/>
      <c r="F84" s="86"/>
      <c r="G84" s="87" t="s">
        <v>226</v>
      </c>
      <c r="H84" s="88">
        <v>44197</v>
      </c>
      <c r="J84" s="204" t="s">
        <v>105</v>
      </c>
      <c r="K84" s="89" t="s">
        <v>93</v>
      </c>
      <c r="L84" s="146" t="s">
        <v>104</v>
      </c>
      <c r="N84" s="210" t="s">
        <v>257</v>
      </c>
      <c r="O84" s="191">
        <v>45309</v>
      </c>
    </row>
    <row r="85" spans="1:18" x14ac:dyDescent="0.25">
      <c r="A85" t="s">
        <v>0</v>
      </c>
      <c r="B85" s="2" t="s">
        <v>227</v>
      </c>
      <c r="C85" t="s">
        <v>228</v>
      </c>
      <c r="D85" t="s">
        <v>3</v>
      </c>
      <c r="E85" s="90" t="s">
        <v>229</v>
      </c>
      <c r="F85" t="s">
        <v>230</v>
      </c>
      <c r="G85" t="s">
        <v>231</v>
      </c>
      <c r="H85" t="s">
        <v>232</v>
      </c>
      <c r="I85" t="s">
        <v>20</v>
      </c>
      <c r="J85" t="s">
        <v>233</v>
      </c>
      <c r="K85" t="s">
        <v>1</v>
      </c>
      <c r="L85" t="s">
        <v>46</v>
      </c>
      <c r="M85" t="s">
        <v>53</v>
      </c>
      <c r="N85" t="s">
        <v>255</v>
      </c>
      <c r="O85" t="s">
        <v>234</v>
      </c>
      <c r="Q85" t="s">
        <v>256</v>
      </c>
      <c r="R85" t="s">
        <v>1</v>
      </c>
    </row>
    <row r="86" spans="1:18" x14ac:dyDescent="0.25">
      <c r="A86" t="str">
        <f>TableSPUCSOCJU[[#This Row],[Study Package Code]]</f>
        <v>ANTH2000</v>
      </c>
      <c r="B86" s="2">
        <f>TableSPUCSOCJU[[#This Row],[Ver]]</f>
        <v>1</v>
      </c>
      <c r="D86" t="str">
        <f>TableSPUCSOCJU[[#This Row],[Structure Line]]</f>
        <v>Ethnographies of the City</v>
      </c>
      <c r="E86" s="90">
        <f>TableSPUCSOCJU[[#This Row],[Credit Points]]</f>
        <v>25</v>
      </c>
      <c r="F86">
        <v>1</v>
      </c>
      <c r="G86" t="s">
        <v>235</v>
      </c>
      <c r="H86">
        <v>1</v>
      </c>
      <c r="I86" t="s">
        <v>237</v>
      </c>
      <c r="J86" t="s">
        <v>127</v>
      </c>
      <c r="K86">
        <v>1</v>
      </c>
      <c r="L86" t="s">
        <v>174</v>
      </c>
      <c r="M86" s="212">
        <v>25</v>
      </c>
      <c r="N86" s="205">
        <v>42005</v>
      </c>
      <c r="O86" s="211"/>
      <c r="Q86" t="s">
        <v>127</v>
      </c>
      <c r="R86">
        <v>1</v>
      </c>
    </row>
    <row r="87" spans="1:18" x14ac:dyDescent="0.25">
      <c r="A87" t="str">
        <f>TableSPUCSOCJU[[#This Row],[Study Package Code]]</f>
        <v>ANTH3003</v>
      </c>
      <c r="B87" s="2">
        <f>TableSPUCSOCJU[[#This Row],[Ver]]</f>
        <v>1</v>
      </c>
      <c r="D87" t="str">
        <f>TableSPUCSOCJU[[#This Row],[Structure Line]]</f>
        <v>Human Rights and Social Justice</v>
      </c>
      <c r="E87" s="90">
        <f>TableSPUCSOCJU[[#This Row],[Credit Points]]</f>
        <v>25</v>
      </c>
      <c r="F87">
        <v>2</v>
      </c>
      <c r="G87" t="s">
        <v>235</v>
      </c>
      <c r="H87">
        <v>1</v>
      </c>
      <c r="I87" t="s">
        <v>237</v>
      </c>
      <c r="J87" t="s">
        <v>139</v>
      </c>
      <c r="K87">
        <v>1</v>
      </c>
      <c r="L87" t="s">
        <v>175</v>
      </c>
      <c r="M87" s="212">
        <v>25</v>
      </c>
      <c r="N87" s="205">
        <v>42005</v>
      </c>
      <c r="O87" s="211"/>
      <c r="Q87" t="s">
        <v>139</v>
      </c>
      <c r="R87">
        <v>1</v>
      </c>
    </row>
    <row r="88" spans="1:18" x14ac:dyDescent="0.25">
      <c r="A88" t="str">
        <f>TableSPUCSOCJU[[#This Row],[Study Package Code]]</f>
        <v>SUST2000</v>
      </c>
      <c r="B88" s="2">
        <f>TableSPUCSOCJU[[#This Row],[Ver]]</f>
        <v>1</v>
      </c>
      <c r="D88" t="str">
        <f>TableSPUCSOCJU[[#This Row],[Structure Line]]</f>
        <v>Sociocultural Perspectives of Sustainability</v>
      </c>
      <c r="E88" s="90">
        <f>TableSPUCSOCJU[[#This Row],[Credit Points]]</f>
        <v>25</v>
      </c>
      <c r="F88">
        <v>3</v>
      </c>
      <c r="G88" t="s">
        <v>235</v>
      </c>
      <c r="H88">
        <v>1</v>
      </c>
      <c r="I88" t="s">
        <v>237</v>
      </c>
      <c r="J88" t="s">
        <v>133</v>
      </c>
      <c r="K88">
        <v>1</v>
      </c>
      <c r="L88" t="s">
        <v>196</v>
      </c>
      <c r="M88" s="212">
        <v>25</v>
      </c>
      <c r="N88" s="205">
        <v>42005</v>
      </c>
      <c r="O88" s="211"/>
      <c r="Q88" t="s">
        <v>133</v>
      </c>
      <c r="R88">
        <v>1</v>
      </c>
    </row>
    <row r="89" spans="1:18" x14ac:dyDescent="0.25">
      <c r="A89" t="str">
        <f>TableSPUCSOCJU[[#This Row],[Study Package Code]]</f>
        <v>AC-SOCJU</v>
      </c>
      <c r="B89" s="2">
        <f>TableSPUCSOCJU[[#This Row],[Ver]]</f>
        <v>0</v>
      </c>
      <c r="D89" t="str">
        <f>TableSPUCSOCJU[[#This Row],[Structure Line]]</f>
        <v>Choose URDE3005 or ARCH2012</v>
      </c>
      <c r="E89" s="90">
        <f>TableSPUCSOCJU[[#This Row],[Credit Points]]</f>
        <v>25</v>
      </c>
      <c r="F89">
        <v>4</v>
      </c>
      <c r="G89" t="s">
        <v>235</v>
      </c>
      <c r="H89">
        <v>1</v>
      </c>
      <c r="I89" t="s">
        <v>237</v>
      </c>
      <c r="J89" t="s">
        <v>263</v>
      </c>
      <c r="K89">
        <v>0</v>
      </c>
      <c r="L89" t="s">
        <v>240</v>
      </c>
      <c r="M89">
        <v>25</v>
      </c>
      <c r="N89" s="205"/>
      <c r="O89" s="211"/>
      <c r="Q89" t="s">
        <v>146</v>
      </c>
      <c r="R89">
        <v>0</v>
      </c>
    </row>
    <row r="90" spans="1:18" x14ac:dyDescent="0.25">
      <c r="A90" t="str">
        <f>TableSPUCSOCJU[[#This Row],[Study Package Code]]</f>
        <v>ARCH2012</v>
      </c>
      <c r="B90" s="2">
        <f>TableSPUCSOCJU[[#This Row],[Ver]]</f>
        <v>1</v>
      </c>
      <c r="D90" t="str">
        <f>TableSPUCSOCJU[[#This Row],[Structure Line]]</f>
        <v>Built Environment Special Topic</v>
      </c>
      <c r="E90" s="90">
        <f>TableSPUCSOCJU[[#This Row],[Credit Points]]</f>
        <v>25</v>
      </c>
      <c r="F90">
        <v>4</v>
      </c>
      <c r="G90" t="s">
        <v>236</v>
      </c>
      <c r="H90">
        <v>1</v>
      </c>
      <c r="I90" t="s">
        <v>237</v>
      </c>
      <c r="J90" t="s">
        <v>148</v>
      </c>
      <c r="K90">
        <v>1</v>
      </c>
      <c r="L90" t="s">
        <v>176</v>
      </c>
      <c r="M90">
        <v>25</v>
      </c>
      <c r="N90" s="205">
        <v>42005</v>
      </c>
      <c r="O90" s="211"/>
      <c r="Q90" t="s">
        <v>148</v>
      </c>
      <c r="R90">
        <v>1</v>
      </c>
    </row>
    <row r="91" spans="1:18" x14ac:dyDescent="0.25">
      <c r="A91" t="str">
        <f>TableSPUCSOCJU[[#This Row],[Study Package Code]]</f>
        <v>URDE3005</v>
      </c>
      <c r="B91" s="2">
        <f>TableSPUCSOCJU[[#This Row],[Ver]]</f>
        <v>1</v>
      </c>
      <c r="D91" t="str">
        <f>TableSPUCSOCJU[[#This Row],[Structure Line]]</f>
        <v>Special Topics in Urban &amp; Regional Planning</v>
      </c>
      <c r="E91" s="90">
        <f>TableSPUCSOCJU[[#This Row],[Credit Points]]</f>
        <v>25</v>
      </c>
      <c r="F91">
        <v>4</v>
      </c>
      <c r="G91" t="s">
        <v>236</v>
      </c>
      <c r="H91">
        <v>1</v>
      </c>
      <c r="I91" t="s">
        <v>237</v>
      </c>
      <c r="J91" t="s">
        <v>151</v>
      </c>
      <c r="K91">
        <v>1</v>
      </c>
      <c r="L91" t="s">
        <v>214</v>
      </c>
      <c r="M91">
        <v>25</v>
      </c>
      <c r="N91" s="205">
        <v>42005</v>
      </c>
      <c r="O91" s="211"/>
      <c r="Q91" t="s">
        <v>151</v>
      </c>
      <c r="R91">
        <v>1</v>
      </c>
    </row>
    <row r="93" spans="1:18" x14ac:dyDescent="0.25">
      <c r="B93"/>
      <c r="E93"/>
      <c r="F93" s="86"/>
      <c r="G93" s="87" t="s">
        <v>226</v>
      </c>
      <c r="H93" s="88">
        <v>44562</v>
      </c>
      <c r="J93" s="204" t="s">
        <v>272</v>
      </c>
      <c r="K93" s="89" t="s">
        <v>93</v>
      </c>
      <c r="L93" s="146" t="s">
        <v>271</v>
      </c>
      <c r="N93" s="210" t="s">
        <v>257</v>
      </c>
      <c r="O93" s="191">
        <v>45309</v>
      </c>
    </row>
    <row r="94" spans="1:18" x14ac:dyDescent="0.25">
      <c r="A94" t="s">
        <v>0</v>
      </c>
      <c r="B94" s="2" t="s">
        <v>227</v>
      </c>
      <c r="C94" t="s">
        <v>228</v>
      </c>
      <c r="D94" t="s">
        <v>3</v>
      </c>
      <c r="E94" s="90" t="s">
        <v>229</v>
      </c>
      <c r="F94" t="s">
        <v>230</v>
      </c>
      <c r="G94" t="s">
        <v>231</v>
      </c>
      <c r="H94" t="s">
        <v>232</v>
      </c>
      <c r="I94" t="s">
        <v>20</v>
      </c>
      <c r="J94" t="s">
        <v>233</v>
      </c>
      <c r="K94" t="s">
        <v>1</v>
      </c>
      <c r="L94" t="s">
        <v>46</v>
      </c>
      <c r="M94" t="s">
        <v>53</v>
      </c>
      <c r="N94" t="s">
        <v>255</v>
      </c>
      <c r="O94" t="s">
        <v>234</v>
      </c>
      <c r="Q94" t="s">
        <v>256</v>
      </c>
      <c r="R94" t="s">
        <v>1</v>
      </c>
    </row>
    <row r="95" spans="1:18" x14ac:dyDescent="0.25">
      <c r="A95" t="str">
        <f>TableUHGEOGY[[#This Row],[Study Package Code]]</f>
        <v>GEOG1000</v>
      </c>
      <c r="B95" s="2">
        <f>TableUHGEOGY[[#This Row],[Ver]]</f>
        <v>1</v>
      </c>
      <c r="D95" t="str">
        <f>TableUHGEOGY[[#This Row],[Structure Line]]</f>
        <v>Human Geography</v>
      </c>
      <c r="E95" s="90">
        <f>TableUHGEOGY[[#This Row],[Credit Points]]</f>
        <v>25</v>
      </c>
      <c r="F95">
        <v>1</v>
      </c>
      <c r="G95" t="s">
        <v>235</v>
      </c>
      <c r="H95">
        <v>1</v>
      </c>
      <c r="I95" t="s">
        <v>157</v>
      </c>
      <c r="J95" t="s">
        <v>279</v>
      </c>
      <c r="K95">
        <v>1</v>
      </c>
      <c r="L95" t="s">
        <v>280</v>
      </c>
      <c r="M95" s="212">
        <v>25</v>
      </c>
      <c r="N95" s="205">
        <v>42005</v>
      </c>
      <c r="O95" s="211"/>
    </row>
    <row r="96" spans="1:18" x14ac:dyDescent="0.25">
      <c r="A96" t="str">
        <f>TableUHGEOGY[[#This Row],[Study Package Code]]</f>
        <v>PHGY1000</v>
      </c>
      <c r="B96" s="2">
        <f>TableUHGEOGY[[#This Row],[Ver]]</f>
        <v>1</v>
      </c>
      <c r="D96" t="str">
        <f>TableUHGEOGY[[#This Row],[Structure Line]]</f>
        <v>Physical Geography</v>
      </c>
      <c r="E96" s="90">
        <f>TableUHGEOGY[[#This Row],[Credit Points]]</f>
        <v>25</v>
      </c>
      <c r="F96">
        <v>2</v>
      </c>
      <c r="G96" t="s">
        <v>235</v>
      </c>
      <c r="H96">
        <v>1</v>
      </c>
      <c r="I96" t="s">
        <v>157</v>
      </c>
      <c r="J96" t="s">
        <v>281</v>
      </c>
      <c r="K96">
        <v>1</v>
      </c>
      <c r="L96" t="s">
        <v>282</v>
      </c>
      <c r="M96" s="212">
        <v>25</v>
      </c>
      <c r="N96" s="205">
        <v>42005</v>
      </c>
      <c r="O96" s="211"/>
    </row>
    <row r="97" spans="1:18" x14ac:dyDescent="0.25">
      <c r="A97" t="str">
        <f>TableUHGEOGY[[#This Row],[Study Package Code]]</f>
        <v>PHGY2000</v>
      </c>
      <c r="B97" s="2">
        <f>TableUHGEOGY[[#This Row],[Ver]]</f>
        <v>1</v>
      </c>
      <c r="D97" t="str">
        <f>TableUHGEOGY[[#This Row],[Structure Line]]</f>
        <v>Natural Hazards</v>
      </c>
      <c r="E97" s="90">
        <f>TableUHGEOGY[[#This Row],[Credit Points]]</f>
        <v>25</v>
      </c>
      <c r="F97">
        <v>3</v>
      </c>
      <c r="G97" t="s">
        <v>235</v>
      </c>
      <c r="H97">
        <v>1</v>
      </c>
      <c r="I97" t="s">
        <v>157</v>
      </c>
      <c r="J97" t="s">
        <v>149</v>
      </c>
      <c r="K97">
        <v>1</v>
      </c>
      <c r="L97" t="s">
        <v>190</v>
      </c>
      <c r="M97" s="212">
        <v>25</v>
      </c>
      <c r="N97" s="205">
        <v>42005</v>
      </c>
      <c r="O97" s="211"/>
    </row>
    <row r="98" spans="1:18" x14ac:dyDescent="0.25">
      <c r="A98" t="str">
        <f>TableUHGEOGY[[#This Row],[Study Package Code]]</f>
        <v>Option</v>
      </c>
      <c r="B98" s="2">
        <f>TableUHGEOGY[[#This Row],[Ver]]</f>
        <v>0</v>
      </c>
      <c r="D98" t="str">
        <f>TableUHGEOGY[[#This Row],[Structure Line]]</f>
        <v>Choose an Option</v>
      </c>
      <c r="E98" s="90">
        <f>TableUHGEOGY[[#This Row],[Credit Points]]</f>
        <v>25</v>
      </c>
      <c r="F98">
        <v>4</v>
      </c>
      <c r="G98" t="s">
        <v>283</v>
      </c>
      <c r="H98">
        <v>1</v>
      </c>
      <c r="I98" t="s">
        <v>157</v>
      </c>
      <c r="J98" t="s">
        <v>283</v>
      </c>
      <c r="K98">
        <v>0</v>
      </c>
      <c r="L98" t="s">
        <v>284</v>
      </c>
      <c r="M98">
        <v>25</v>
      </c>
      <c r="N98" s="205"/>
      <c r="O98" s="211"/>
    </row>
    <row r="99" spans="1:18" x14ac:dyDescent="0.25">
      <c r="A99" t="str">
        <f>TableUHGEOGY[[#This Row],[Study Package Code]]</f>
        <v>GEOG2000</v>
      </c>
      <c r="B99" s="2">
        <f>TableUHGEOGY[[#This Row],[Ver]]</f>
        <v>1</v>
      </c>
      <c r="D99" t="str">
        <f>TableUHGEOGY[[#This Row],[Structure Line]]</f>
        <v>Geographies of Migration</v>
      </c>
      <c r="E99" s="90">
        <f>TableUHGEOGY[[#This Row],[Credit Points]]</f>
        <v>25</v>
      </c>
      <c r="F99">
        <v>4</v>
      </c>
      <c r="G99" t="s">
        <v>283</v>
      </c>
      <c r="H99">
        <v>1</v>
      </c>
      <c r="I99" t="s">
        <v>157</v>
      </c>
      <c r="J99" t="s">
        <v>125</v>
      </c>
      <c r="K99" s="212">
        <v>1</v>
      </c>
      <c r="L99" t="s">
        <v>184</v>
      </c>
      <c r="M99" s="212">
        <v>25</v>
      </c>
      <c r="N99" s="205">
        <v>42005</v>
      </c>
      <c r="O99" s="211"/>
    </row>
    <row r="100" spans="1:18" x14ac:dyDescent="0.25">
      <c r="A100" t="str">
        <f>TableUHGEOGY[[#This Row],[Study Package Code]]</f>
        <v>GEOG2001</v>
      </c>
      <c r="B100" s="2">
        <f>TableUHGEOGY[[#This Row],[Ver]]</f>
        <v>1</v>
      </c>
      <c r="D100" t="str">
        <f>TableUHGEOGY[[#This Row],[Structure Line]]</f>
        <v>Geographies of Food Security</v>
      </c>
      <c r="E100" s="90">
        <f>TableUHGEOGY[[#This Row],[Credit Points]]</f>
        <v>25</v>
      </c>
      <c r="F100">
        <v>4</v>
      </c>
      <c r="G100" t="s">
        <v>283</v>
      </c>
      <c r="H100">
        <v>1</v>
      </c>
      <c r="I100" t="s">
        <v>157</v>
      </c>
      <c r="J100" t="s">
        <v>131</v>
      </c>
      <c r="K100" s="212">
        <v>1</v>
      </c>
      <c r="L100" t="s">
        <v>185</v>
      </c>
      <c r="M100" s="212">
        <v>25</v>
      </c>
      <c r="N100" s="205">
        <v>42005</v>
      </c>
      <c r="O100" s="211"/>
    </row>
    <row r="101" spans="1:18" x14ac:dyDescent="0.25">
      <c r="A101" s="212" t="str">
        <f>TableUHGEOGY[[#This Row],[Study Package Code]]</f>
        <v>GEOG2002</v>
      </c>
      <c r="B101" s="222">
        <f>TableUHGEOGY[[#This Row],[Ver]]</f>
        <v>1</v>
      </c>
      <c r="D101" s="212" t="str">
        <f>TableUHGEOGY[[#This Row],[Structure Line]]</f>
        <v>Fieldwork Skills</v>
      </c>
      <c r="E101" s="223">
        <f>TableUHGEOGY[[#This Row],[Credit Points]]</f>
        <v>25</v>
      </c>
      <c r="F101">
        <v>4</v>
      </c>
      <c r="G101" t="s">
        <v>283</v>
      </c>
      <c r="H101">
        <v>1</v>
      </c>
      <c r="I101" t="s">
        <v>157</v>
      </c>
      <c r="J101" t="s">
        <v>285</v>
      </c>
      <c r="K101" s="212">
        <v>1</v>
      </c>
      <c r="L101" t="s">
        <v>286</v>
      </c>
      <c r="M101" s="212">
        <v>25</v>
      </c>
      <c r="N101" s="224">
        <v>42005</v>
      </c>
      <c r="O101" s="211"/>
    </row>
    <row r="103" spans="1:18" x14ac:dyDescent="0.25">
      <c r="B103"/>
      <c r="E103"/>
      <c r="F103" s="86"/>
      <c r="G103" s="87" t="s">
        <v>226</v>
      </c>
      <c r="H103" s="88">
        <v>44562</v>
      </c>
      <c r="J103" s="204" t="s">
        <v>274</v>
      </c>
      <c r="K103" s="89" t="s">
        <v>93</v>
      </c>
      <c r="L103" s="146" t="s">
        <v>273</v>
      </c>
      <c r="N103" s="210" t="s">
        <v>257</v>
      </c>
      <c r="O103" s="191">
        <v>45309</v>
      </c>
    </row>
    <row r="104" spans="1:18" x14ac:dyDescent="0.25">
      <c r="A104" t="s">
        <v>0</v>
      </c>
      <c r="B104" s="2" t="s">
        <v>227</v>
      </c>
      <c r="C104" t="s">
        <v>228</v>
      </c>
      <c r="D104" t="s">
        <v>3</v>
      </c>
      <c r="E104" s="90" t="s">
        <v>229</v>
      </c>
      <c r="F104" t="s">
        <v>230</v>
      </c>
      <c r="G104" t="s">
        <v>231</v>
      </c>
      <c r="H104" t="s">
        <v>232</v>
      </c>
      <c r="I104" t="s">
        <v>20</v>
      </c>
      <c r="J104" t="s">
        <v>233</v>
      </c>
      <c r="K104" t="s">
        <v>1</v>
      </c>
      <c r="L104" t="s">
        <v>46</v>
      </c>
      <c r="M104" t="s">
        <v>53</v>
      </c>
      <c r="N104" t="s">
        <v>255</v>
      </c>
      <c r="O104" t="s">
        <v>234</v>
      </c>
      <c r="Q104" t="s">
        <v>256</v>
      </c>
      <c r="R104" t="s">
        <v>1</v>
      </c>
    </row>
    <row r="105" spans="1:18" x14ac:dyDescent="0.25">
      <c r="A105" t="str">
        <f>TableUHURPLAN[[#This Row],[Study Package Code]]</f>
        <v>URDE1006</v>
      </c>
      <c r="B105" s="2">
        <f>TableUHURPLAN[[#This Row],[Ver]]</f>
        <v>1</v>
      </c>
      <c r="D105" t="str">
        <f>TableUHURPLAN[[#This Row],[Structure Line]]</f>
        <v>Introduction to Planning</v>
      </c>
      <c r="E105" s="90">
        <f>TableUHURPLAN[[#This Row],[Credit Points]]</f>
        <v>25</v>
      </c>
      <c r="F105">
        <v>1</v>
      </c>
      <c r="G105" t="s">
        <v>235</v>
      </c>
      <c r="H105">
        <v>1</v>
      </c>
      <c r="I105" t="s">
        <v>237</v>
      </c>
      <c r="J105" t="s">
        <v>55</v>
      </c>
      <c r="K105">
        <v>1</v>
      </c>
      <c r="L105" t="s">
        <v>201</v>
      </c>
      <c r="M105" s="212">
        <v>25</v>
      </c>
      <c r="N105" s="205">
        <v>42005</v>
      </c>
      <c r="O105" s="211"/>
    </row>
    <row r="106" spans="1:18" x14ac:dyDescent="0.25">
      <c r="A106" t="str">
        <f>TableUHURPLAN[[#This Row],[Study Package Code]]</f>
        <v>URDE1005</v>
      </c>
      <c r="B106" s="2">
        <f>TableUHURPLAN[[#This Row],[Ver]]</f>
        <v>1</v>
      </c>
      <c r="D106" t="str">
        <f>TableUHURPLAN[[#This Row],[Structure Line]]</f>
        <v>Diversity and Cultural Planning</v>
      </c>
      <c r="E106" s="90">
        <f>TableUHURPLAN[[#This Row],[Credit Points]]</f>
        <v>25</v>
      </c>
      <c r="F106">
        <v>2</v>
      </c>
      <c r="G106" t="s">
        <v>235</v>
      </c>
      <c r="H106">
        <v>1</v>
      </c>
      <c r="I106" t="s">
        <v>237</v>
      </c>
      <c r="J106" t="s">
        <v>50</v>
      </c>
      <c r="K106">
        <v>1</v>
      </c>
      <c r="L106" t="s">
        <v>200</v>
      </c>
      <c r="M106" s="212">
        <v>25</v>
      </c>
      <c r="N106" s="205">
        <v>42005</v>
      </c>
      <c r="O106" s="211"/>
    </row>
    <row r="107" spans="1:18" x14ac:dyDescent="0.25">
      <c r="A107" t="str">
        <f>TableUHURPLAN[[#This Row],[Study Package Code]]</f>
        <v>URDE1003</v>
      </c>
      <c r="B107" s="2">
        <f>TableUHURPLAN[[#This Row],[Ver]]</f>
        <v>1</v>
      </c>
      <c r="D107" t="str">
        <f>TableUHURPLAN[[#This Row],[Structure Line]]</f>
        <v>Governance for Planning</v>
      </c>
      <c r="E107" s="90">
        <f>TableUHURPLAN[[#This Row],[Credit Points]]</f>
        <v>25</v>
      </c>
      <c r="F107">
        <v>3</v>
      </c>
      <c r="G107" t="s">
        <v>235</v>
      </c>
      <c r="H107">
        <v>1</v>
      </c>
      <c r="I107" t="s">
        <v>237</v>
      </c>
      <c r="J107" t="s">
        <v>64</v>
      </c>
      <c r="K107">
        <v>1</v>
      </c>
      <c r="L107" t="s">
        <v>199</v>
      </c>
      <c r="M107" s="212">
        <v>25</v>
      </c>
      <c r="N107" s="205">
        <v>42005</v>
      </c>
      <c r="O107" s="211"/>
    </row>
    <row r="108" spans="1:18" x14ac:dyDescent="0.25">
      <c r="A108" t="str">
        <f>TableUHURPLAN[[#This Row],[Study Package Code]]</f>
        <v>URDE1009</v>
      </c>
      <c r="B108" s="2">
        <f>TableUHURPLAN[[#This Row],[Ver]]</f>
        <v>1</v>
      </c>
      <c r="D108" t="str">
        <f>TableUHURPLAN[[#This Row],[Structure Line]]</f>
        <v>Planning for Sustainable Urban Development</v>
      </c>
      <c r="E108" s="90">
        <f>TableUHURPLAN[[#This Row],[Credit Points]]</f>
        <v>25</v>
      </c>
      <c r="F108">
        <v>4</v>
      </c>
      <c r="G108" t="s">
        <v>235</v>
      </c>
      <c r="H108">
        <v>1</v>
      </c>
      <c r="I108" t="s">
        <v>237</v>
      </c>
      <c r="J108" t="s">
        <v>51</v>
      </c>
      <c r="K108">
        <v>1</v>
      </c>
      <c r="L108" t="s">
        <v>202</v>
      </c>
      <c r="M108" s="212">
        <v>25</v>
      </c>
      <c r="N108" s="205">
        <v>44197</v>
      </c>
      <c r="O108" s="211"/>
    </row>
  </sheetData>
  <conditionalFormatting sqref="Q2:R33 Q41:R91 Q104:R108">
    <cfRule type="expression" dxfId="78" priority="33">
      <formula>Q2&lt;&gt;J2</formula>
    </cfRule>
  </conditionalFormatting>
  <conditionalFormatting sqref="O3:O31">
    <cfRule type="notContainsBlanks" dxfId="77" priority="15">
      <formula>LEN(TRIM(O3))&gt;0</formula>
    </cfRule>
  </conditionalFormatting>
  <conditionalFormatting sqref="O34:O40">
    <cfRule type="notContainsBlanks" dxfId="76" priority="14">
      <formula>LEN(TRIM(O34))&gt;0</formula>
    </cfRule>
  </conditionalFormatting>
  <conditionalFormatting sqref="O43:O49">
    <cfRule type="notContainsBlanks" dxfId="75" priority="13">
      <formula>LEN(TRIM(O43))&gt;0</formula>
    </cfRule>
  </conditionalFormatting>
  <conditionalFormatting sqref="O52:O57">
    <cfRule type="notContainsBlanks" dxfId="74" priority="12">
      <formula>LEN(TRIM(O52))&gt;0</formula>
    </cfRule>
  </conditionalFormatting>
  <conditionalFormatting sqref="O60:O65">
    <cfRule type="notContainsBlanks" dxfId="73" priority="11">
      <formula>LEN(TRIM(O60))&gt;0</formula>
    </cfRule>
  </conditionalFormatting>
  <conditionalFormatting sqref="O68:O73">
    <cfRule type="notContainsBlanks" dxfId="72" priority="10">
      <formula>LEN(TRIM(O68))&gt;0</formula>
    </cfRule>
  </conditionalFormatting>
  <conditionalFormatting sqref="O76:O83">
    <cfRule type="notContainsBlanks" dxfId="71" priority="8">
      <formula>LEN(TRIM(O76))&gt;0</formula>
    </cfRule>
  </conditionalFormatting>
  <conditionalFormatting sqref="O86:O91">
    <cfRule type="notContainsBlanks" dxfId="70" priority="7">
      <formula>LEN(TRIM(O86))&gt;0</formula>
    </cfRule>
  </conditionalFormatting>
  <conditionalFormatting sqref="Q93:R93">
    <cfRule type="expression" dxfId="69" priority="6">
      <formula>Q93&lt;&gt;J93</formula>
    </cfRule>
  </conditionalFormatting>
  <conditionalFormatting sqref="O95:O101">
    <cfRule type="notContainsBlanks" dxfId="68" priority="5">
      <formula>LEN(TRIM(O95))&gt;0</formula>
    </cfRule>
  </conditionalFormatting>
  <conditionalFormatting sqref="Q94:R101">
    <cfRule type="expression" dxfId="67" priority="4">
      <formula>Q94&lt;&gt;J94</formula>
    </cfRule>
  </conditionalFormatting>
  <conditionalFormatting sqref="Q103:R103">
    <cfRule type="expression" dxfId="66" priority="3">
      <formula>Q103&lt;&gt;J103</formula>
    </cfRule>
  </conditionalFormatting>
  <conditionalFormatting sqref="O105:O108">
    <cfRule type="notContainsBlanks" dxfId="65" priority="2">
      <formula>LEN(TRIM(O105))&gt;0</formula>
    </cfRule>
  </conditionalFormatting>
  <pageMargins left="0.7" right="0.7" top="0.75" bottom="0.75" header="0.3" footer="0.3"/>
  <pageSetup paperSize="9" orientation="portrait" r:id="rId1"/>
  <tableParts count="20">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G50"/>
  <sheetViews>
    <sheetView topLeftCell="A22" workbookViewId="0">
      <selection activeCell="D5" sqref="D5"/>
    </sheetView>
  </sheetViews>
  <sheetFormatPr defaultRowHeight="15.75" x14ac:dyDescent="0.25"/>
  <cols>
    <col min="1" max="1" width="39.625" bestFit="1" customWidth="1"/>
    <col min="2" max="2" width="12.75" bestFit="1" customWidth="1"/>
    <col min="3" max="3" width="10.5" bestFit="1" customWidth="1"/>
    <col min="4" max="4" width="12.625" bestFit="1" customWidth="1"/>
    <col min="5" max="5" width="11.5" bestFit="1" customWidth="1"/>
    <col min="6" max="6" width="16.125" bestFit="1" customWidth="1"/>
    <col min="7" max="7" width="10.375" bestFit="1" customWidth="1"/>
  </cols>
  <sheetData>
    <row r="1" spans="1:7" x14ac:dyDescent="0.25">
      <c r="A1" t="s">
        <v>242</v>
      </c>
      <c r="B1" t="s">
        <v>243</v>
      </c>
      <c r="F1" s="193" t="s">
        <v>244</v>
      </c>
      <c r="G1" s="192">
        <v>45309</v>
      </c>
    </row>
    <row r="2" spans="1:7" x14ac:dyDescent="0.25">
      <c r="B2" t="s">
        <v>157</v>
      </c>
      <c r="D2" t="s">
        <v>158</v>
      </c>
    </row>
    <row r="3" spans="1:7" x14ac:dyDescent="0.25">
      <c r="A3" t="s">
        <v>245</v>
      </c>
      <c r="B3" s="2" t="s">
        <v>246</v>
      </c>
      <c r="C3" s="2" t="s">
        <v>247</v>
      </c>
      <c r="D3" s="2" t="s">
        <v>248</v>
      </c>
      <c r="E3" s="2" t="s">
        <v>249</v>
      </c>
    </row>
    <row r="4" spans="1:7" x14ac:dyDescent="0.25">
      <c r="A4" t="s">
        <v>123</v>
      </c>
      <c r="B4" s="2"/>
      <c r="C4" s="2"/>
      <c r="D4" s="2">
        <v>1</v>
      </c>
      <c r="E4" s="2"/>
    </row>
    <row r="5" spans="1:7" x14ac:dyDescent="0.25">
      <c r="A5" t="s">
        <v>127</v>
      </c>
      <c r="B5" s="2"/>
      <c r="C5" s="2"/>
      <c r="D5" s="2">
        <v>1</v>
      </c>
      <c r="E5" s="2">
        <v>1</v>
      </c>
    </row>
    <row r="6" spans="1:7" x14ac:dyDescent="0.25">
      <c r="A6" t="s">
        <v>139</v>
      </c>
      <c r="B6" s="2"/>
      <c r="C6" s="2"/>
      <c r="D6" s="2">
        <v>1</v>
      </c>
      <c r="E6" s="2">
        <v>1</v>
      </c>
    </row>
    <row r="7" spans="1:7" x14ac:dyDescent="0.25">
      <c r="A7" t="s">
        <v>47</v>
      </c>
      <c r="B7" s="2">
        <v>1</v>
      </c>
      <c r="C7" s="2">
        <v>1</v>
      </c>
      <c r="D7" s="2">
        <v>2</v>
      </c>
      <c r="E7" s="2">
        <v>1</v>
      </c>
    </row>
    <row r="8" spans="1:7" x14ac:dyDescent="0.25">
      <c r="A8" t="s">
        <v>129</v>
      </c>
      <c r="B8" s="2">
        <v>1</v>
      </c>
      <c r="C8" s="2"/>
      <c r="D8" s="2"/>
      <c r="E8" s="2"/>
    </row>
    <row r="9" spans="1:7" x14ac:dyDescent="0.25">
      <c r="A9" t="s">
        <v>135</v>
      </c>
      <c r="B9" s="2"/>
      <c r="C9" s="2"/>
      <c r="D9" s="2">
        <v>1</v>
      </c>
      <c r="E9" s="2"/>
    </row>
    <row r="10" spans="1:7" x14ac:dyDescent="0.25">
      <c r="A10" s="241" t="s">
        <v>279</v>
      </c>
      <c r="B10" s="2">
        <v>1</v>
      </c>
      <c r="C10" s="2">
        <v>1</v>
      </c>
      <c r="D10" s="2"/>
      <c r="E10" s="2"/>
    </row>
    <row r="11" spans="1:7" x14ac:dyDescent="0.25">
      <c r="A11" t="s">
        <v>125</v>
      </c>
      <c r="B11" s="2"/>
      <c r="C11" s="2"/>
      <c r="D11" s="2">
        <v>1</v>
      </c>
      <c r="E11" s="2">
        <v>1</v>
      </c>
    </row>
    <row r="12" spans="1:7" x14ac:dyDescent="0.25">
      <c r="A12" t="s">
        <v>131</v>
      </c>
      <c r="B12" s="2">
        <v>1</v>
      </c>
      <c r="C12" s="2">
        <v>1</v>
      </c>
      <c r="D12" s="2"/>
      <c r="E12" s="2"/>
    </row>
    <row r="13" spans="1:7" x14ac:dyDescent="0.25">
      <c r="A13" s="241" t="s">
        <v>285</v>
      </c>
      <c r="B13" s="2">
        <v>1</v>
      </c>
      <c r="C13" s="2">
        <v>1</v>
      </c>
      <c r="D13" s="2"/>
      <c r="E13" s="2"/>
    </row>
    <row r="14" spans="1:7" x14ac:dyDescent="0.25">
      <c r="A14" t="s">
        <v>137</v>
      </c>
      <c r="B14" s="2">
        <v>1</v>
      </c>
      <c r="C14" s="2">
        <v>1</v>
      </c>
      <c r="D14" s="2"/>
      <c r="E14" s="2"/>
    </row>
    <row r="15" spans="1:7" x14ac:dyDescent="0.25">
      <c r="A15" t="s">
        <v>124</v>
      </c>
      <c r="B15" s="2">
        <v>1</v>
      </c>
      <c r="C15" s="2"/>
      <c r="D15" s="2">
        <v>1</v>
      </c>
      <c r="E15" s="2"/>
    </row>
    <row r="16" spans="1:7" x14ac:dyDescent="0.25">
      <c r="A16" t="s">
        <v>130</v>
      </c>
      <c r="B16" s="2">
        <v>1</v>
      </c>
      <c r="C16" s="2"/>
      <c r="D16" s="2">
        <v>1</v>
      </c>
      <c r="E16" s="2"/>
    </row>
    <row r="17" spans="1:5" x14ac:dyDescent="0.25">
      <c r="A17" t="s">
        <v>136</v>
      </c>
      <c r="B17" s="2">
        <v>1</v>
      </c>
      <c r="C17" s="2"/>
      <c r="D17" s="2"/>
      <c r="E17" s="2"/>
    </row>
    <row r="18" spans="1:5" x14ac:dyDescent="0.25">
      <c r="A18" s="241" t="s">
        <v>281</v>
      </c>
      <c r="B18" s="2"/>
      <c r="C18" s="2"/>
      <c r="D18" s="2">
        <v>1</v>
      </c>
      <c r="E18" s="2">
        <v>1</v>
      </c>
    </row>
    <row r="19" spans="1:5" x14ac:dyDescent="0.25">
      <c r="A19" t="s">
        <v>149</v>
      </c>
      <c r="B19" s="2"/>
      <c r="C19" s="2"/>
      <c r="D19" s="2">
        <v>1</v>
      </c>
      <c r="E19" s="2">
        <v>1</v>
      </c>
    </row>
    <row r="20" spans="1:5" x14ac:dyDescent="0.25">
      <c r="A20" t="s">
        <v>126</v>
      </c>
      <c r="B20" s="2"/>
      <c r="C20" s="2"/>
      <c r="D20" s="2">
        <v>1</v>
      </c>
      <c r="E20" s="2">
        <v>1</v>
      </c>
    </row>
    <row r="21" spans="1:5" x14ac:dyDescent="0.25">
      <c r="A21" t="s">
        <v>264</v>
      </c>
      <c r="B21" s="2">
        <v>1</v>
      </c>
      <c r="C21" s="2">
        <v>1</v>
      </c>
      <c r="D21" s="2"/>
      <c r="E21" s="2"/>
    </row>
    <row r="22" spans="1:5" x14ac:dyDescent="0.25">
      <c r="A22" t="s">
        <v>133</v>
      </c>
      <c r="B22" s="2">
        <v>1</v>
      </c>
      <c r="C22" s="2">
        <v>1</v>
      </c>
      <c r="D22" s="2"/>
      <c r="E22" s="2"/>
    </row>
    <row r="23" spans="1:5" x14ac:dyDescent="0.25">
      <c r="A23" t="s">
        <v>56</v>
      </c>
      <c r="B23" s="2"/>
      <c r="C23" s="2"/>
      <c r="D23" s="2">
        <v>1</v>
      </c>
      <c r="E23" s="2"/>
    </row>
    <row r="24" spans="1:5" x14ac:dyDescent="0.25">
      <c r="A24" t="s">
        <v>60</v>
      </c>
      <c r="B24" s="2">
        <v>1</v>
      </c>
      <c r="C24" s="2"/>
      <c r="D24" s="2"/>
      <c r="E24" s="2"/>
    </row>
    <row r="25" spans="1:5" x14ac:dyDescent="0.25">
      <c r="A25" t="s">
        <v>64</v>
      </c>
      <c r="B25" s="2">
        <v>1</v>
      </c>
      <c r="C25" s="2">
        <v>1</v>
      </c>
      <c r="D25" s="2">
        <v>1</v>
      </c>
      <c r="E25" s="2"/>
    </row>
    <row r="26" spans="1:5" x14ac:dyDescent="0.25">
      <c r="A26" t="s">
        <v>50</v>
      </c>
      <c r="B26" s="2">
        <v>1</v>
      </c>
      <c r="C26" s="2"/>
      <c r="D26" s="2"/>
      <c r="E26" s="2"/>
    </row>
    <row r="27" spans="1:5" x14ac:dyDescent="0.25">
      <c r="A27" t="s">
        <v>55</v>
      </c>
      <c r="B27" s="2">
        <v>1</v>
      </c>
      <c r="C27" s="2"/>
      <c r="D27" s="2">
        <v>1</v>
      </c>
      <c r="E27" s="2"/>
    </row>
    <row r="28" spans="1:5" x14ac:dyDescent="0.25">
      <c r="A28" t="s">
        <v>51</v>
      </c>
      <c r="B28" s="2"/>
      <c r="C28" s="2"/>
      <c r="D28" s="2">
        <v>1</v>
      </c>
      <c r="E28" s="2"/>
    </row>
    <row r="29" spans="1:5" x14ac:dyDescent="0.25">
      <c r="A29" t="s">
        <v>61</v>
      </c>
      <c r="B29" s="2"/>
      <c r="C29" s="2"/>
      <c r="D29" s="2">
        <v>1</v>
      </c>
      <c r="E29" s="2"/>
    </row>
    <row r="30" spans="1:5" x14ac:dyDescent="0.25">
      <c r="A30" t="s">
        <v>74</v>
      </c>
      <c r="B30" s="2">
        <v>1</v>
      </c>
      <c r="C30" s="2"/>
      <c r="D30" s="2"/>
      <c r="E30" s="2"/>
    </row>
    <row r="31" spans="1:5" x14ac:dyDescent="0.25">
      <c r="A31" t="s">
        <v>75</v>
      </c>
      <c r="B31" s="2"/>
      <c r="C31" s="2"/>
      <c r="D31" s="2">
        <v>1</v>
      </c>
      <c r="E31" s="2"/>
    </row>
    <row r="32" spans="1:5" x14ac:dyDescent="0.25">
      <c r="A32" t="s">
        <v>76</v>
      </c>
      <c r="B32" s="2">
        <v>1</v>
      </c>
      <c r="C32" s="2"/>
      <c r="D32" s="2"/>
      <c r="E32" s="2"/>
    </row>
    <row r="33" spans="1:5" x14ac:dyDescent="0.25">
      <c r="A33" t="s">
        <v>79</v>
      </c>
      <c r="B33" s="2">
        <v>1</v>
      </c>
      <c r="C33" s="2"/>
      <c r="D33" s="2"/>
      <c r="E33" s="2"/>
    </row>
    <row r="34" spans="1:5" x14ac:dyDescent="0.25">
      <c r="A34" t="s">
        <v>77</v>
      </c>
      <c r="B34" s="2"/>
      <c r="C34" s="2"/>
      <c r="D34" s="2">
        <v>1</v>
      </c>
      <c r="E34" s="2"/>
    </row>
    <row r="35" spans="1:5" x14ac:dyDescent="0.25">
      <c r="A35" t="s">
        <v>72</v>
      </c>
      <c r="B35" s="2"/>
      <c r="C35" s="2"/>
      <c r="D35" s="2">
        <v>1</v>
      </c>
      <c r="E35" s="2"/>
    </row>
    <row r="36" spans="1:5" x14ac:dyDescent="0.25">
      <c r="A36" t="s">
        <v>69</v>
      </c>
      <c r="B36" s="2">
        <v>1</v>
      </c>
      <c r="C36" s="2"/>
      <c r="D36" s="2"/>
      <c r="E36" s="2"/>
    </row>
    <row r="37" spans="1:5" x14ac:dyDescent="0.25">
      <c r="A37" t="s">
        <v>97</v>
      </c>
      <c r="B37" s="2"/>
      <c r="C37" s="2"/>
      <c r="D37" s="2">
        <v>1</v>
      </c>
      <c r="E37" s="2"/>
    </row>
    <row r="38" spans="1:5" x14ac:dyDescent="0.25">
      <c r="A38" t="s">
        <v>96</v>
      </c>
      <c r="B38" s="2">
        <v>1</v>
      </c>
      <c r="C38" s="2"/>
      <c r="D38" s="2"/>
      <c r="E38" s="2"/>
    </row>
    <row r="39" spans="1:5" x14ac:dyDescent="0.25">
      <c r="A39" s="256" t="s">
        <v>151</v>
      </c>
      <c r="B39" s="257"/>
      <c r="C39" s="257"/>
      <c r="D39" s="257"/>
      <c r="E39" s="257"/>
    </row>
    <row r="40" spans="1:5" x14ac:dyDescent="0.25">
      <c r="A40" t="s">
        <v>91</v>
      </c>
      <c r="B40" s="2"/>
      <c r="C40" s="2"/>
      <c r="D40" s="2">
        <v>1</v>
      </c>
      <c r="E40" s="2"/>
    </row>
    <row r="41" spans="1:5" x14ac:dyDescent="0.25">
      <c r="A41" t="s">
        <v>95</v>
      </c>
      <c r="B41" s="2">
        <v>1</v>
      </c>
      <c r="C41" s="2"/>
      <c r="D41" s="2">
        <v>1</v>
      </c>
      <c r="E41" s="2"/>
    </row>
    <row r="42" spans="1:5" x14ac:dyDescent="0.25">
      <c r="A42" t="s">
        <v>88</v>
      </c>
      <c r="B42" s="2">
        <v>1</v>
      </c>
      <c r="C42" s="2"/>
      <c r="D42" s="2"/>
      <c r="E42" s="2"/>
    </row>
    <row r="43" spans="1:5" x14ac:dyDescent="0.25">
      <c r="A43" t="s">
        <v>106</v>
      </c>
      <c r="B43" s="2">
        <v>1</v>
      </c>
      <c r="C43" s="2"/>
      <c r="D43" s="2"/>
      <c r="E43" s="2"/>
    </row>
    <row r="44" spans="1:5" x14ac:dyDescent="0.25">
      <c r="A44" t="s">
        <v>113</v>
      </c>
      <c r="B44" s="2">
        <v>1</v>
      </c>
      <c r="C44" s="2"/>
      <c r="D44" s="2">
        <v>1</v>
      </c>
      <c r="E44" s="2"/>
    </row>
    <row r="45" spans="1:5" x14ac:dyDescent="0.25">
      <c r="A45" t="s">
        <v>115</v>
      </c>
      <c r="B45" s="2">
        <v>1</v>
      </c>
      <c r="C45" s="2"/>
      <c r="D45" s="2">
        <v>1</v>
      </c>
      <c r="E45" s="2"/>
    </row>
    <row r="46" spans="1:5" x14ac:dyDescent="0.25">
      <c r="A46" t="s">
        <v>110</v>
      </c>
      <c r="B46" s="2">
        <v>1</v>
      </c>
      <c r="C46" s="2"/>
      <c r="D46" s="2">
        <v>1</v>
      </c>
      <c r="E46" s="2"/>
    </row>
    <row r="47" spans="1:5" x14ac:dyDescent="0.25">
      <c r="A47" t="s">
        <v>116</v>
      </c>
      <c r="B47" s="2">
        <v>1</v>
      </c>
      <c r="C47" s="2"/>
      <c r="D47" s="2">
        <v>1</v>
      </c>
      <c r="E47" s="2"/>
    </row>
    <row r="48" spans="1:5" x14ac:dyDescent="0.25">
      <c r="A48" t="s">
        <v>109</v>
      </c>
      <c r="B48" s="2"/>
      <c r="C48" s="2"/>
      <c r="D48" s="2">
        <v>1</v>
      </c>
      <c r="E48" s="2"/>
    </row>
    <row r="49" spans="1:5" x14ac:dyDescent="0.25">
      <c r="A49" t="s">
        <v>112</v>
      </c>
      <c r="B49" s="2"/>
      <c r="C49" s="2"/>
      <c r="D49" s="2">
        <v>1</v>
      </c>
      <c r="E49" s="2"/>
    </row>
    <row r="50" spans="1:5" x14ac:dyDescent="0.25">
      <c r="A50" t="s">
        <v>111</v>
      </c>
      <c r="B50" s="2">
        <v>1</v>
      </c>
      <c r="C50" s="2"/>
      <c r="D50" s="2"/>
      <c r="E50" s="2"/>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7D5A8BA5900D0D41A965F85AF3329359" ma:contentTypeVersion="13" ma:contentTypeDescription="Create a new document." ma:contentTypeScope="" ma:versionID="682b5a54bc8341256a7f829b7a189b97">
  <xsd:schema xmlns:xsd="http://www.w3.org/2001/XMLSchema" xmlns:xs="http://www.w3.org/2001/XMLSchema" xmlns:p="http://schemas.microsoft.com/office/2006/metadata/properties" xmlns:ns2="2380bd5d-8f09-40a9-a9cb-2482ec2cd2ca" xmlns:ns3="ba69df13-0c3c-4942-8695-6ca01564010c" targetNamespace="http://schemas.microsoft.com/office/2006/metadata/properties" ma:root="true" ma:fieldsID="6a49c7057010557c7e889b7a3315e425" ns2:_="" ns3:_="">
    <xsd:import namespace="2380bd5d-8f09-40a9-a9cb-2482ec2cd2ca"/>
    <xsd:import namespace="ba69df13-0c3c-4942-8695-6ca01564010c"/>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SearchProperties" minOccurs="0"/>
                <xsd:element ref="ns2:MediaServiceDateTaken" minOccurs="0"/>
                <xsd:element ref="ns2:MediaServiceOCR" minOccurs="0"/>
                <xsd:element ref="ns2:MediaServiceGenerationTime" minOccurs="0"/>
                <xsd:element ref="ns2:MediaServiceEventHashCode"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380bd5d-8f09-40a9-a9cb-2482ec2cd2c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058b0421-3d9b-4d43-8840-b275eef407cc" ma:termSetId="09814cd3-568e-fe90-9814-8d621ff8fb84" ma:anchorId="fba54fb3-c3e1-fe81-a776-ca4b69148c4d" ma:open="true" ma:isKeyword="false">
      <xsd:complexType>
        <xsd:sequence>
          <xsd:element ref="pc:Terms" minOccurs="0" maxOccurs="1"/>
        </xsd:sequence>
      </xsd:complexType>
    </xsd:element>
    <xsd:element name="MediaServiceSearchProperties" ma:index="15" nillable="true" ma:displayName="MediaServiceSearchProperties" ma:hidden="true" ma:internalName="MediaServiceSearchProperties" ma:readOnly="true">
      <xsd:simpleType>
        <xsd:restriction base="dms:Note"/>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a69df13-0c3c-4942-8695-6ca01564010c"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4f6a6e9f-0001-4698-9992-b49f02fb9f95}" ma:internalName="TaxCatchAll" ma:showField="CatchAllData" ma:web="ba69df13-0c3c-4942-8695-6ca01564010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2380bd5d-8f09-40a9-a9cb-2482ec2cd2ca">
      <Terms xmlns="http://schemas.microsoft.com/office/infopath/2007/PartnerControls"/>
    </lcf76f155ced4ddcb4097134ff3c332f>
    <TaxCatchAll xmlns="ba69df13-0c3c-4942-8695-6ca01564010c" xsi:nil="true"/>
    <SharedWithUsers xmlns="ba69df13-0c3c-4942-8695-6ca01564010c">
      <UserInfo>
        <DisplayName/>
        <AccountId xsi:nil="true"/>
        <AccountType/>
      </UserInfo>
    </SharedWithUsers>
  </documentManagement>
</p:properties>
</file>

<file path=customXml/itemProps1.xml><?xml version="1.0" encoding="utf-8"?>
<ds:datastoreItem xmlns:ds="http://schemas.openxmlformats.org/officeDocument/2006/customXml" ds:itemID="{58D9622E-5CA2-422C-A7EF-5AF7D24ED367}">
  <ds:schemaRefs>
    <ds:schemaRef ds:uri="http://schemas.microsoft.com/sharepoint/v3/contenttype/forms"/>
  </ds:schemaRefs>
</ds:datastoreItem>
</file>

<file path=customXml/itemProps2.xml><?xml version="1.0" encoding="utf-8"?>
<ds:datastoreItem xmlns:ds="http://schemas.openxmlformats.org/officeDocument/2006/customXml" ds:itemID="{05FBDF98-A2F6-4716-B5D8-95853702698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380bd5d-8f09-40a9-a9cb-2482ec2cd2ca"/>
    <ds:schemaRef ds:uri="ba69df13-0c3c-4942-8695-6ca01564010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02FBB4C-6ADF-4262-9F1C-6F0710538C55}">
  <ds:schemaRefs>
    <ds:schemaRef ds:uri="http://purl.org/dc/terms/"/>
    <ds:schemaRef ds:uri="http://schemas.openxmlformats.org/package/2006/metadata/core-properties"/>
    <ds:schemaRef ds:uri="http://schemas.microsoft.com/office/2006/documentManagement/types"/>
    <ds:schemaRef ds:uri="ba69df13-0c3c-4942-8695-6ca01564010c"/>
    <ds:schemaRef ds:uri="http://purl.org/dc/elements/1.1/"/>
    <ds:schemaRef ds:uri="http://schemas.microsoft.com/office/2006/metadata/properties"/>
    <ds:schemaRef ds:uri="http://schemas.microsoft.com/office/infopath/2007/PartnerControls"/>
    <ds:schemaRef ds:uri="2380bd5d-8f09-40a9-a9cb-2482ec2cd2ca"/>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Urb &amp; Reg Planning </vt:lpstr>
      <vt:lpstr>UG Certificate</vt:lpstr>
      <vt:lpstr>Unitsets</vt:lpstr>
      <vt:lpstr>Handbook</vt:lpstr>
      <vt:lpstr>Structures</vt:lpstr>
      <vt:lpstr>Availabilities</vt:lpstr>
      <vt:lpstr>'UG Certificate'!Print_Area</vt:lpstr>
      <vt:lpstr>'Urb &amp; Reg Planning '!Print_Area</vt:lpstr>
      <vt:lpstr>RangeSpecSets</vt:lpstr>
      <vt:lpstr>RangeUGCertUnitSets</vt:lpstr>
      <vt:lpstr>RangeUnitsets</vt:lpstr>
    </vt:vector>
  </TitlesOfParts>
  <Manager/>
  <Company>Curtin University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Stephanie Cook</dc:creator>
  <cp:keywords/>
  <dc:description/>
  <cp:lastModifiedBy>Mark Kerr</cp:lastModifiedBy>
  <cp:revision/>
  <cp:lastPrinted>2024-02-09T06:15:25Z</cp:lastPrinted>
  <dcterms:created xsi:type="dcterms:W3CDTF">2022-02-28T04:48:12Z</dcterms:created>
  <dcterms:modified xsi:type="dcterms:W3CDTF">2024-02-09T07:13:40Z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0x0101007D5A8BA5900D0D41A965F85AF3329359</vt:lpwstr>
  </property>
  <property fmtid="{D5CDD505-2E9C-101B-9397-08002B2CF9AE}" pid="3" name="xd_ProgID">
    <vt:lpwstr/>
  </property>
  <property fmtid="{D5CDD505-2E9C-101B-9397-08002B2CF9AE}" pid="4" name="MediaServiceImageTags">
    <vt:lpwstr/>
  </property>
  <property fmtid="{D5CDD505-2E9C-101B-9397-08002B2CF9AE}" pid="5" name="ComplianceAssetId">
    <vt:lpwstr/>
  </property>
  <property fmtid="{D5CDD505-2E9C-101B-9397-08002B2CF9AE}" pid="6" name="TemplateUrl">
    <vt:lpwstr/>
  </property>
  <property fmtid="{D5CDD505-2E9C-101B-9397-08002B2CF9AE}" pid="7" name="_ExtendedDescription">
    <vt:lpwstr/>
  </property>
  <property fmtid="{D5CDD505-2E9C-101B-9397-08002B2CF9AE}" pid="8" name="TriggerFlowInfo">
    <vt:lpwstr/>
  </property>
  <property fmtid="{D5CDD505-2E9C-101B-9397-08002B2CF9AE}" pid="9" name="xd_Signature">
    <vt:bool>false</vt:bool>
  </property>
</Properties>
</file>