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HMYzIbXK0v0hWyYoLwitue8mp6uaR5+q4XcS93LnVNeMZdYsdQbcObet+cR388amKpCppZppuGrGuJJzaSexw==" workbookSaltValue="vGmYTGVq5CXP6J2pBwANTw==" workbookSpinCount="100000" lockStructure="1"/>
  <bookViews>
    <workbookView xWindow="0" yWindow="0" windowWidth="28800" windowHeight="11700"/>
  </bookViews>
  <sheets>
    <sheet name="Interior Architecture"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'Interior Architecture'!$A$3:$L$61</definedName>
    <definedName name="RangeSpecSets">Unitsets!$J$40:$AA$48</definedName>
    <definedName name="RangeUnitsets">Unitsets!$J$3:$N$35</definedName>
    <definedName name="TableAvailabilities">Table2023Avail[]</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 l="1"/>
  <c r="H5" i="3"/>
  <c r="I5" i="3"/>
  <c r="J5" i="3"/>
  <c r="L6" i="5" l="1"/>
  <c r="A55" i="5" s="1"/>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A57" i="5" l="1"/>
  <c r="A50" i="5"/>
  <c r="A51" i="5"/>
  <c r="A56" i="5"/>
  <c r="A52" i="5"/>
  <c r="A53" i="5"/>
  <c r="A54" i="5"/>
  <c r="J4" i="3" l="1"/>
  <c r="I4" i="3"/>
  <c r="H4" i="3"/>
  <c r="G4" i="3"/>
  <c r="A98" i="8"/>
  <c r="A99" i="8"/>
  <c r="B98" i="8"/>
  <c r="B99" i="8"/>
  <c r="D98" i="8"/>
  <c r="D99" i="8"/>
  <c r="E98" i="8"/>
  <c r="E99" i="8"/>
  <c r="A97" i="8"/>
  <c r="B97" i="8"/>
  <c r="D97" i="8"/>
  <c r="E97" i="8"/>
  <c r="E96" i="8" l="1"/>
  <c r="D96" i="8"/>
  <c r="B96" i="8"/>
  <c r="A96" i="8"/>
  <c r="E95" i="8"/>
  <c r="D95" i="8"/>
  <c r="B95" i="8"/>
  <c r="A95" i="8"/>
  <c r="E94" i="8"/>
  <c r="D94" i="8"/>
  <c r="B94" i="8"/>
  <c r="A94" i="8"/>
  <c r="E93" i="8"/>
  <c r="D93" i="8"/>
  <c r="B93" i="8"/>
  <c r="A93" i="8"/>
  <c r="U5" i="3" s="1"/>
  <c r="U41" i="3" l="1"/>
  <c r="U44" i="3"/>
  <c r="U43" i="3"/>
  <c r="U49" i="3"/>
  <c r="U47" i="3"/>
  <c r="U48" i="3"/>
  <c r="U61" i="3"/>
  <c r="U62" i="3"/>
  <c r="U63" i="3"/>
  <c r="U64" i="3"/>
  <c r="U65" i="3"/>
  <c r="U66" i="3"/>
  <c r="U67" i="3"/>
  <c r="U68" i="3"/>
  <c r="U69" i="3"/>
  <c r="U12" i="3"/>
  <c r="U15" i="3"/>
  <c r="U8" i="3"/>
  <c r="U58" i="3"/>
  <c r="U79" i="3"/>
  <c r="U4" i="3"/>
  <c r="U6" i="3"/>
  <c r="U7" i="3"/>
  <c r="U9" i="3"/>
  <c r="U10" i="3"/>
  <c r="U11" i="3"/>
  <c r="U13" i="3"/>
  <c r="U14" i="3"/>
  <c r="U16" i="3"/>
  <c r="U17" i="3"/>
  <c r="U18" i="3"/>
  <c r="U19" i="3"/>
  <c r="U20" i="3"/>
  <c r="U21" i="3"/>
  <c r="U22" i="3"/>
  <c r="U23" i="3"/>
  <c r="U24" i="3"/>
  <c r="U25" i="3"/>
  <c r="U26" i="3"/>
  <c r="U27" i="3"/>
  <c r="U28" i="3"/>
  <c r="U29" i="3"/>
  <c r="U30" i="3"/>
  <c r="U31" i="3"/>
  <c r="U32" i="3"/>
  <c r="U33" i="3"/>
  <c r="U34" i="3"/>
  <c r="U35" i="3"/>
  <c r="U36" i="3"/>
  <c r="U37" i="3"/>
  <c r="U38" i="3"/>
  <c r="U39" i="3"/>
  <c r="U40" i="3"/>
  <c r="U42" i="3"/>
  <c r="U45" i="3"/>
  <c r="U46" i="3"/>
  <c r="U50" i="3"/>
  <c r="U51" i="3"/>
  <c r="U52" i="3"/>
  <c r="U53" i="3"/>
  <c r="U54" i="3"/>
  <c r="U55" i="3"/>
  <c r="U56" i="3"/>
  <c r="U57" i="3"/>
  <c r="U59" i="3"/>
  <c r="U60" i="3"/>
  <c r="U70" i="3"/>
  <c r="U71" i="3"/>
  <c r="U72" i="3"/>
  <c r="U73" i="3"/>
  <c r="U74" i="3"/>
  <c r="U75" i="3"/>
  <c r="U76" i="3"/>
  <c r="U77" i="3"/>
  <c r="U78" i="3"/>
  <c r="U80" i="3"/>
  <c r="A10" i="8" l="1"/>
  <c r="B10" i="8"/>
  <c r="D10" i="8"/>
  <c r="E10" i="8"/>
  <c r="A49" i="5" l="1"/>
  <c r="K56" i="5" l="1"/>
  <c r="H56" i="5"/>
  <c r="I56" i="5"/>
  <c r="D56" i="5"/>
  <c r="F56" i="5"/>
  <c r="J56" i="5"/>
  <c r="B56" i="5"/>
  <c r="C56" i="5"/>
  <c r="G56" i="5"/>
  <c r="F53" i="5"/>
  <c r="C53" i="5"/>
  <c r="I53" i="5"/>
  <c r="G53" i="5"/>
  <c r="D53" i="5"/>
  <c r="K53" i="5"/>
  <c r="B53" i="5"/>
  <c r="J53" i="5"/>
  <c r="H53" i="5"/>
  <c r="G52" i="5"/>
  <c r="D52" i="5"/>
  <c r="I52" i="5"/>
  <c r="C52" i="5"/>
  <c r="J52" i="5"/>
  <c r="F52" i="5"/>
  <c r="K52" i="5"/>
  <c r="B52" i="5"/>
  <c r="H52" i="5"/>
  <c r="H51" i="5"/>
  <c r="F51" i="5"/>
  <c r="K51" i="5"/>
  <c r="D51" i="5"/>
  <c r="J51" i="5"/>
  <c r="I51" i="5"/>
  <c r="C51" i="5"/>
  <c r="B51" i="5"/>
  <c r="G51" i="5"/>
  <c r="K57" i="5"/>
  <c r="B57" i="5"/>
  <c r="I57" i="5"/>
  <c r="D57" i="5"/>
  <c r="C57" i="5"/>
  <c r="H57" i="5"/>
  <c r="G57" i="5"/>
  <c r="F57" i="5"/>
  <c r="J57" i="5"/>
  <c r="D54" i="5"/>
  <c r="K54" i="5"/>
  <c r="B54" i="5"/>
  <c r="J54" i="5"/>
  <c r="F54" i="5"/>
  <c r="I54" i="5"/>
  <c r="G54" i="5"/>
  <c r="C54" i="5"/>
  <c r="H54" i="5"/>
  <c r="C55" i="5"/>
  <c r="J55" i="5"/>
  <c r="I55" i="5"/>
  <c r="G55" i="5"/>
  <c r="F55" i="5"/>
  <c r="B55" i="5"/>
  <c r="H55" i="5"/>
  <c r="K55" i="5"/>
  <c r="D55" i="5"/>
  <c r="G6" i="5"/>
  <c r="G5" i="5"/>
  <c r="L5" i="5" l="1"/>
  <c r="A28" i="5" s="1"/>
  <c r="A25" i="5" l="1"/>
  <c r="A18" i="5"/>
  <c r="A13" i="5"/>
  <c r="A23" i="5"/>
  <c r="A39" i="5"/>
  <c r="A36" i="5"/>
  <c r="A37" i="5"/>
  <c r="A41" i="5"/>
  <c r="A34" i="5"/>
  <c r="A43" i="5"/>
  <c r="A30" i="5"/>
  <c r="A31" i="5"/>
  <c r="D31" i="5" s="1"/>
  <c r="A40" i="5"/>
  <c r="A32" i="5"/>
  <c r="A33" i="5"/>
  <c r="A42" i="5"/>
  <c r="A35" i="5"/>
  <c r="A44" i="5"/>
  <c r="A45" i="5"/>
  <c r="A46" i="5"/>
  <c r="A26" i="5"/>
  <c r="A27" i="5"/>
  <c r="A16" i="5"/>
  <c r="A17" i="5"/>
  <c r="A20" i="5"/>
  <c r="E20" i="5" s="1"/>
  <c r="A21" i="5"/>
  <c r="A12" i="5"/>
  <c r="A15" i="5"/>
  <c r="E15" i="5" s="1"/>
  <c r="A10" i="5"/>
  <c r="E10" i="5" s="1"/>
  <c r="A22" i="5"/>
  <c r="A11" i="5"/>
  <c r="E21" i="5" l="1"/>
  <c r="E22" i="5" s="1"/>
  <c r="E23" i="5" s="1"/>
  <c r="J25" i="5"/>
  <c r="E25" i="5"/>
  <c r="E26" i="5" s="1"/>
  <c r="E27" i="5" s="1"/>
  <c r="E28" i="5" s="1"/>
  <c r="E16" i="5"/>
  <c r="E17" i="5" s="1"/>
  <c r="E18" i="5" s="1"/>
  <c r="E11" i="5"/>
  <c r="E12" i="5" s="1"/>
  <c r="E13" i="5" s="1"/>
  <c r="H25" i="5"/>
  <c r="I25" i="5"/>
  <c r="K25" i="5"/>
  <c r="H12" i="5"/>
  <c r="K12" i="5"/>
  <c r="J12" i="5"/>
  <c r="I12" i="5"/>
  <c r="J20" i="5"/>
  <c r="I20" i="5"/>
  <c r="H20" i="5"/>
  <c r="K20" i="5"/>
  <c r="J17" i="5"/>
  <c r="I17" i="5"/>
  <c r="H17" i="5"/>
  <c r="K17" i="5"/>
  <c r="I42" i="5"/>
  <c r="K42" i="5"/>
  <c r="H42" i="5"/>
  <c r="J42" i="5"/>
  <c r="J41" i="5"/>
  <c r="I41" i="5"/>
  <c r="H41" i="5"/>
  <c r="K41" i="5"/>
  <c r="K16" i="5"/>
  <c r="I16" i="5"/>
  <c r="H16" i="5"/>
  <c r="J16" i="5"/>
  <c r="K37" i="5"/>
  <c r="H37" i="5"/>
  <c r="J37" i="5"/>
  <c r="I37" i="5"/>
  <c r="J32" i="5"/>
  <c r="H32" i="5"/>
  <c r="K32" i="5"/>
  <c r="I32" i="5"/>
  <c r="J36" i="5"/>
  <c r="I36" i="5"/>
  <c r="H36" i="5"/>
  <c r="K36" i="5"/>
  <c r="H11" i="5"/>
  <c r="K11" i="5"/>
  <c r="J11" i="5"/>
  <c r="I11" i="5"/>
  <c r="K33" i="5"/>
  <c r="I33" i="5"/>
  <c r="J33" i="5"/>
  <c r="H33" i="5"/>
  <c r="J22" i="5"/>
  <c r="I22" i="5"/>
  <c r="H22" i="5"/>
  <c r="K22" i="5"/>
  <c r="J27" i="5"/>
  <c r="I27" i="5"/>
  <c r="H27" i="5"/>
  <c r="K27" i="5"/>
  <c r="I10" i="5"/>
  <c r="H10" i="5"/>
  <c r="K10" i="5"/>
  <c r="J10" i="5"/>
  <c r="K26" i="5"/>
  <c r="I26" i="5"/>
  <c r="H26" i="5"/>
  <c r="J26" i="5"/>
  <c r="H40" i="5"/>
  <c r="K40" i="5"/>
  <c r="I40" i="5"/>
  <c r="J40" i="5"/>
  <c r="J39" i="5"/>
  <c r="H39" i="5"/>
  <c r="K39" i="5"/>
  <c r="I39" i="5"/>
  <c r="J15" i="5"/>
  <c r="I15" i="5"/>
  <c r="H15" i="5"/>
  <c r="K15" i="5"/>
  <c r="H46" i="5"/>
  <c r="K46" i="5"/>
  <c r="I46" i="5"/>
  <c r="J46" i="5"/>
  <c r="I31" i="5"/>
  <c r="H31" i="5"/>
  <c r="K31" i="5"/>
  <c r="J31" i="5"/>
  <c r="J30" i="5"/>
  <c r="H30" i="5"/>
  <c r="K30" i="5"/>
  <c r="I30" i="5"/>
  <c r="K44" i="5"/>
  <c r="J44" i="5"/>
  <c r="I44" i="5"/>
  <c r="H44" i="5"/>
  <c r="J43" i="5"/>
  <c r="H43" i="5"/>
  <c r="K43" i="5"/>
  <c r="I43" i="5"/>
  <c r="J45" i="5"/>
  <c r="I45" i="5"/>
  <c r="H45" i="5"/>
  <c r="K45" i="5"/>
  <c r="K21" i="5"/>
  <c r="J21" i="5"/>
  <c r="I21" i="5"/>
  <c r="H21" i="5"/>
  <c r="I35" i="5"/>
  <c r="K35" i="5"/>
  <c r="J35" i="5"/>
  <c r="H35" i="5"/>
  <c r="J34" i="5"/>
  <c r="H34" i="5"/>
  <c r="K34" i="5"/>
  <c r="I34" i="5"/>
  <c r="E90" i="8" l="1"/>
  <c r="D90" i="8"/>
  <c r="B90" i="8"/>
  <c r="A90" i="8"/>
  <c r="E89" i="8"/>
  <c r="D89" i="8"/>
  <c r="B89" i="8"/>
  <c r="A89" i="8"/>
  <c r="E88" i="8"/>
  <c r="D88" i="8"/>
  <c r="B88" i="8"/>
  <c r="A88" i="8"/>
  <c r="E87" i="8"/>
  <c r="D87" i="8"/>
  <c r="B87" i="8"/>
  <c r="A87" i="8"/>
  <c r="T5" i="3" s="1"/>
  <c r="E78" i="8"/>
  <c r="D78" i="8"/>
  <c r="B78" i="8"/>
  <c r="A78" i="8"/>
  <c r="E77" i="8"/>
  <c r="D77" i="8"/>
  <c r="B77" i="8"/>
  <c r="A77" i="8"/>
  <c r="E76" i="8"/>
  <c r="D76" i="8"/>
  <c r="B76" i="8"/>
  <c r="A76" i="8"/>
  <c r="E75" i="8"/>
  <c r="D75" i="8"/>
  <c r="B75" i="8"/>
  <c r="A75" i="8"/>
  <c r="R5" i="3" s="1"/>
  <c r="E58" i="8"/>
  <c r="D58" i="8"/>
  <c r="B58" i="8"/>
  <c r="A58" i="8"/>
  <c r="E57" i="8"/>
  <c r="D57" i="8"/>
  <c r="B57" i="8"/>
  <c r="A57" i="8"/>
  <c r="E56" i="8"/>
  <c r="D56" i="8"/>
  <c r="B56" i="8"/>
  <c r="A56" i="8"/>
  <c r="E55" i="8"/>
  <c r="D55" i="8"/>
  <c r="B55" i="8"/>
  <c r="A55" i="8"/>
  <c r="O5" i="3" s="1"/>
  <c r="A32" i="8"/>
  <c r="A33" i="8"/>
  <c r="A34" i="8"/>
  <c r="A35" i="8"/>
  <c r="A36" i="8"/>
  <c r="A37" i="8"/>
  <c r="A38" i="8"/>
  <c r="B32" i="8"/>
  <c r="B33" i="8"/>
  <c r="B34" i="8"/>
  <c r="B35" i="8"/>
  <c r="B36" i="8"/>
  <c r="B37" i="8"/>
  <c r="B38" i="8"/>
  <c r="D32" i="8"/>
  <c r="D33" i="8"/>
  <c r="D34" i="8"/>
  <c r="D35" i="8"/>
  <c r="D36" i="8"/>
  <c r="D37" i="8"/>
  <c r="D38" i="8"/>
  <c r="E32" i="8"/>
  <c r="E33" i="8"/>
  <c r="E34" i="8"/>
  <c r="E35" i="8"/>
  <c r="E36" i="8"/>
  <c r="E37" i="8"/>
  <c r="E38" i="8"/>
  <c r="O59" i="3" l="1"/>
  <c r="O41" i="3"/>
  <c r="O44" i="3"/>
  <c r="O43" i="3"/>
  <c r="O49" i="3"/>
  <c r="O47" i="3"/>
  <c r="O48" i="3"/>
  <c r="O61" i="3"/>
  <c r="O62" i="3"/>
  <c r="O63" i="3"/>
  <c r="O64" i="3"/>
  <c r="O65" i="3"/>
  <c r="O66" i="3"/>
  <c r="O67" i="3"/>
  <c r="O68" i="3"/>
  <c r="O69" i="3"/>
  <c r="O12" i="3"/>
  <c r="O15" i="3"/>
  <c r="O8" i="3"/>
  <c r="O58" i="3"/>
  <c r="O79" i="3"/>
  <c r="R59" i="3"/>
  <c r="R41" i="3"/>
  <c r="R44" i="3"/>
  <c r="R43" i="3"/>
  <c r="R49" i="3"/>
  <c r="R47" i="3"/>
  <c r="R48" i="3"/>
  <c r="R61" i="3"/>
  <c r="R62" i="3"/>
  <c r="R63" i="3"/>
  <c r="R64" i="3"/>
  <c r="R65" i="3"/>
  <c r="R66" i="3"/>
  <c r="R67" i="3"/>
  <c r="R68" i="3"/>
  <c r="R69" i="3"/>
  <c r="R12" i="3"/>
  <c r="R15" i="3"/>
  <c r="R8" i="3"/>
  <c r="R58" i="3"/>
  <c r="R79" i="3"/>
  <c r="T41" i="3"/>
  <c r="T44" i="3"/>
  <c r="T43" i="3"/>
  <c r="T49" i="3"/>
  <c r="T47" i="3"/>
  <c r="T48" i="3"/>
  <c r="T61" i="3"/>
  <c r="T62" i="3"/>
  <c r="T63" i="3"/>
  <c r="T64" i="3"/>
  <c r="T65" i="3"/>
  <c r="T66" i="3"/>
  <c r="T67" i="3"/>
  <c r="T68" i="3"/>
  <c r="T69" i="3"/>
  <c r="T12" i="3"/>
  <c r="T15" i="3"/>
  <c r="T8" i="3"/>
  <c r="T58" i="3"/>
  <c r="T79" i="3"/>
  <c r="T80" i="3"/>
  <c r="T78" i="3"/>
  <c r="T77" i="3"/>
  <c r="T76" i="3"/>
  <c r="T75" i="3"/>
  <c r="T74" i="3"/>
  <c r="T73" i="3"/>
  <c r="T72" i="3"/>
  <c r="T71" i="3"/>
  <c r="T70" i="3"/>
  <c r="T60" i="3"/>
  <c r="T59" i="3"/>
  <c r="T57" i="3"/>
  <c r="T56" i="3"/>
  <c r="T55" i="3"/>
  <c r="T54" i="3"/>
  <c r="T53" i="3"/>
  <c r="T52" i="3"/>
  <c r="T51" i="3"/>
  <c r="T50" i="3"/>
  <c r="T46" i="3"/>
  <c r="T45" i="3"/>
  <c r="T42" i="3"/>
  <c r="T40" i="3"/>
  <c r="T39" i="3"/>
  <c r="T38" i="3"/>
  <c r="T37" i="3"/>
  <c r="T36" i="3"/>
  <c r="T35" i="3"/>
  <c r="T34" i="3"/>
  <c r="T33" i="3"/>
  <c r="T32" i="3"/>
  <c r="T31" i="3"/>
  <c r="T30" i="3"/>
  <c r="T29" i="3"/>
  <c r="T28" i="3"/>
  <c r="T27" i="3"/>
  <c r="T26" i="3"/>
  <c r="T25" i="3"/>
  <c r="T24" i="3"/>
  <c r="T23" i="3"/>
  <c r="T22" i="3"/>
  <c r="T21" i="3"/>
  <c r="T20" i="3"/>
  <c r="T19" i="3"/>
  <c r="T18" i="3"/>
  <c r="T17" i="3"/>
  <c r="T16" i="3"/>
  <c r="T14" i="3"/>
  <c r="T13" i="3"/>
  <c r="T11" i="3"/>
  <c r="T10" i="3"/>
  <c r="T9" i="3"/>
  <c r="T7" i="3"/>
  <c r="T6" i="3"/>
  <c r="T4" i="3"/>
  <c r="O6" i="3"/>
  <c r="O7" i="3"/>
  <c r="O9" i="3"/>
  <c r="O10" i="3"/>
  <c r="O11" i="3"/>
  <c r="O13" i="3"/>
  <c r="O14" i="3"/>
  <c r="O16" i="3"/>
  <c r="O17" i="3"/>
  <c r="O18" i="3"/>
  <c r="O19" i="3"/>
  <c r="O20" i="3"/>
  <c r="O21" i="3"/>
  <c r="O22" i="3"/>
  <c r="O23" i="3"/>
  <c r="O24" i="3"/>
  <c r="O25" i="3"/>
  <c r="O26" i="3"/>
  <c r="O27" i="3"/>
  <c r="O28" i="3"/>
  <c r="O29" i="3"/>
  <c r="O30" i="3"/>
  <c r="O31" i="3"/>
  <c r="O32" i="3"/>
  <c r="O33" i="3"/>
  <c r="O34" i="3"/>
  <c r="O35" i="3"/>
  <c r="O36" i="3"/>
  <c r="O37" i="3"/>
  <c r="O38" i="3"/>
  <c r="O39" i="3"/>
  <c r="O40" i="3"/>
  <c r="O42" i="3"/>
  <c r="O45" i="3"/>
  <c r="O46" i="3"/>
  <c r="O50" i="3"/>
  <c r="O51" i="3"/>
  <c r="O52" i="3"/>
  <c r="O53" i="3"/>
  <c r="O54" i="3"/>
  <c r="O55" i="3"/>
  <c r="O56" i="3"/>
  <c r="O57" i="3"/>
  <c r="O60" i="3"/>
  <c r="O70" i="3"/>
  <c r="O71" i="3"/>
  <c r="O72" i="3"/>
  <c r="O73" i="3"/>
  <c r="O74" i="3"/>
  <c r="O75" i="3"/>
  <c r="O76" i="3"/>
  <c r="O77" i="3"/>
  <c r="O78" i="3"/>
  <c r="O80" i="3"/>
  <c r="O4" i="3"/>
  <c r="R4" i="3"/>
  <c r="R21" i="3"/>
  <c r="R9" i="3"/>
  <c r="R11" i="3"/>
  <c r="R10" i="3"/>
  <c r="R42" i="3"/>
  <c r="R29" i="3"/>
  <c r="R13" i="3"/>
  <c r="R14" i="3"/>
  <c r="R45" i="3"/>
  <c r="R46" i="3"/>
  <c r="R77" i="3"/>
  <c r="R16" i="3"/>
  <c r="R50" i="3"/>
  <c r="R51" i="3"/>
  <c r="R52" i="3"/>
  <c r="R53" i="3"/>
  <c r="R57" i="3"/>
  <c r="R56" i="3"/>
  <c r="R54" i="3"/>
  <c r="R55" i="3"/>
  <c r="R60" i="3"/>
  <c r="R22" i="3"/>
  <c r="R27" i="3"/>
  <c r="R37" i="3"/>
  <c r="R6" i="3"/>
  <c r="R38" i="3"/>
  <c r="R80" i="3"/>
  <c r="R17" i="3"/>
  <c r="R18" i="3"/>
  <c r="R19" i="3"/>
  <c r="R20" i="3"/>
  <c r="R25" i="3"/>
  <c r="R32" i="3"/>
  <c r="R33" i="3"/>
  <c r="R40" i="3"/>
  <c r="R31" i="3"/>
  <c r="R23" i="3"/>
  <c r="R36" i="3"/>
  <c r="R26" i="3"/>
  <c r="R30" i="3"/>
  <c r="R28" i="3"/>
  <c r="R24" i="3"/>
  <c r="R7" i="3"/>
  <c r="R35" i="3"/>
  <c r="R78" i="3"/>
  <c r="R39" i="3"/>
  <c r="R34" i="3"/>
  <c r="R71" i="3"/>
  <c r="R72" i="3"/>
  <c r="R74" i="3"/>
  <c r="R76" i="3"/>
  <c r="R70" i="3"/>
  <c r="R73" i="3"/>
  <c r="R75" i="3"/>
  <c r="A31" i="8"/>
  <c r="B31" i="8"/>
  <c r="D31" i="8"/>
  <c r="E31" i="8"/>
  <c r="J50" i="5" l="1"/>
  <c r="I50" i="5"/>
  <c r="H50" i="5"/>
  <c r="K50" i="5"/>
  <c r="K18" i="5"/>
  <c r="H18" i="5"/>
  <c r="J18" i="5"/>
  <c r="I18" i="5"/>
  <c r="K28" i="5"/>
  <c r="J28" i="5"/>
  <c r="I28" i="5"/>
  <c r="H28" i="5"/>
  <c r="J23" i="5"/>
  <c r="K23" i="5"/>
  <c r="I23" i="5"/>
  <c r="H23" i="5"/>
  <c r="J13" i="5"/>
  <c r="I13" i="5"/>
  <c r="H13" i="5"/>
  <c r="K13" i="5"/>
  <c r="C41" i="5"/>
  <c r="F41" i="5"/>
  <c r="B41" i="5"/>
  <c r="G41" i="5"/>
  <c r="D41" i="5"/>
  <c r="G43" i="5"/>
  <c r="F43" i="5"/>
  <c r="D43" i="5"/>
  <c r="B43" i="5"/>
  <c r="C43" i="5"/>
  <c r="D40" i="5"/>
  <c r="C40" i="5"/>
  <c r="G40" i="5"/>
  <c r="B40" i="5"/>
  <c r="F40" i="5"/>
  <c r="D45" i="5"/>
  <c r="C45" i="5"/>
  <c r="G45" i="5"/>
  <c r="F45" i="5"/>
  <c r="B45" i="5"/>
  <c r="G42" i="5"/>
  <c r="F42" i="5"/>
  <c r="B42" i="5"/>
  <c r="C42" i="5"/>
  <c r="D42" i="5"/>
  <c r="D44" i="5"/>
  <c r="C44" i="5"/>
  <c r="B44" i="5"/>
  <c r="G44" i="5"/>
  <c r="F44" i="5"/>
  <c r="G39" i="5"/>
  <c r="C39" i="5"/>
  <c r="D39" i="5"/>
  <c r="F39" i="5"/>
  <c r="B39" i="5"/>
  <c r="G46" i="5"/>
  <c r="B46" i="5"/>
  <c r="C46" i="5"/>
  <c r="D46" i="5"/>
  <c r="F46" i="5"/>
  <c r="G50" i="5"/>
  <c r="C50" i="5" l="1"/>
  <c r="D50" i="5"/>
  <c r="F50" i="5"/>
  <c r="B50" i="5"/>
  <c r="E84" i="8" l="1"/>
  <c r="D84" i="8"/>
  <c r="B84" i="8"/>
  <c r="A84" i="8"/>
  <c r="E83" i="8"/>
  <c r="D83" i="8"/>
  <c r="B83" i="8"/>
  <c r="A83" i="8"/>
  <c r="E82" i="8"/>
  <c r="D82" i="8"/>
  <c r="B82" i="8"/>
  <c r="A82" i="8"/>
  <c r="E81" i="8"/>
  <c r="D81" i="8"/>
  <c r="B81" i="8"/>
  <c r="A81" i="8"/>
  <c r="S5" i="3" s="1"/>
  <c r="S41" i="3" l="1"/>
  <c r="S44" i="3"/>
  <c r="S43" i="3"/>
  <c r="S49" i="3"/>
  <c r="S47" i="3"/>
  <c r="S48" i="3"/>
  <c r="S61" i="3"/>
  <c r="S62" i="3"/>
  <c r="S63" i="3"/>
  <c r="S64" i="3"/>
  <c r="S65" i="3"/>
  <c r="S66" i="3"/>
  <c r="S67" i="3"/>
  <c r="S68" i="3"/>
  <c r="S69" i="3"/>
  <c r="S12" i="3"/>
  <c r="S15" i="3"/>
  <c r="S8" i="3"/>
  <c r="S58" i="3"/>
  <c r="S79" i="3"/>
  <c r="S59" i="3"/>
  <c r="S4" i="3"/>
  <c r="S21" i="3"/>
  <c r="S9" i="3"/>
  <c r="S11" i="3"/>
  <c r="S10" i="3"/>
  <c r="S42" i="3"/>
  <c r="S29" i="3"/>
  <c r="S13" i="3"/>
  <c r="S14" i="3"/>
  <c r="S45" i="3"/>
  <c r="S46" i="3"/>
  <c r="S77" i="3"/>
  <c r="S16" i="3"/>
  <c r="S50" i="3"/>
  <c r="S51" i="3"/>
  <c r="S52" i="3"/>
  <c r="S53" i="3"/>
  <c r="S57" i="3"/>
  <c r="S56" i="3"/>
  <c r="S54" i="3"/>
  <c r="S55" i="3"/>
  <c r="S60" i="3"/>
  <c r="S22" i="3"/>
  <c r="S27" i="3"/>
  <c r="S37" i="3"/>
  <c r="S6" i="3"/>
  <c r="S38" i="3"/>
  <c r="S80" i="3"/>
  <c r="S17" i="3"/>
  <c r="S18" i="3"/>
  <c r="S19" i="3"/>
  <c r="S20" i="3"/>
  <c r="S25" i="3"/>
  <c r="S32" i="3"/>
  <c r="S33" i="3"/>
  <c r="S40" i="3"/>
  <c r="S31" i="3"/>
  <c r="S23" i="3"/>
  <c r="S36" i="3"/>
  <c r="S26" i="3"/>
  <c r="S30" i="3"/>
  <c r="S28" i="3"/>
  <c r="S24" i="3"/>
  <c r="S7" i="3"/>
  <c r="S35" i="3"/>
  <c r="S78" i="3"/>
  <c r="S39" i="3"/>
  <c r="S34" i="3"/>
  <c r="S71" i="3"/>
  <c r="S72" i="3"/>
  <c r="S74" i="3"/>
  <c r="S76" i="3"/>
  <c r="S70" i="3"/>
  <c r="S73" i="3"/>
  <c r="S75" i="3"/>
  <c r="E72" i="8"/>
  <c r="D72" i="8"/>
  <c r="B72" i="8"/>
  <c r="A72" i="8"/>
  <c r="E71" i="8"/>
  <c r="D71" i="8"/>
  <c r="B71" i="8"/>
  <c r="A71" i="8"/>
  <c r="E70" i="8"/>
  <c r="D70" i="8"/>
  <c r="B70" i="8"/>
  <c r="A70" i="8"/>
  <c r="E69" i="8"/>
  <c r="D69" i="8"/>
  <c r="B69" i="8"/>
  <c r="A69" i="8"/>
  <c r="E68" i="8"/>
  <c r="D68" i="8"/>
  <c r="B68" i="8"/>
  <c r="A68" i="8"/>
  <c r="E67" i="8"/>
  <c r="D67" i="8"/>
  <c r="B67" i="8"/>
  <c r="A67" i="8"/>
  <c r="Q5" i="3" s="1"/>
  <c r="Q41" i="3" l="1"/>
  <c r="Q44" i="3"/>
  <c r="Q43" i="3"/>
  <c r="Q49" i="3"/>
  <c r="Q47" i="3"/>
  <c r="Q48" i="3"/>
  <c r="Q61" i="3"/>
  <c r="Q62" i="3"/>
  <c r="Q63" i="3"/>
  <c r="Q64" i="3"/>
  <c r="Q65" i="3"/>
  <c r="Q66" i="3"/>
  <c r="Q67" i="3"/>
  <c r="Q68" i="3"/>
  <c r="Q69" i="3"/>
  <c r="Q12" i="3"/>
  <c r="Q15" i="3"/>
  <c r="Q8" i="3"/>
  <c r="Q58" i="3"/>
  <c r="Q79" i="3"/>
  <c r="Q59" i="3"/>
  <c r="Q60" i="3"/>
  <c r="Q22" i="3"/>
  <c r="Q27" i="3"/>
  <c r="Q37" i="3"/>
  <c r="Q6" i="3"/>
  <c r="Q38" i="3"/>
  <c r="Q80" i="3"/>
  <c r="Q17" i="3"/>
  <c r="Q18" i="3"/>
  <c r="Q19" i="3"/>
  <c r="Q20" i="3"/>
  <c r="Q25" i="3"/>
  <c r="Q32" i="3"/>
  <c r="Q33" i="3"/>
  <c r="Q40" i="3"/>
  <c r="Q31" i="3"/>
  <c r="Q23" i="3"/>
  <c r="Q36" i="3"/>
  <c r="Q26" i="3"/>
  <c r="Q30" i="3"/>
  <c r="Q28" i="3"/>
  <c r="Q24" i="3"/>
  <c r="Q7" i="3"/>
  <c r="Q35" i="3"/>
  <c r="Q78" i="3"/>
  <c r="Q39" i="3"/>
  <c r="Q34" i="3"/>
  <c r="Q71" i="3"/>
  <c r="Q72" i="3"/>
  <c r="Q74" i="3"/>
  <c r="Q76" i="3"/>
  <c r="Q70" i="3"/>
  <c r="Q73" i="3"/>
  <c r="Q75" i="3"/>
  <c r="Q9" i="3"/>
  <c r="Q56" i="3"/>
  <c r="Q46" i="3"/>
  <c r="Q16" i="3"/>
  <c r="Q29" i="3"/>
  <c r="Q21" i="3"/>
  <c r="Q54" i="3"/>
  <c r="Q77" i="3"/>
  <c r="Q51" i="3"/>
  <c r="Q4" i="3"/>
  <c r="Q14" i="3"/>
  <c r="Q10" i="3"/>
  <c r="Q11" i="3"/>
  <c r="Q45" i="3"/>
  <c r="Q50" i="3"/>
  <c r="Q42" i="3"/>
  <c r="Q13" i="3"/>
  <c r="Q57" i="3"/>
  <c r="Q52" i="3"/>
  <c r="Q55" i="3"/>
  <c r="Q53" i="3"/>
  <c r="E64" i="8"/>
  <c r="D64" i="8"/>
  <c r="B64" i="8"/>
  <c r="A64" i="8"/>
  <c r="E63" i="8"/>
  <c r="D63" i="8"/>
  <c r="B63" i="8"/>
  <c r="A63" i="8"/>
  <c r="E62" i="8"/>
  <c r="D62" i="8"/>
  <c r="B62" i="8"/>
  <c r="A62" i="8"/>
  <c r="E61" i="8"/>
  <c r="D61" i="8"/>
  <c r="B61" i="8"/>
  <c r="A61" i="8"/>
  <c r="P5" i="3" s="1"/>
  <c r="P59" i="3" l="1"/>
  <c r="P41" i="3"/>
  <c r="P44" i="3"/>
  <c r="P43" i="3"/>
  <c r="P49" i="3"/>
  <c r="P47" i="3"/>
  <c r="P48" i="3"/>
  <c r="P61" i="3"/>
  <c r="P62" i="3"/>
  <c r="P63" i="3"/>
  <c r="P64" i="3"/>
  <c r="P65" i="3"/>
  <c r="P66" i="3"/>
  <c r="P67" i="3"/>
  <c r="P68" i="3"/>
  <c r="P69" i="3"/>
  <c r="P12" i="3"/>
  <c r="P15" i="3"/>
  <c r="P8" i="3"/>
  <c r="P58" i="3"/>
  <c r="P79" i="3"/>
  <c r="P22" i="3"/>
  <c r="P27" i="3"/>
  <c r="P37" i="3"/>
  <c r="P6" i="3"/>
  <c r="P38" i="3"/>
  <c r="P80" i="3"/>
  <c r="P17" i="3"/>
  <c r="P18" i="3"/>
  <c r="P19" i="3"/>
  <c r="P20" i="3"/>
  <c r="P25" i="3"/>
  <c r="P32" i="3"/>
  <c r="P33" i="3"/>
  <c r="P40" i="3"/>
  <c r="P31" i="3"/>
  <c r="P23" i="3"/>
  <c r="P36" i="3"/>
  <c r="P26" i="3"/>
  <c r="P30" i="3"/>
  <c r="P28" i="3"/>
  <c r="P24" i="3"/>
  <c r="P7" i="3"/>
  <c r="P35" i="3"/>
  <c r="P78" i="3"/>
  <c r="P39" i="3"/>
  <c r="P34" i="3"/>
  <c r="P71" i="3"/>
  <c r="P72" i="3"/>
  <c r="P74" i="3"/>
  <c r="P76" i="3"/>
  <c r="P70" i="3"/>
  <c r="P73" i="3"/>
  <c r="P75" i="3"/>
  <c r="P57" i="3"/>
  <c r="P14" i="3"/>
  <c r="P29" i="3"/>
  <c r="P45" i="3"/>
  <c r="P51" i="3"/>
  <c r="P56" i="3"/>
  <c r="P10" i="3"/>
  <c r="P50" i="3"/>
  <c r="P54" i="3"/>
  <c r="P11" i="3"/>
  <c r="P77" i="3"/>
  <c r="P21" i="3"/>
  <c r="P4" i="3"/>
  <c r="P42" i="3"/>
  <c r="P53" i="3"/>
  <c r="P55" i="3"/>
  <c r="P9" i="3"/>
  <c r="P60" i="3"/>
  <c r="P13" i="3"/>
  <c r="P52" i="3"/>
  <c r="P46" i="3"/>
  <c r="P16" i="3"/>
  <c r="E52" i="8" l="1"/>
  <c r="D52" i="8"/>
  <c r="B52" i="8"/>
  <c r="A52" i="8"/>
  <c r="E51" i="8"/>
  <c r="D51" i="8"/>
  <c r="B51" i="8"/>
  <c r="A51" i="8"/>
  <c r="E50" i="8"/>
  <c r="D50" i="8"/>
  <c r="B50" i="8"/>
  <c r="A50" i="8"/>
  <c r="E49" i="8"/>
  <c r="D49" i="8"/>
  <c r="B49" i="8"/>
  <c r="A49" i="8"/>
  <c r="N5" i="3" s="1"/>
  <c r="N41" i="3" l="1"/>
  <c r="N44" i="3"/>
  <c r="N43" i="3"/>
  <c r="N49" i="3"/>
  <c r="N47" i="3"/>
  <c r="N48" i="3"/>
  <c r="N61" i="3"/>
  <c r="N62" i="3"/>
  <c r="N63" i="3"/>
  <c r="N64" i="3"/>
  <c r="N65" i="3"/>
  <c r="N66" i="3"/>
  <c r="N67" i="3"/>
  <c r="N68" i="3"/>
  <c r="N69" i="3"/>
  <c r="N12" i="3"/>
  <c r="N15" i="3"/>
  <c r="N8" i="3"/>
  <c r="N58" i="3"/>
  <c r="N79" i="3"/>
  <c r="N59" i="3"/>
  <c r="N22" i="3"/>
  <c r="N27" i="3"/>
  <c r="N37" i="3"/>
  <c r="N6" i="3"/>
  <c r="N38" i="3"/>
  <c r="N80" i="3"/>
  <c r="N17" i="3"/>
  <c r="N18" i="3"/>
  <c r="N19" i="3"/>
  <c r="N20" i="3"/>
  <c r="N25" i="3"/>
  <c r="N32" i="3"/>
  <c r="N33" i="3"/>
  <c r="N40" i="3"/>
  <c r="N31" i="3"/>
  <c r="N23" i="3"/>
  <c r="N36" i="3"/>
  <c r="N26" i="3"/>
  <c r="N30" i="3"/>
  <c r="N28" i="3"/>
  <c r="N24" i="3"/>
  <c r="N7" i="3"/>
  <c r="N35" i="3"/>
  <c r="N78" i="3"/>
  <c r="N39" i="3"/>
  <c r="N34" i="3"/>
  <c r="N71" i="3"/>
  <c r="N72" i="3"/>
  <c r="N74" i="3"/>
  <c r="N76" i="3"/>
  <c r="N70" i="3"/>
  <c r="N73" i="3"/>
  <c r="N75" i="3"/>
  <c r="N9" i="3"/>
  <c r="N21" i="3"/>
  <c r="N57" i="3"/>
  <c r="N46" i="3"/>
  <c r="N16" i="3"/>
  <c r="N54" i="3"/>
  <c r="N14" i="3"/>
  <c r="N51" i="3"/>
  <c r="N10" i="3"/>
  <c r="N77" i="3"/>
  <c r="N11" i="3"/>
  <c r="N45" i="3"/>
  <c r="N50" i="3"/>
  <c r="N29" i="3"/>
  <c r="N53" i="3"/>
  <c r="N42" i="3"/>
  <c r="N55" i="3"/>
  <c r="N13" i="3"/>
  <c r="N60" i="3"/>
  <c r="N4" i="3"/>
  <c r="N52" i="3"/>
  <c r="N56" i="3"/>
  <c r="A26" i="8"/>
  <c r="A27" i="8"/>
  <c r="A28" i="8"/>
  <c r="A29" i="8"/>
  <c r="A30" i="8"/>
  <c r="B26" i="8"/>
  <c r="B27" i="8"/>
  <c r="B28" i="8"/>
  <c r="B29" i="8"/>
  <c r="B30" i="8"/>
  <c r="D26" i="8"/>
  <c r="D27" i="8"/>
  <c r="D28" i="8"/>
  <c r="D29" i="8"/>
  <c r="D30" i="8"/>
  <c r="E26" i="8"/>
  <c r="E27" i="8"/>
  <c r="E28" i="8"/>
  <c r="E29" i="8"/>
  <c r="E30" i="8"/>
  <c r="A25" i="8"/>
  <c r="B25" i="8"/>
  <c r="D25" i="8"/>
  <c r="E25" i="8"/>
  <c r="A3" i="8" l="1"/>
  <c r="A7" i="8"/>
  <c r="A8" i="8"/>
  <c r="A9" i="8"/>
  <c r="A11" i="8"/>
  <c r="A12" i="8"/>
  <c r="A13" i="8"/>
  <c r="A14" i="8"/>
  <c r="A15" i="8"/>
  <c r="A16" i="8"/>
  <c r="A17" i="8"/>
  <c r="A18" i="8"/>
  <c r="A19" i="8"/>
  <c r="A20" i="8"/>
  <c r="A21" i="8"/>
  <c r="A22" i="8"/>
  <c r="A23" i="8"/>
  <c r="A24" i="8"/>
  <c r="B7" i="8"/>
  <c r="B8" i="8"/>
  <c r="B9" i="8"/>
  <c r="B11" i="8"/>
  <c r="B12" i="8"/>
  <c r="B13" i="8"/>
  <c r="B14" i="8"/>
  <c r="B15" i="8"/>
  <c r="B16" i="8"/>
  <c r="B17" i="8"/>
  <c r="B18" i="8"/>
  <c r="B19" i="8"/>
  <c r="B20" i="8"/>
  <c r="B21" i="8"/>
  <c r="B22" i="8"/>
  <c r="B23" i="8"/>
  <c r="B24" i="8"/>
  <c r="D7" i="8"/>
  <c r="D8" i="8"/>
  <c r="D9" i="8"/>
  <c r="D11" i="8"/>
  <c r="D12" i="8"/>
  <c r="D13" i="8"/>
  <c r="D14" i="8"/>
  <c r="D15" i="8"/>
  <c r="D16" i="8"/>
  <c r="D17" i="8"/>
  <c r="D18" i="8"/>
  <c r="D19" i="8"/>
  <c r="D20" i="8"/>
  <c r="D21" i="8"/>
  <c r="D22" i="8"/>
  <c r="D23" i="8"/>
  <c r="D24" i="8"/>
  <c r="E7" i="8"/>
  <c r="E8" i="8"/>
  <c r="E9" i="8"/>
  <c r="E11" i="8"/>
  <c r="E12" i="8"/>
  <c r="E13" i="8"/>
  <c r="E14" i="8"/>
  <c r="E15" i="8"/>
  <c r="E16" i="8"/>
  <c r="E17" i="8"/>
  <c r="E18" i="8"/>
  <c r="E19" i="8"/>
  <c r="E20" i="8"/>
  <c r="E21" i="8"/>
  <c r="E22" i="8"/>
  <c r="E23" i="8"/>
  <c r="E24" i="8"/>
  <c r="B41" i="8" l="1"/>
  <c r="E41" i="8"/>
  <c r="E42" i="8"/>
  <c r="E43" i="8"/>
  <c r="E44" i="8"/>
  <c r="E45" i="8"/>
  <c r="E46" i="8"/>
  <c r="D41" i="8"/>
  <c r="D42" i="8"/>
  <c r="D43" i="8"/>
  <c r="D44" i="8"/>
  <c r="D45" i="8"/>
  <c r="D46" i="8"/>
  <c r="B42" i="8"/>
  <c r="B43" i="8"/>
  <c r="B44" i="8"/>
  <c r="B45" i="8"/>
  <c r="B46" i="8"/>
  <c r="A41" i="8"/>
  <c r="A42" i="8"/>
  <c r="A43" i="8"/>
  <c r="A44" i="8"/>
  <c r="A45" i="8"/>
  <c r="A46" i="8"/>
  <c r="E3" i="8"/>
  <c r="E4" i="8"/>
  <c r="E5" i="8"/>
  <c r="E6" i="8"/>
  <c r="D3" i="8"/>
  <c r="D4" i="8"/>
  <c r="D5" i="8"/>
  <c r="D6" i="8"/>
  <c r="B3" i="8"/>
  <c r="B4" i="8"/>
  <c r="B5" i="8"/>
  <c r="B6" i="8"/>
  <c r="A4" i="8"/>
  <c r="A5" i="8"/>
  <c r="A6" i="8"/>
  <c r="L5" i="3" l="1"/>
  <c r="M5" i="3"/>
  <c r="L41" i="3"/>
  <c r="L44" i="3"/>
  <c r="L43" i="3"/>
  <c r="L49" i="3"/>
  <c r="L47" i="3"/>
  <c r="L48" i="3"/>
  <c r="L61" i="3"/>
  <c r="L62" i="3"/>
  <c r="L63" i="3"/>
  <c r="L64" i="3"/>
  <c r="L65" i="3"/>
  <c r="L66" i="3"/>
  <c r="L67" i="3"/>
  <c r="L68" i="3"/>
  <c r="L69" i="3"/>
  <c r="L12" i="3"/>
  <c r="L15" i="3"/>
  <c r="L8" i="3"/>
  <c r="L58" i="3"/>
  <c r="L79" i="3"/>
  <c r="M41" i="3"/>
  <c r="M44" i="3"/>
  <c r="M43" i="3"/>
  <c r="M49" i="3"/>
  <c r="M47" i="3"/>
  <c r="M48" i="3"/>
  <c r="M61" i="3"/>
  <c r="M62" i="3"/>
  <c r="M63" i="3"/>
  <c r="M64" i="3"/>
  <c r="M65" i="3"/>
  <c r="M66" i="3"/>
  <c r="M67" i="3"/>
  <c r="M68" i="3"/>
  <c r="M69" i="3"/>
  <c r="M12" i="3"/>
  <c r="M15" i="3"/>
  <c r="M8" i="3"/>
  <c r="M58" i="3"/>
  <c r="M79" i="3"/>
  <c r="L59" i="3"/>
  <c r="M59" i="3"/>
  <c r="L22" i="3"/>
  <c r="L27" i="3"/>
  <c r="L37" i="3"/>
  <c r="L6" i="3"/>
  <c r="L38" i="3"/>
  <c r="L80" i="3"/>
  <c r="L17" i="3"/>
  <c r="L18" i="3"/>
  <c r="L19" i="3"/>
  <c r="L20" i="3"/>
  <c r="L25" i="3"/>
  <c r="L32" i="3"/>
  <c r="L33" i="3"/>
  <c r="L40" i="3"/>
  <c r="L31" i="3"/>
  <c r="L23" i="3"/>
  <c r="L36" i="3"/>
  <c r="L26" i="3"/>
  <c r="L30" i="3"/>
  <c r="L28" i="3"/>
  <c r="L24" i="3"/>
  <c r="L7" i="3"/>
  <c r="L35" i="3"/>
  <c r="L78" i="3"/>
  <c r="L39" i="3"/>
  <c r="L34" i="3"/>
  <c r="L71" i="3"/>
  <c r="L72" i="3"/>
  <c r="L74" i="3"/>
  <c r="L76" i="3"/>
  <c r="L70" i="3"/>
  <c r="L73" i="3"/>
  <c r="L75" i="3"/>
  <c r="M4" i="3"/>
  <c r="M21" i="3"/>
  <c r="M9" i="3"/>
  <c r="M11" i="3"/>
  <c r="M10" i="3"/>
  <c r="M42" i="3"/>
  <c r="M22" i="3"/>
  <c r="M27" i="3"/>
  <c r="M37" i="3"/>
  <c r="M6" i="3"/>
  <c r="M38" i="3"/>
  <c r="M80" i="3"/>
  <c r="M17" i="3"/>
  <c r="M18" i="3"/>
  <c r="M19" i="3"/>
  <c r="M20" i="3"/>
  <c r="M25" i="3"/>
  <c r="M32" i="3"/>
  <c r="M33" i="3"/>
  <c r="M40" i="3"/>
  <c r="M31" i="3"/>
  <c r="M23" i="3"/>
  <c r="M36" i="3"/>
  <c r="M26" i="3"/>
  <c r="M30" i="3"/>
  <c r="M28" i="3"/>
  <c r="M24" i="3"/>
  <c r="M7" i="3"/>
  <c r="M35" i="3"/>
  <c r="M78" i="3"/>
  <c r="M39" i="3"/>
  <c r="M34" i="3"/>
  <c r="M71" i="3"/>
  <c r="M72" i="3"/>
  <c r="M74" i="3"/>
  <c r="M76" i="3"/>
  <c r="M70" i="3"/>
  <c r="M73" i="3"/>
  <c r="M75" i="3"/>
  <c r="L13" i="3"/>
  <c r="L52" i="3"/>
  <c r="L50" i="3"/>
  <c r="L9" i="3"/>
  <c r="L14" i="3"/>
  <c r="L51" i="3"/>
  <c r="L16" i="3"/>
  <c r="L45" i="3"/>
  <c r="L77" i="3"/>
  <c r="L46" i="3"/>
  <c r="L11" i="3"/>
  <c r="L10" i="3"/>
  <c r="L57" i="3"/>
  <c r="L4" i="3"/>
  <c r="L60" i="3"/>
  <c r="L53" i="3"/>
  <c r="L42" i="3"/>
  <c r="L54" i="3"/>
  <c r="L56" i="3"/>
  <c r="L21" i="3"/>
  <c r="M60" i="3"/>
  <c r="M57" i="3"/>
  <c r="M14" i="3"/>
  <c r="M56" i="3"/>
  <c r="M55" i="3"/>
  <c r="M54" i="3"/>
  <c r="M45" i="3"/>
  <c r="M50" i="3"/>
  <c r="M29" i="3"/>
  <c r="M13" i="3"/>
  <c r="M51" i="3"/>
  <c r="M52" i="3"/>
  <c r="M46" i="3"/>
  <c r="M16" i="3"/>
  <c r="M53" i="3"/>
  <c r="M77" i="3"/>
  <c r="L55" i="3"/>
  <c r="L29" i="3"/>
  <c r="G7" i="5"/>
  <c r="C35" i="5" l="1"/>
  <c r="F35" i="5"/>
  <c r="G35" i="5"/>
  <c r="B35" i="5"/>
  <c r="D35" i="5"/>
  <c r="B36" i="5"/>
  <c r="F36" i="5"/>
  <c r="G36" i="5"/>
  <c r="D36" i="5"/>
  <c r="C36" i="5"/>
  <c r="B32" i="5"/>
  <c r="C32" i="5"/>
  <c r="G32" i="5"/>
  <c r="F32" i="5"/>
  <c r="D32" i="5"/>
  <c r="D37" i="5"/>
  <c r="B37" i="5"/>
  <c r="C37" i="5"/>
  <c r="F37" i="5"/>
  <c r="G37" i="5"/>
  <c r="D34" i="5"/>
  <c r="B34" i="5"/>
  <c r="C34" i="5"/>
  <c r="F34" i="5"/>
  <c r="G34" i="5"/>
  <c r="C31" i="5"/>
  <c r="G31" i="5"/>
  <c r="F31" i="5"/>
  <c r="B31" i="5"/>
  <c r="C33" i="5"/>
  <c r="G33" i="5"/>
  <c r="F33" i="5"/>
  <c r="B33" i="5"/>
  <c r="D33" i="5"/>
  <c r="D30" i="5"/>
  <c r="F30" i="5"/>
  <c r="B30" i="5"/>
  <c r="C30" i="5"/>
  <c r="G30" i="5"/>
  <c r="F22" i="5" l="1"/>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alcChain>
</file>

<file path=xl/sharedStrings.xml><?xml version="1.0" encoding="utf-8"?>
<sst xmlns="http://schemas.openxmlformats.org/spreadsheetml/2006/main" count="1330" uniqueCount="318">
  <si>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</si>
  <si>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</si>
  <si>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</si>
  <si>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</si>
  <si>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</si>
  <si>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</si>
  <si>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</si>
  <si>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</si>
  <si>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</si>
  <si>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Full-Time Enrolment Planner</t>
  </si>
  <si>
    <t>Course:</t>
  </si>
  <si>
    <t>Bachelor of Applied Science (Interior Architecture) (Honours)</t>
  </si>
  <si>
    <t>Course version:</t>
  </si>
  <si>
    <t>Specialisation:</t>
  </si>
  <si>
    <t>Graphic Design Specialisation</t>
  </si>
  <si>
    <t>Specialisation version:</t>
  </si>
  <si>
    <t>Commencing:</t>
  </si>
  <si>
    <t>Semester 1 (February - June)</t>
  </si>
  <si>
    <t>Credits to Complete:</t>
  </si>
  <si>
    <t>2024 Availabilities</t>
  </si>
  <si>
    <t>Year 1</t>
  </si>
  <si>
    <t>Study Period</t>
  </si>
  <si>
    <t>Pre Requisite(s)</t>
  </si>
  <si>
    <t>CP</t>
  </si>
  <si>
    <t>Sem1 BEN</t>
  </si>
  <si>
    <t>Sem1 FO</t>
  </si>
  <si>
    <t>Sem2 BEN</t>
  </si>
  <si>
    <t>Sem2 FO</t>
  </si>
  <si>
    <t>Progress</t>
  </si>
  <si>
    <t>Year 2</t>
  </si>
  <si>
    <t>Year 3</t>
  </si>
  <si>
    <t>Year 4</t>
  </si>
  <si>
    <t>Specialisation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</si>
  <si>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</si>
  <si>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</si>
  <si>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</si>
  <si>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</si>
  <si>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Interior Architecture</t>
  </si>
  <si>
    <t>RangeUnitSets</t>
  </si>
  <si>
    <t>BH-INARCHSem1</t>
  </si>
  <si>
    <t>BH-INARCHSem2</t>
  </si>
  <si>
    <t>Y1Sem1</t>
  </si>
  <si>
    <t>COMS1010</t>
  </si>
  <si>
    <t>Y1Sem2</t>
  </si>
  <si>
    <t>INAR1012</t>
  </si>
  <si>
    <t>TableCourses</t>
  </si>
  <si>
    <t>INAR1010</t>
  </si>
  <si>
    <t>ARCH1016</t>
  </si>
  <si>
    <t>Choose your Course (drop-down list)</t>
  </si>
  <si>
    <t>Version</t>
  </si>
  <si>
    <t>Credit Points</t>
  </si>
  <si>
    <t>Effective Date</t>
  </si>
  <si>
    <t>Akari Update</t>
  </si>
  <si>
    <t>ARCH1018</t>
  </si>
  <si>
    <t>ARCH1015</t>
  </si>
  <si>
    <t>BH-INARCH</t>
  </si>
  <si>
    <t>v.1</t>
  </si>
  <si>
    <t>800 credit points required</t>
  </si>
  <si>
    <t>Sem1; Sem2 (CRL only)</t>
  </si>
  <si>
    <t>Spec</t>
  </si>
  <si>
    <t>TableStudyPeriod</t>
  </si>
  <si>
    <t>Choose your commencing study period (drop-down list)</t>
  </si>
  <si>
    <t>START</t>
  </si>
  <si>
    <t>Next</t>
  </si>
  <si>
    <t>Sem1</t>
  </si>
  <si>
    <t>Sem2</t>
  </si>
  <si>
    <t>Semester 2 (July -  November)</t>
  </si>
  <si>
    <t>Y2Sem1</t>
  </si>
  <si>
    <t>INAR2007</t>
  </si>
  <si>
    <t>Y2Sem2</t>
  </si>
  <si>
    <t>ARCH2023</t>
  </si>
  <si>
    <t>ARCH2024</t>
  </si>
  <si>
    <t>INAR2012</t>
  </si>
  <si>
    <t>TableSpecialisations</t>
  </si>
  <si>
    <t>INAR2022</t>
  </si>
  <si>
    <t>GRDE2004</t>
  </si>
  <si>
    <t>Choose your Specialisation (drop-down list)</t>
  </si>
  <si>
    <t>Animation and Game Architecture Design Specialisation</t>
  </si>
  <si>
    <t>SPUC-ANGAD</t>
  </si>
  <si>
    <t>100 credit points</t>
  </si>
  <si>
    <t>Architectural Technology Specialisation</t>
  </si>
  <si>
    <t>SPUE-ARCHT</t>
  </si>
  <si>
    <t>Construction Management Specialisation</t>
  </si>
  <si>
    <t>SPUC-CONMS</t>
  </si>
  <si>
    <t>Design Thinking and Visual Communication Specialisation</t>
  </si>
  <si>
    <t>SPUC-DSGNV</t>
  </si>
  <si>
    <t>Digital Design Specialisation</t>
  </si>
  <si>
    <t>SPUC-DIGDE</t>
  </si>
  <si>
    <t>Y3</t>
  </si>
  <si>
    <t>URDE3007</t>
  </si>
  <si>
    <t>Y3Sem2</t>
  </si>
  <si>
    <t>SPUC-GRPDS</t>
  </si>
  <si>
    <t>INAR2024</t>
  </si>
  <si>
    <t>Photography Specialisation</t>
  </si>
  <si>
    <t>SPUC-PHOTO</t>
  </si>
  <si>
    <t>ARCH3006</t>
  </si>
  <si>
    <t>Principles of Planning Specialisation</t>
  </si>
  <si>
    <t>SPUC-PRINP</t>
  </si>
  <si>
    <t>INAR3020</t>
  </si>
  <si>
    <t>Urban Design and Planning Specialisation</t>
  </si>
  <si>
    <t>SPUC-URDES</t>
  </si>
  <si>
    <t>INAR3022</t>
  </si>
  <si>
    <t>Y3Sem1</t>
  </si>
  <si>
    <t>INAR3024</t>
  </si>
  <si>
    <t>INAR3005</t>
  </si>
  <si>
    <t>INAR3010</t>
  </si>
  <si>
    <t>Y4</t>
  </si>
  <si>
    <t>INAR4023</t>
  </si>
  <si>
    <t>Y4Sem2</t>
  </si>
  <si>
    <t>INAR4025</t>
  </si>
  <si>
    <t>INAR4027</t>
  </si>
  <si>
    <t>27/02/2024 - Need to confirm sequencing with Aleksa</t>
  </si>
  <si>
    <t>INAR4029</t>
  </si>
  <si>
    <t>INAR4031</t>
  </si>
  <si>
    <t>Y4Sem1</t>
  </si>
  <si>
    <t>-</t>
  </si>
  <si>
    <t>INAR4033</t>
  </si>
  <si>
    <t>Spec Unit</t>
  </si>
  <si>
    <t>50CP Unit</t>
  </si>
  <si>
    <t>RangeSpecialisations</t>
  </si>
  <si>
    <t>Spec1</t>
  </si>
  <si>
    <t>GRDE1001</t>
  </si>
  <si>
    <t>ARCH1004</t>
  </si>
  <si>
    <t>BLDG1000</t>
  </si>
  <si>
    <t>GRDE1016</t>
  </si>
  <si>
    <t>GRDE1004</t>
  </si>
  <si>
    <t>GRDE1005</t>
  </si>
  <si>
    <t>GRDE2027</t>
  </si>
  <si>
    <t>URDE1003</t>
  </si>
  <si>
    <t>URDE1002</t>
  </si>
  <si>
    <t>Spec2</t>
  </si>
  <si>
    <t>GRDE1020</t>
  </si>
  <si>
    <t>ARCH1025</t>
  </si>
  <si>
    <t>BLDG1001</t>
  </si>
  <si>
    <t>GRDE2011</t>
  </si>
  <si>
    <t>GRDE1018</t>
  </si>
  <si>
    <t>GRDE1026</t>
  </si>
  <si>
    <t>GRDE2025</t>
  </si>
  <si>
    <t>URDE1006</t>
  </si>
  <si>
    <t>URDE1010</t>
  </si>
  <si>
    <t>Spec3</t>
  </si>
  <si>
    <t>GRDE2037</t>
  </si>
  <si>
    <t>ARCH2025</t>
  </si>
  <si>
    <t>BLDG2024</t>
  </si>
  <si>
    <t>GRDE2013</t>
  </si>
  <si>
    <t>GRDE2008</t>
  </si>
  <si>
    <t>GRDE2007</t>
  </si>
  <si>
    <t>VISA3018</t>
  </si>
  <si>
    <t>URDE2001</t>
  </si>
  <si>
    <t>URDE2007</t>
  </si>
  <si>
    <t>Spec4</t>
  </si>
  <si>
    <t>AND</t>
  </si>
  <si>
    <t>BLAW3030</t>
  </si>
  <si>
    <t>ICTE2002</t>
  </si>
  <si>
    <t>GRDE3036</t>
  </si>
  <si>
    <t>URDE3002</t>
  </si>
  <si>
    <t>Spec5</t>
  </si>
  <si>
    <t>AC-ANGAD</t>
  </si>
  <si>
    <t>Opt-ARCHT</t>
  </si>
  <si>
    <t>AC-GRPDS</t>
  </si>
  <si>
    <t>Spec6</t>
  </si>
  <si>
    <t>GRDE3030</t>
  </si>
  <si>
    <t>Spec7</t>
  </si>
  <si>
    <t>WORK3000</t>
  </si>
  <si>
    <t>WORK2005</t>
  </si>
  <si>
    <t>GRDE2026</t>
  </si>
  <si>
    <t>Spec8</t>
  </si>
  <si>
    <t>Pre Reqs issue for Spec units</t>
  </si>
  <si>
    <t>Sequence issues with Pre Reqs &amp; Availabilities</t>
  </si>
  <si>
    <t>Pre Req(s) not available to BH-INARCH students</t>
  </si>
  <si>
    <t>Title</t>
  </si>
  <si>
    <t>S1INT</t>
  </si>
  <si>
    <t>S1FO</t>
  </si>
  <si>
    <t>S2INT</t>
  </si>
  <si>
    <t>S2FO</t>
  </si>
  <si>
    <t>Notes</t>
  </si>
  <si>
    <t>Please note this is a 50CP unit</t>
  </si>
  <si>
    <t>--</t>
  </si>
  <si>
    <t>Semester 2 commencement is only available via CRL or Part-time study - Contact Course Coordinator</t>
  </si>
  <si>
    <t>Study either GRDE3030 or WORK3000</t>
  </si>
  <si>
    <t>Study either GRDE2008 or GRDE2026</t>
  </si>
  <si>
    <t>Sustainability and Structures in Architecture</t>
  </si>
  <si>
    <t>None</t>
  </si>
  <si>
    <t>Architecture and Interior Architecture Design Studio 1 - Small Structures</t>
  </si>
  <si>
    <t>ARCH1016*</t>
  </si>
  <si>
    <t>Concurrent Pre Requisite</t>
  </si>
  <si>
    <t>Architecture and Interior Architecture Methods 1B - Digital Literacy</t>
  </si>
  <si>
    <t>Architecture and Interior Architecture Methods 1A - Analogue Literacy</t>
  </si>
  <si>
    <t>Architectural Science in Context</t>
  </si>
  <si>
    <t>Architecture Methods 2B - Information Visualisation</t>
  </si>
  <si>
    <t>ARCH1015 + ARCH1016 + ARCH1018</t>
  </si>
  <si>
    <t>Architecture and Interior Architecture Design Studio 2A - Residential Typology and Grammar</t>
  </si>
  <si>
    <t>(ARCH1015 or INAR1003) + (ARCH1016 or INAR1007) + (ARCH1018 or INAR1008)</t>
  </si>
  <si>
    <t>Architecture Methods 2A - Digital Fabrication</t>
  </si>
  <si>
    <t>Environmental and Building Systems in Architecture (detail coming)</t>
  </si>
  <si>
    <t>ARCH2003 or ARCH2023</t>
  </si>
  <si>
    <t>Construction Contracts and Law</t>
  </si>
  <si>
    <t>Low Rise Construction</t>
  </si>
  <si>
    <t>High-rise Construction</t>
  </si>
  <si>
    <t>Building Surveying</t>
  </si>
  <si>
    <t>Academic and Professional Communications</t>
  </si>
  <si>
    <t>Animation Design Introduction</t>
  </si>
  <si>
    <t>Design Computing</t>
  </si>
  <si>
    <t>Typography</t>
  </si>
  <si>
    <t>Digital Design 1</t>
  </si>
  <si>
    <t>UX Design 1</t>
  </si>
  <si>
    <t>Game Design Introduction</t>
  </si>
  <si>
    <t>Start Design Thinking</t>
  </si>
  <si>
    <t>3D Modelling and Digital Fabrication</t>
  </si>
  <si>
    <t>ARCH1016 or GRDE2003</t>
  </si>
  <si>
    <t>Graphic Design 2</t>
  </si>
  <si>
    <t>Design Thinking and Visual Narrative</t>
  </si>
  <si>
    <t>Web Design 1</t>
  </si>
  <si>
    <t>GRDE1016 or GRDE1018</t>
  </si>
  <si>
    <t>Web Design 2</t>
  </si>
  <si>
    <t>Photography Studio Processes</t>
  </si>
  <si>
    <t>Creative Design Studio</t>
  </si>
  <si>
    <t>GRDE1004 + GRDE1005</t>
  </si>
  <si>
    <t>IntArch students cannot study Pre Req GRDE1004</t>
  </si>
  <si>
    <t>Photography Contexts and Practice</t>
  </si>
  <si>
    <t>3D Level Design</t>
  </si>
  <si>
    <t>GRDE1001 or GRDE1020</t>
  </si>
  <si>
    <t>Industry Project Development</t>
  </si>
  <si>
    <t>GRDE3001 or GRDE3014 or GRDE3015 or GRDE3029</t>
  </si>
  <si>
    <t>IntArch students cannot study any Pre Reqs</t>
  </si>
  <si>
    <t>Photography Project</t>
  </si>
  <si>
    <t>UX Design 2</t>
  </si>
  <si>
    <t>Interior Architecture Studio - Foundation</t>
  </si>
  <si>
    <t>History of the Interior</t>
  </si>
  <si>
    <t>Interior Architecture Fundamentals</t>
  </si>
  <si>
    <t>ARCH1016 or INAR1007</t>
  </si>
  <si>
    <t>Interior Architecture Studio – Community</t>
  </si>
  <si>
    <t>Philosophy and Practice</t>
  </si>
  <si>
    <t>Design Fabrication (detail coming)</t>
  </si>
  <si>
    <t>Interior Architecture Studio - Well-being (detail coming)</t>
  </si>
  <si>
    <t>INAR2012 + (ARCH2024 or INAR2013)</t>
  </si>
  <si>
    <t>Interior Architecture Studio - Workplace (detail coming)</t>
  </si>
  <si>
    <t>Furniture Design (detail coming)</t>
  </si>
  <si>
    <t>Effective 2025 - Sem 2</t>
  </si>
  <si>
    <t>Interior Architecture Practice 1 (detail coming)</t>
  </si>
  <si>
    <t>200CP</t>
  </si>
  <si>
    <t>Effective 2025 - Sem 1</t>
  </si>
  <si>
    <t>Interior Architecture Practice 2 (detail coming)</t>
  </si>
  <si>
    <t>Adaptive Reuse and Heritage (detail coming)</t>
  </si>
  <si>
    <t>INAR3005 + INAR3010</t>
  </si>
  <si>
    <t>Design for Indoor Comfort (detail coming)</t>
  </si>
  <si>
    <t>Interior Lighting Design (detail coming)</t>
  </si>
  <si>
    <t>Sustainable Future and the Built Environment (detail coming)</t>
  </si>
  <si>
    <t>Interior Architecture Honours Proposal (detail coming)</t>
  </si>
  <si>
    <t>INAR3005 + INAR3010 + (URDE3007 or INAR3015)</t>
  </si>
  <si>
    <t>Effective 2024 - Sem 1</t>
  </si>
  <si>
    <t>Interior Architecture Honours Project (detail coming)</t>
  </si>
  <si>
    <t>INAR4031 or INAR4010</t>
  </si>
  <si>
    <t>Effective 2024 - Sem 1 ?Should be Sem 2?</t>
  </si>
  <si>
    <t>Study one Option unit from the list below</t>
  </si>
  <si>
    <t>Study one unit from your chosen specialisation (see below)</t>
  </si>
  <si>
    <t>See below</t>
  </si>
  <si>
    <t>Specialisation</t>
  </si>
  <si>
    <t>Choose a Specialisation</t>
  </si>
  <si>
    <t>Planning Graphics and Design</t>
  </si>
  <si>
    <t>Governance for Planning</t>
  </si>
  <si>
    <t>Introduction to Planning</t>
  </si>
  <si>
    <t>Urban Transport Systems</t>
  </si>
  <si>
    <t>Participatory Planning</t>
  </si>
  <si>
    <t>Site Planning</t>
  </si>
  <si>
    <t>Urban Regeneration</t>
  </si>
  <si>
    <t>Design and Built Environment Research Methods</t>
  </si>
  <si>
    <t>Photography Professional Practices 1</t>
  </si>
  <si>
    <t>Go Global - Internship 2 (with approval)</t>
  </si>
  <si>
    <t>See Handbook</t>
  </si>
  <si>
    <t>Work Based Project (with approval)</t>
  </si>
  <si>
    <t>Effective:</t>
  </si>
  <si>
    <t>Downloaded:</t>
  </si>
  <si>
    <t>V</t>
  </si>
  <si>
    <t>OUA Code</t>
  </si>
  <si>
    <t>CPs</t>
  </si>
  <si>
    <t>No.</t>
  </si>
  <si>
    <t>Component Type</t>
  </si>
  <si>
    <t>Year Level</t>
  </si>
  <si>
    <t>Study Package Code</t>
  </si>
  <si>
    <t>Structure Line</t>
  </si>
  <si>
    <t>Effective</t>
  </si>
  <si>
    <t>Discont.</t>
  </si>
  <si>
    <t>SPK</t>
  </si>
  <si>
    <t>Core</t>
  </si>
  <si>
    <t>NA</t>
  </si>
  <si>
    <t>Design Fabrication</t>
  </si>
  <si>
    <t>Environmental and Building Systems in Architecture</t>
  </si>
  <si>
    <t>Furniture Design</t>
  </si>
  <si>
    <t>Interior Architecture Practice 1</t>
  </si>
  <si>
    <t>Interior Architecture Practice 2</t>
  </si>
  <si>
    <t>Interior Architecture Studio - Well-being</t>
  </si>
  <si>
    <t>Interior Architecture Studio - Workplace</t>
  </si>
  <si>
    <t>Adaptive Reuse and Heritage</t>
  </si>
  <si>
    <t>Design for Indoor Comfort</t>
  </si>
  <si>
    <t>Interior Architecture Honours Project</t>
  </si>
  <si>
    <t>Interior Architecture Honours Proposal</t>
  </si>
  <si>
    <t>Interior Lighting Design</t>
  </si>
  <si>
    <t>Sustainable Future and the Built Environment</t>
  </si>
  <si>
    <t>Option</t>
  </si>
  <si>
    <t>AltCore</t>
  </si>
  <si>
    <t>Choose GRDE3030 or WORK3000</t>
  </si>
  <si>
    <t>AltCoreANGAD</t>
  </si>
  <si>
    <t>Work Based Project</t>
  </si>
  <si>
    <t/>
  </si>
  <si>
    <t>Choose GRDE2008 or GRDE2026</t>
  </si>
  <si>
    <t>AltCoreGRPDS</t>
  </si>
  <si>
    <t>Choose an Option</t>
  </si>
  <si>
    <t>OptARCHT</t>
  </si>
  <si>
    <t>Go Global - Internship 2</t>
  </si>
  <si>
    <t>Downloaded 2024:</t>
  </si>
  <si>
    <t>Semester 1</t>
  </si>
  <si>
    <t>Semester 2</t>
  </si>
  <si>
    <t>Row Labels</t>
  </si>
  <si>
    <t>Internal</t>
  </si>
  <si>
    <t>Online</t>
  </si>
  <si>
    <t>Internal2</t>
  </si>
  <si>
    <t>Online3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</si>
</sst>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color rgb="FFFF0000"/>
      <name val="Calibri"/>
      <family val="2"/>
      <scheme val="minor"/>
    </font>
    <font>
      <b/>
      <sz val="8"/>
      <color rgb="FFFF0000"/>
      <name val="Arial"/>
      <family val="2"/>
    </font>
    <font>
      <b/>
      <sz val="16"/>
      <color theme="1"/>
      <name val="Segoe UI"/>
      <family val="2"/>
    </font>
    <font>
      <b/>
      <i/>
      <sz val="12"/>
      <color theme="0" tint="-0.34998626667073579"/>
      <name val="Calibri"/>
      <family val="2"/>
      <scheme val="minor"/>
    </font>
    <font>
      <b/>
      <sz val="12"/>
      <color theme="0"/>
      <name val="Segoe UI"/>
      <family val="2"/>
    </font>
    <font>
      <b/>
      <i/>
      <sz val="12"/>
      <color theme="0"/>
      <name val="Segoe UI"/>
      <family val="2"/>
    </font>
    <font>
      <b/>
      <sz val="10"/>
      <color rgb="FFFF0000"/>
      <name val="Segoe UI"/>
      <family val="2"/>
    </font>
    <font>
      <sz val="12"/>
      <name val="Calibri"/>
      <family val="2"/>
      <scheme val="minor"/>
    </font>
    <font>
      <b/>
      <sz val="11"/>
      <name val="Segoe UI"/>
      <family val="2"/>
    </font>
    <font>
      <i/>
      <sz val="9"/>
      <color theme="1"/>
      <name val="Segoe UI"/>
      <family val="2"/>
    </font>
    <font>
      <i/>
      <sz val="8"/>
      <color theme="1"/>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FF00"/>
        <bgColor rgb="FF000000"/>
      </patternFill>
    </fill>
    <fill>
      <patternFill patternType="solid">
        <fgColor theme="8"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228">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applyAlignment="1">
      <alignment horizontal="center"/>
    </xf>
    <xf numFmtId="0" fontId="8"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28" fillId="5" borderId="0" xfId="2" applyFont="1" applyFill="1" applyAlignment="1" applyProtection="1">
      <alignment vertical="center"/>
    </xf>
    <xf numFmtId="0" fontId="27" fillId="5" borderId="0" xfId="2" applyFill="1" applyAlignment="1" applyProtection="1">
      <alignment vertical="center"/>
    </xf>
    <xf numFmtId="0" fontId="17"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6" fillId="0" borderId="0" xfId="0" applyFont="1"/>
    <xf numFmtId="0" fontId="0" fillId="0" borderId="5" xfId="0" applyBorder="1"/>
    <xf numFmtId="0" fontId="2" fillId="3" borderId="1" xfId="0" applyFont="1" applyFill="1" applyBorder="1" applyAlignment="1">
      <alignment horizontal="right" vertical="center"/>
    </xf>
    <xf numFmtId="0" fontId="21" fillId="2" borderId="21" xfId="1" applyFont="1" applyFill="1" applyBorder="1" applyAlignment="1" applyProtection="1">
      <alignment horizontal="left" vertical="center" wrapText="1"/>
      <protection locked="0"/>
    </xf>
    <xf numFmtId="0" fontId="5" fillId="4" borderId="11" xfId="0" applyFont="1" applyFill="1" applyBorder="1" applyAlignment="1">
      <alignment horizontal="left"/>
    </xf>
    <xf numFmtId="0" fontId="10" fillId="6" borderId="7" xfId="0" applyFont="1" applyFill="1" applyBorder="1" applyAlignment="1">
      <alignment horizontal="center"/>
    </xf>
    <xf numFmtId="0" fontId="10" fillId="6" borderId="8" xfId="0" applyFont="1" applyFill="1" applyBorder="1" applyAlignment="1">
      <alignment horizontal="center"/>
    </xf>
    <xf numFmtId="0" fontId="5" fillId="4" borderId="3" xfId="0" applyFont="1" applyFill="1" applyBorder="1" applyAlignment="1">
      <alignment horizontal="left"/>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44" fillId="0" borderId="0" xfId="0" applyFont="1"/>
    <xf numFmtId="0" fontId="44" fillId="0" borderId="0" xfId="0" applyFont="1" applyAlignment="1">
      <alignment horizontal="right"/>
    </xf>
    <xf numFmtId="14" fontId="44" fillId="0" borderId="0" xfId="0" applyNumberFormat="1" applyFont="1"/>
    <xf numFmtId="0" fontId="0" fillId="0" borderId="25" xfId="0" applyBorder="1" applyAlignment="1">
      <alignment horizontal="center"/>
    </xf>
    <xf numFmtId="0" fontId="10" fillId="6" borderId="1" xfId="0" applyFont="1" applyFill="1" applyBorder="1" applyAlignment="1">
      <alignment horizontal="center"/>
    </xf>
    <xf numFmtId="0" fontId="10" fillId="6" borderId="3" xfId="0" applyFont="1" applyFill="1" applyBorder="1" applyAlignment="1">
      <alignment horizontal="center"/>
    </xf>
    <xf numFmtId="0" fontId="6" fillId="6" borderId="3" xfId="0" applyFont="1" applyFill="1" applyBorder="1" applyAlignment="1">
      <alignment horizontal="center"/>
    </xf>
    <xf numFmtId="0" fontId="10" fillId="6" borderId="2" xfId="0" applyFont="1" applyFill="1" applyBorder="1" applyAlignment="1">
      <alignment horizontal="center"/>
    </xf>
    <xf numFmtId="0" fontId="3" fillId="0" borderId="9" xfId="0" applyFont="1" applyBorder="1" applyAlignment="1">
      <alignment horizontal="center" vertic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8" borderId="8" xfId="0" applyFont="1" applyFill="1" applyBorder="1" applyAlignment="1">
      <alignment horizontal="center" vertical="center"/>
    </xf>
    <xf numFmtId="0" fontId="4" fillId="8" borderId="5" xfId="0" applyFont="1" applyFill="1" applyBorder="1" applyAlignment="1">
      <alignment horizontal="center" vertical="center"/>
    </xf>
    <xf numFmtId="0" fontId="45" fillId="0" borderId="0" xfId="0" applyFont="1"/>
    <xf numFmtId="0" fontId="3" fillId="8" borderId="7" xfId="0" applyFont="1" applyFill="1" applyBorder="1" applyAlignment="1">
      <alignment horizontal="center" vertical="center"/>
    </xf>
    <xf numFmtId="0" fontId="3" fillId="8" borderId="10"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10" xfId="0" applyFont="1" applyFill="1" applyBorder="1" applyAlignment="1">
      <alignment horizontal="center" vertical="center"/>
    </xf>
    <xf numFmtId="0" fontId="4" fillId="9" borderId="0" xfId="0" applyFont="1" applyFill="1" applyAlignment="1">
      <alignment horizontal="center" vertical="center"/>
    </xf>
    <xf numFmtId="0" fontId="4" fillId="9" borderId="8" xfId="0" applyFont="1" applyFill="1" applyBorder="1" applyAlignment="1">
      <alignment horizontal="center" vertical="center"/>
    </xf>
    <xf numFmtId="0" fontId="10" fillId="7" borderId="0" xfId="0" applyFont="1" applyFill="1" applyAlignment="1">
      <alignment wrapText="1"/>
    </xf>
    <xf numFmtId="0" fontId="7" fillId="7" borderId="0" xfId="0" applyFont="1" applyFill="1" applyAlignment="1">
      <alignment wrapText="1"/>
    </xf>
    <xf numFmtId="0" fontId="46" fillId="11" borderId="6" xfId="0" applyFont="1" applyFill="1" applyBorder="1" applyAlignment="1">
      <alignment horizontal="right" vertical="center"/>
    </xf>
    <xf numFmtId="0" fontId="9" fillId="10" borderId="8" xfId="0" applyFont="1" applyFill="1" applyBorder="1" applyAlignment="1">
      <alignment horizontal="center" vertical="center"/>
    </xf>
    <xf numFmtId="0" fontId="10" fillId="6" borderId="4" xfId="0" applyFont="1" applyFill="1" applyBorder="1" applyAlignment="1">
      <alignment horizontal="center"/>
    </xf>
    <xf numFmtId="0" fontId="10" fillId="6" borderId="5" xfId="0" applyFont="1" applyFill="1" applyBorder="1" applyAlignment="1">
      <alignment horizontal="center"/>
    </xf>
    <xf numFmtId="0" fontId="6" fillId="6" borderId="5" xfId="0" applyFont="1" applyFill="1" applyBorder="1" applyAlignment="1">
      <alignment horizontal="center"/>
    </xf>
    <xf numFmtId="0" fontId="10" fillId="6" borderId="6" xfId="0" applyFont="1" applyFill="1" applyBorder="1" applyAlignment="1">
      <alignment horizontal="center"/>
    </xf>
    <xf numFmtId="0" fontId="21" fillId="0" borderId="21" xfId="1" applyFont="1" applyBorder="1" applyAlignment="1" applyProtection="1">
      <alignment horizontal="left" vertical="center" wrapText="1"/>
      <protection locked="0"/>
    </xf>
    <xf numFmtId="14" fontId="0" fillId="0" borderId="0" xfId="0" applyNumberFormat="1"/>
    <xf numFmtId="0" fontId="7" fillId="0" borderId="0" xfId="0" applyFont="1" applyAlignment="1">
      <alignment horizontal="left"/>
    </xf>
    <xf numFmtId="0" fontId="48" fillId="0" borderId="0" xfId="0" applyFont="1" applyAlignment="1">
      <alignment horizontal="right"/>
    </xf>
    <xf numFmtId="0" fontId="48" fillId="0" borderId="0" xfId="0" applyFont="1" applyAlignment="1">
      <alignment horizontal="left"/>
    </xf>
    <xf numFmtId="0" fontId="0" fillId="10" borderId="0" xfId="0" applyFill="1"/>
    <xf numFmtId="14" fontId="0" fillId="10" borderId="0" xfId="0" applyNumberFormat="1" applyFill="1"/>
    <xf numFmtId="0" fontId="45" fillId="10" borderId="0" xfId="0" applyFont="1" applyFill="1"/>
    <xf numFmtId="0" fontId="44" fillId="13" borderId="0" xfId="0" applyFont="1" applyFill="1"/>
    <xf numFmtId="0" fontId="6" fillId="0" borderId="0" xfId="0" applyFont="1" applyAlignment="1">
      <alignment horizontal="left"/>
    </xf>
    <xf numFmtId="0" fontId="10" fillId="6" borderId="0" xfId="0" applyFont="1" applyFill="1" applyAlignment="1">
      <alignment horizontal="center"/>
    </xf>
    <xf numFmtId="0" fontId="6" fillId="6" borderId="0" xfId="0" applyFont="1" applyFill="1" applyAlignment="1">
      <alignment horizontal="center"/>
    </xf>
    <xf numFmtId="0" fontId="5" fillId="4" borderId="27" xfId="0" applyFont="1" applyFill="1" applyBorder="1" applyAlignment="1">
      <alignment horizontal="left" textRotation="90"/>
    </xf>
    <xf numFmtId="0" fontId="10" fillId="6" borderId="27" xfId="0" applyFont="1" applyFill="1" applyBorder="1" applyAlignment="1">
      <alignment horizontal="center"/>
    </xf>
    <xf numFmtId="0" fontId="10" fillId="13" borderId="0" xfId="0" applyFont="1" applyFill="1" applyAlignment="1">
      <alignment horizontal="center" wrapText="1"/>
    </xf>
    <xf numFmtId="0" fontId="9" fillId="0" borderId="0" xfId="0" applyFont="1" applyAlignment="1">
      <alignment horizontal="center" vertical="center" wrapText="1"/>
    </xf>
    <xf numFmtId="0" fontId="8" fillId="0" borderId="0" xfId="0" applyFont="1" applyAlignment="1">
      <alignment horizontal="center"/>
    </xf>
    <xf numFmtId="14" fontId="10" fillId="0" borderId="0" xfId="0" applyNumberFormat="1" applyFont="1" applyAlignment="1">
      <alignment horizontal="center"/>
    </xf>
    <xf numFmtId="0" fontId="10" fillId="13" borderId="0" xfId="0" applyFont="1" applyFill="1" applyAlignment="1">
      <alignment horizontal="center"/>
    </xf>
    <xf numFmtId="14" fontId="6" fillId="0" borderId="0" xfId="0" applyNumberFormat="1" applyFont="1" applyAlignment="1">
      <alignment horizontal="center"/>
    </xf>
    <xf numFmtId="14" fontId="6" fillId="13" borderId="0" xfId="0" applyNumberFormat="1" applyFont="1" applyFill="1" applyAlignment="1">
      <alignment horizontal="center"/>
    </xf>
    <xf numFmtId="0" fontId="6" fillId="13" borderId="0" xfId="0" applyFont="1" applyFill="1" applyAlignment="1">
      <alignment horizontal="center"/>
    </xf>
    <xf numFmtId="0" fontId="0" fillId="0" borderId="0" xfId="0" applyAlignment="1">
      <alignment horizontal="right"/>
    </xf>
    <xf numFmtId="0" fontId="52" fillId="0" borderId="0" xfId="0" applyFont="1"/>
    <xf numFmtId="14" fontId="44" fillId="13" borderId="0" xfId="0" applyNumberFormat="1" applyFont="1" applyFill="1"/>
    <xf numFmtId="0" fontId="10" fillId="6" borderId="28" xfId="0" applyFont="1" applyFill="1" applyBorder="1" applyAlignment="1">
      <alignment horizontal="center"/>
    </xf>
    <xf numFmtId="0" fontId="5" fillId="4" borderId="1" xfId="0" applyFont="1" applyFill="1" applyBorder="1" applyAlignment="1">
      <alignment horizontal="left" textRotation="90"/>
    </xf>
    <xf numFmtId="0" fontId="5" fillId="4" borderId="3" xfId="0" applyFont="1" applyFill="1" applyBorder="1" applyAlignment="1">
      <alignment horizontal="left" textRotation="90"/>
    </xf>
    <xf numFmtId="0" fontId="5" fillId="4" borderId="2" xfId="0" applyFont="1" applyFill="1" applyBorder="1" applyAlignment="1">
      <alignment horizontal="left" textRotation="90"/>
    </xf>
    <xf numFmtId="0" fontId="8" fillId="7" borderId="0" xfId="0" applyFont="1" applyFill="1" applyAlignment="1">
      <alignment wrapText="1"/>
    </xf>
    <xf numFmtId="0" fontId="4" fillId="0" borderId="6" xfId="0" quotePrefix="1" applyFont="1" applyBorder="1" applyAlignment="1">
      <alignment horizontal="center" vertical="center"/>
    </xf>
    <xf numFmtId="0" fontId="21" fillId="14" borderId="18" xfId="1" applyFont="1" applyFill="1" applyBorder="1" applyAlignment="1" applyProtection="1">
      <alignment horizontal="center" vertical="center" wrapText="1"/>
      <protection locked="0"/>
    </xf>
    <xf numFmtId="0" fontId="54" fillId="2" borderId="21" xfId="1" applyFont="1" applyFill="1" applyBorder="1" applyAlignment="1" applyProtection="1">
      <alignment horizontal="left" vertical="center" wrapText="1"/>
      <protection locked="0"/>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9" fillId="10" borderId="5" xfId="0" applyFont="1" applyFill="1" applyBorder="1" applyAlignment="1">
      <alignment horizontal="center" vertical="center" wrapText="1"/>
    </xf>
    <xf numFmtId="0" fontId="17" fillId="0" borderId="12" xfId="1" applyFont="1" applyBorder="1" applyAlignment="1" applyProtection="1">
      <alignment horizontal="center"/>
    </xf>
    <xf numFmtId="0" fontId="17" fillId="0" borderId="13" xfId="1" applyFont="1" applyBorder="1" applyAlignment="1" applyProtection="1">
      <alignment horizontal="center"/>
    </xf>
    <xf numFmtId="0" fontId="17" fillId="0" borderId="13" xfId="1" applyFont="1" applyBorder="1" applyProtection="1"/>
    <xf numFmtId="0" fontId="17" fillId="0" borderId="14" xfId="1" applyFont="1" applyBorder="1" applyProtection="1"/>
    <xf numFmtId="0" fontId="1" fillId="0" borderId="0" xfId="1" applyProtection="1"/>
    <xf numFmtId="0" fontId="17" fillId="0" borderId="0" xfId="1" applyFont="1" applyAlignment="1" applyProtection="1">
      <alignment horizontal="center"/>
    </xf>
    <xf numFmtId="0" fontId="9" fillId="0" borderId="0" xfId="1" applyFont="1" applyAlignment="1" applyProtection="1">
      <alignment horizontal="center" vertical="center"/>
    </xf>
    <xf numFmtId="0" fontId="17" fillId="0" borderId="0" xfId="1" applyFont="1" applyProtection="1"/>
    <xf numFmtId="0" fontId="39" fillId="12" borderId="15" xfId="1" applyFont="1" applyFill="1" applyBorder="1" applyAlignment="1" applyProtection="1">
      <alignment horizontal="left" vertical="center" wrapText="1"/>
    </xf>
    <xf numFmtId="0" fontId="39" fillId="12" borderId="0" xfId="1" applyFont="1" applyFill="1" applyAlignment="1" applyProtection="1">
      <alignment vertical="center" wrapText="1"/>
    </xf>
    <xf numFmtId="0" fontId="18" fillId="14" borderId="16" xfId="1" applyFont="1" applyFill="1" applyBorder="1" applyAlignment="1" applyProtection="1">
      <alignment vertical="center"/>
    </xf>
    <xf numFmtId="0" fontId="18" fillId="14" borderId="17" xfId="1" applyFont="1" applyFill="1" applyBorder="1" applyAlignment="1" applyProtection="1">
      <alignment vertical="center"/>
    </xf>
    <xf numFmtId="0" fontId="47" fillId="14" borderId="17" xfId="1" applyFont="1" applyFill="1" applyBorder="1" applyAlignment="1" applyProtection="1">
      <alignment horizontal="right" vertical="center"/>
    </xf>
    <xf numFmtId="0" fontId="47" fillId="14" borderId="17" xfId="1" applyFont="1" applyFill="1" applyBorder="1" applyAlignment="1" applyProtection="1">
      <alignment horizontal="center" vertical="center"/>
    </xf>
    <xf numFmtId="0" fontId="42" fillId="14" borderId="17" xfId="1" applyFont="1" applyFill="1" applyBorder="1" applyAlignment="1" applyProtection="1">
      <alignment vertical="center"/>
    </xf>
    <xf numFmtId="0" fontId="1" fillId="0" borderId="0" xfId="1" applyAlignment="1" applyProtection="1">
      <alignment horizontal="center"/>
    </xf>
    <xf numFmtId="0" fontId="19"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53" fillId="2" borderId="0" xfId="1" applyFont="1" applyFill="1" applyAlignment="1" applyProtection="1">
      <alignment vertical="center"/>
    </xf>
    <xf numFmtId="0" fontId="19" fillId="2" borderId="0" xfId="1" applyFont="1" applyFill="1" applyAlignment="1" applyProtection="1">
      <alignment vertical="center"/>
    </xf>
    <xf numFmtId="0" fontId="37" fillId="0" borderId="0" xfId="1" applyFont="1" applyAlignment="1" applyProtection="1">
      <alignment horizontal="right" vertical="center" wrapText="1"/>
    </xf>
    <xf numFmtId="0" fontId="19" fillId="2" borderId="0" xfId="1" applyFont="1" applyFill="1" applyAlignment="1" applyProtection="1">
      <alignment horizontal="left" vertical="center"/>
    </xf>
    <xf numFmtId="0" fontId="19"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22" fillId="12" borderId="0" xfId="1" applyFont="1" applyFill="1" applyAlignment="1" applyProtection="1">
      <alignment horizontal="center" vertical="center"/>
    </xf>
    <xf numFmtId="0" fontId="22" fillId="12" borderId="0" xfId="1" applyFont="1" applyFill="1" applyAlignment="1" applyProtection="1">
      <alignment horizontal="left" vertical="center" indent="1"/>
    </xf>
    <xf numFmtId="0" fontId="22" fillId="12" borderId="0" xfId="1" applyFont="1" applyFill="1" applyAlignment="1" applyProtection="1">
      <alignment vertical="center"/>
    </xf>
    <xf numFmtId="0" fontId="22" fillId="12" borderId="22" xfId="1" applyFont="1" applyFill="1" applyBorder="1" applyAlignment="1" applyProtection="1">
      <alignment horizontal="left" vertical="center"/>
    </xf>
    <xf numFmtId="0" fontId="22" fillId="12" borderId="0" xfId="1" applyFont="1" applyFill="1" applyAlignment="1" applyProtection="1">
      <alignment horizontal="left" vertical="center"/>
    </xf>
    <xf numFmtId="0" fontId="22" fillId="12" borderId="18"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2" borderId="0" xfId="1" applyFont="1" applyFill="1" applyAlignment="1" applyProtection="1">
      <alignment horizontal="left" vertical="center" shrinkToFit="1"/>
    </xf>
    <xf numFmtId="0" fontId="22" fillId="12" borderId="0" xfId="1" applyFont="1" applyFill="1" applyAlignment="1" applyProtection="1">
      <alignment horizontal="center" vertical="center" wrapText="1"/>
    </xf>
    <xf numFmtId="0" fontId="22" fillId="12" borderId="22" xfId="1" applyFont="1" applyFill="1" applyBorder="1" applyAlignment="1" applyProtection="1">
      <alignment horizontal="center" vertical="center" wrapText="1"/>
    </xf>
    <xf numFmtId="0" fontId="22" fillId="12" borderId="18"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21" fillId="2" borderId="20" xfId="1" applyFont="1" applyFill="1" applyBorder="1" applyAlignment="1" applyProtection="1">
      <alignment vertical="center" shrinkToFit="1"/>
    </xf>
    <xf numFmtId="0" fontId="24" fillId="2" borderId="20" xfId="1" applyFont="1" applyFill="1" applyBorder="1" applyAlignment="1" applyProtection="1">
      <alignment horizontal="center" vertical="center" wrapText="1"/>
    </xf>
    <xf numFmtId="0" fontId="21" fillId="2" borderId="23" xfId="1" applyFont="1" applyFill="1" applyBorder="1" applyAlignment="1" applyProtection="1">
      <alignment horizontal="center" vertical="center" wrapText="1"/>
    </xf>
    <xf numFmtId="0" fontId="21" fillId="2" borderId="24" xfId="1" applyFont="1" applyFill="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4" borderId="14" xfId="1" applyFont="1" applyFill="1" applyBorder="1" applyAlignment="1" applyProtection="1">
      <alignment horizontal="center" vertical="center" wrapText="1"/>
    </xf>
    <xf numFmtId="0" fontId="21" fillId="14" borderId="0" xfId="1" applyFont="1" applyFill="1" applyAlignment="1" applyProtection="1">
      <alignment horizontal="center" vertical="center" wrapText="1"/>
    </xf>
    <xf numFmtId="0" fontId="21" fillId="14" borderId="0" xfId="1" applyFont="1" applyFill="1" applyAlignment="1" applyProtection="1">
      <alignment vertical="center" shrinkToFit="1"/>
    </xf>
    <xf numFmtId="0" fontId="24" fillId="14" borderId="0" xfId="1" applyFont="1" applyFill="1" applyAlignment="1" applyProtection="1">
      <alignment horizontal="left" vertical="center" wrapText="1"/>
    </xf>
    <xf numFmtId="0" fontId="21" fillId="14" borderId="22" xfId="1" applyFont="1" applyFill="1" applyBorder="1" applyAlignment="1" applyProtection="1">
      <alignment horizontal="center" vertical="center" wrapText="1"/>
    </xf>
    <xf numFmtId="0" fontId="21" fillId="14" borderId="18" xfId="1" applyFont="1" applyFill="1" applyBorder="1" applyAlignment="1" applyProtection="1">
      <alignment horizontal="center" vertical="center" wrapText="1"/>
    </xf>
    <xf numFmtId="0" fontId="21" fillId="0" borderId="20" xfId="1" applyFont="1" applyBorder="1" applyAlignment="1" applyProtection="1">
      <alignment horizontal="center" vertical="center" wrapText="1"/>
    </xf>
    <xf numFmtId="0" fontId="21" fillId="0" borderId="23"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20" xfId="1" applyFont="1" applyBorder="1" applyAlignment="1" applyProtection="1">
      <alignment horizontal="left" vertical="center" shrinkToFit="1"/>
    </xf>
    <xf numFmtId="0" fontId="23" fillId="2" borderId="0" xfId="1" applyFont="1" applyFill="1" applyAlignment="1" applyProtection="1">
      <alignment horizontal="center" vertical="center"/>
    </xf>
    <xf numFmtId="0" fontId="21" fillId="0" borderId="20" xfId="1" applyFont="1" applyBorder="1" applyAlignment="1" applyProtection="1">
      <alignment vertical="center" shrinkToFit="1"/>
    </xf>
    <xf numFmtId="0" fontId="54" fillId="2" borderId="19" xfId="1" applyFont="1" applyFill="1" applyBorder="1" applyAlignment="1" applyProtection="1">
      <alignment horizontal="center" vertical="center" wrapText="1"/>
    </xf>
    <xf numFmtId="0" fontId="54" fillId="0" borderId="20" xfId="1" applyFont="1" applyBorder="1" applyAlignment="1" applyProtection="1">
      <alignment horizontal="center" vertical="center" wrapText="1"/>
    </xf>
    <xf numFmtId="0" fontId="54" fillId="0" borderId="20" xfId="1" applyFont="1" applyBorder="1" applyAlignment="1" applyProtection="1">
      <alignment vertical="center" shrinkToFit="1"/>
    </xf>
    <xf numFmtId="0" fontId="55" fillId="2" borderId="20" xfId="1" applyFont="1" applyFill="1" applyBorder="1" applyAlignment="1" applyProtection="1">
      <alignment horizontal="center" vertical="center" wrapText="1"/>
    </xf>
    <xf numFmtId="0" fontId="54" fillId="2" borderId="20" xfId="1" applyFont="1" applyFill="1" applyBorder="1" applyAlignment="1" applyProtection="1">
      <alignment horizontal="center" vertical="center" wrapText="1"/>
    </xf>
    <xf numFmtId="0" fontId="54" fillId="2" borderId="23" xfId="1" applyFont="1" applyFill="1" applyBorder="1" applyAlignment="1" applyProtection="1">
      <alignment horizontal="center" vertical="center" wrapText="1"/>
    </xf>
    <xf numFmtId="0" fontId="54" fillId="2" borderId="24" xfId="1" applyFont="1" applyFill="1" applyBorder="1" applyAlignment="1" applyProtection="1">
      <alignment horizontal="center" vertical="center" wrapText="1"/>
    </xf>
    <xf numFmtId="0" fontId="54" fillId="0" borderId="20" xfId="1" applyFont="1" applyBorder="1" applyAlignment="1" applyProtection="1">
      <alignment horizontal="left" vertical="center" shrinkToFi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shrinkToFi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wrapText="1"/>
    </xf>
    <xf numFmtId="0" fontId="34" fillId="2" borderId="0" xfId="1" applyFont="1" applyFill="1" applyAlignment="1" applyProtection="1">
      <alignment vertical="center"/>
    </xf>
    <xf numFmtId="0" fontId="35" fillId="2" borderId="0" xfId="1" applyFont="1" applyFill="1" applyAlignment="1" applyProtection="1">
      <alignment horizontal="center" vertical="center"/>
    </xf>
    <xf numFmtId="0" fontId="35" fillId="2" borderId="0" xfId="1" applyFont="1" applyFill="1" applyProtection="1"/>
    <xf numFmtId="0" fontId="12" fillId="2" borderId="0" xfId="1" applyFont="1" applyFill="1" applyProtection="1"/>
    <xf numFmtId="0" fontId="49" fillId="12" borderId="0" xfId="1" applyFont="1" applyFill="1" applyAlignment="1" applyProtection="1">
      <alignment horizontal="left" vertical="center" readingOrder="1"/>
    </xf>
    <xf numFmtId="0" fontId="37" fillId="12" borderId="0" xfId="1" applyFont="1" applyFill="1" applyAlignment="1" applyProtection="1">
      <alignment horizontal="left" vertical="center" readingOrder="1"/>
    </xf>
    <xf numFmtId="0" fontId="20" fillId="12" borderId="0" xfId="1" applyFont="1" applyFill="1" applyAlignment="1" applyProtection="1">
      <alignment horizontal="left" vertical="center" shrinkToFit="1"/>
    </xf>
    <xf numFmtId="0" fontId="41" fillId="12" borderId="0" xfId="1" applyFont="1" applyFill="1" applyAlignment="1" applyProtection="1">
      <alignment horizontal="center" vertical="center" readingOrder="1"/>
    </xf>
    <xf numFmtId="0" fontId="41" fillId="12" borderId="0" xfId="1" applyFont="1" applyFill="1" applyAlignment="1" applyProtection="1">
      <alignment horizontal="center" vertical="center" wrapText="1"/>
    </xf>
    <xf numFmtId="0" fontId="22" fillId="12" borderId="22" xfId="1" applyFont="1" applyFill="1" applyBorder="1" applyAlignment="1" applyProtection="1">
      <alignment vertical="center" readingOrder="1"/>
    </xf>
    <xf numFmtId="0" fontId="22" fillId="12" borderId="0" xfId="1" applyFont="1" applyFill="1" applyAlignment="1" applyProtection="1">
      <alignment vertical="center" readingOrder="1"/>
    </xf>
    <xf numFmtId="0" fontId="41" fillId="12" borderId="0" xfId="1" applyFont="1" applyFill="1" applyAlignment="1" applyProtection="1">
      <alignment vertical="center" readingOrder="1"/>
    </xf>
    <xf numFmtId="0" fontId="41" fillId="12" borderId="18" xfId="1" applyFont="1" applyFill="1" applyBorder="1" applyAlignment="1" applyProtection="1">
      <alignment vertical="center" readingOrder="1"/>
    </xf>
    <xf numFmtId="0" fontId="38" fillId="12" borderId="0" xfId="1" applyFont="1" applyFill="1" applyProtection="1"/>
    <xf numFmtId="0" fontId="1" fillId="0" borderId="0" xfId="1" applyAlignment="1" applyProtection="1">
      <alignment horizontal="center" vertical="center"/>
    </xf>
    <xf numFmtId="0" fontId="50" fillId="12" borderId="0" xfId="1" applyFont="1" applyFill="1" applyAlignment="1" applyProtection="1">
      <alignment horizontal="left" vertical="center" readingOrder="1"/>
    </xf>
    <xf numFmtId="0" fontId="37" fillId="12" borderId="0" xfId="1" applyFont="1" applyFill="1" applyAlignment="1" applyProtection="1">
      <alignment horizontal="left" vertical="top" indent="1"/>
    </xf>
    <xf numFmtId="0" fontId="37" fillId="12" borderId="0" xfId="1" applyFont="1" applyFill="1" applyAlignment="1" applyProtection="1">
      <alignment horizontal="center" vertical="top"/>
    </xf>
    <xf numFmtId="0" fontId="37" fillId="12" borderId="0" xfId="1" applyFont="1" applyFill="1" applyAlignment="1" applyProtection="1">
      <alignment horizontal="center" vertical="center" shrinkToFit="1"/>
    </xf>
    <xf numFmtId="0" fontId="37" fillId="12" borderId="0" xfId="1" applyFont="1" applyFill="1" applyAlignment="1" applyProtection="1">
      <alignment horizontal="center" vertical="center"/>
    </xf>
    <xf numFmtId="0" fontId="22" fillId="12" borderId="22" xfId="1" applyFont="1" applyFill="1" applyBorder="1" applyAlignment="1" applyProtection="1">
      <alignment horizontal="center" vertical="top" wrapText="1"/>
    </xf>
    <xf numFmtId="0" fontId="22" fillId="12" borderId="0" xfId="1" applyFont="1" applyFill="1" applyAlignment="1" applyProtection="1">
      <alignment horizontal="center" vertical="top" wrapText="1"/>
    </xf>
    <xf numFmtId="0" fontId="22" fillId="12" borderId="26" xfId="1" applyFont="1" applyFill="1" applyBorder="1" applyAlignment="1" applyProtection="1">
      <alignment horizontal="center" vertical="top" wrapText="1"/>
    </xf>
    <xf numFmtId="0" fontId="51" fillId="12" borderId="0" xfId="1" applyFont="1" applyFill="1" applyAlignment="1" applyProtection="1">
      <alignment horizontal="right" vertical="center"/>
    </xf>
    <xf numFmtId="0" fontId="1" fillId="0" borderId="0" xfId="1" applyAlignment="1" applyProtection="1">
      <alignment horizontal="center" vertical="top"/>
    </xf>
    <xf numFmtId="0" fontId="36" fillId="0" borderId="19" xfId="1" applyFont="1" applyBorder="1" applyAlignment="1" applyProtection="1">
      <alignment horizontal="center" vertical="center"/>
    </xf>
    <xf numFmtId="0" fontId="36" fillId="0" borderId="20" xfId="1" applyFont="1" applyBorder="1" applyAlignment="1" applyProtection="1">
      <alignment horizontal="center" vertical="center"/>
    </xf>
    <xf numFmtId="0" fontId="36" fillId="0" borderId="20" xfId="1" applyFont="1" applyBorder="1" applyAlignment="1" applyProtection="1">
      <alignment vertical="center"/>
    </xf>
    <xf numFmtId="0" fontId="36" fillId="0" borderId="20" xfId="1" applyFont="1" applyBorder="1" applyAlignment="1" applyProtection="1">
      <alignment vertical="center" shrinkToFit="1"/>
    </xf>
    <xf numFmtId="0" fontId="36" fillId="0" borderId="20" xfId="1" applyFont="1" applyBorder="1" applyAlignment="1" applyProtection="1">
      <alignment vertical="center" wrapText="1"/>
    </xf>
    <xf numFmtId="0" fontId="24" fillId="2" borderId="20" xfId="1" applyFont="1" applyFill="1" applyBorder="1" applyAlignment="1" applyProtection="1">
      <alignment horizontal="center" vertical="center" shrinkToFit="1"/>
    </xf>
    <xf numFmtId="0" fontId="36" fillId="0" borderId="20" xfId="1" applyFont="1" applyBorder="1" applyAlignment="1" applyProtection="1">
      <alignment horizontal="center" vertical="center" wrapText="1"/>
    </xf>
    <xf numFmtId="0" fontId="21" fillId="2" borderId="23" xfId="1" applyFont="1" applyFill="1" applyBorder="1" applyAlignment="1" applyProtection="1">
      <alignment horizontal="center" vertical="center"/>
    </xf>
    <xf numFmtId="0" fontId="21" fillId="2" borderId="20" xfId="1" applyFont="1" applyFill="1" applyBorder="1" applyAlignment="1" applyProtection="1">
      <alignment horizontal="center" vertical="center"/>
    </xf>
    <xf numFmtId="0" fontId="21" fillId="2" borderId="24" xfId="1" applyFont="1" applyFill="1" applyBorder="1" applyAlignment="1" applyProtection="1">
      <alignment horizontal="center" vertical="center"/>
    </xf>
    <xf numFmtId="0" fontId="0" fillId="0" borderId="0" xfId="0" applyProtection="1"/>
    <xf numFmtId="0" fontId="26" fillId="2" borderId="0" xfId="1" applyFont="1" applyFill="1" applyAlignment="1" applyProtection="1">
      <alignment horizontal="center" vertical="center" wrapText="1"/>
    </xf>
    <xf numFmtId="0" fontId="30" fillId="2" borderId="0" xfId="1" applyFont="1" applyFill="1" applyAlignment="1" applyProtection="1">
      <alignment horizontal="center" vertical="center"/>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33" fillId="2" borderId="0" xfId="1" applyFont="1" applyFill="1" applyAlignment="1" applyProtection="1">
      <alignment vertical="center"/>
    </xf>
    <xf numFmtId="0" fontId="34" fillId="2" borderId="0" xfId="1" applyFont="1" applyFill="1" applyAlignment="1" applyProtection="1">
      <alignment horizontal="right" vertical="center"/>
    </xf>
    <xf numFmtId="0" fontId="43" fillId="6" borderId="0" xfId="1" applyFont="1" applyFill="1" applyAlignment="1" applyProtection="1">
      <alignment vertical="center"/>
      <protection locked="0"/>
    </xf>
    <xf numFmtId="0" fontId="19" fillId="2" borderId="0" xfId="1" applyFont="1" applyFill="1" applyAlignment="1" applyProtection="1">
      <alignment vertical="center"/>
      <protection locked="0"/>
    </xf>
  </cellXfs>
  <cellStyles count="3">
    <cellStyle name="Hyperlink" xfId="2" builtinId="8"/>
    <cellStyle name="Normal" xfId="0" builtinId="0"/>
    <cellStyle name="Normal 2" xfId="1"/>
  </cellStyles>
  <dxfs count="130">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ill>
        <patternFill>
          <bgColor theme="0" tint="-0.14996795556505021"/>
        </patternFill>
      </fill>
    </dxf>
    <dxf>
      <font>
        <b/>
        <i/>
        <color rgb="FFFF0000"/>
      </font>
    </dxf>
    <dxf>
      <font>
        <b/>
        <i/>
      </font>
      <fill>
        <patternFill>
          <bgColor theme="0" tint="-0.14996795556505021"/>
        </patternFill>
      </fill>
    </dxf>
    <dxf>
      <fill>
        <patternFill>
          <bgColor theme="4" tint="0.79998168889431442"/>
        </patternFill>
      </fill>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238126</xdr:colOff>
      <xdr:row>3</xdr:row>
      <xdr:rowOff>114299</xdr:rowOff>
    </xdr:from>
    <xdr:ext cx="5324474" cy="633917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239626" y="619124"/>
          <a:ext cx="5324474" cy="633917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a:solidFill>
                <a:schemeClr val="dk1"/>
              </a:solidFill>
              <a:effectLst/>
              <a:latin typeface="+mn-lt"/>
              <a:ea typeface="+mn-ea"/>
              <a:cs typeface="+mn-cs"/>
            </a:rPr>
            <a:t>Enrolment Guidelines</a:t>
          </a:r>
        </a:p>
        <a:p>
          <a:pPr algn="ctr" rtl="0" fontAlgn="base"/>
          <a:r>
            <a:rPr lang="en-AU" sz="1100" b="1" i="0">
              <a:solidFill>
                <a:schemeClr val="dk1"/>
              </a:solidFill>
              <a:effectLst/>
              <a:latin typeface="+mn-lt"/>
              <a:ea typeface="+mn-ea"/>
              <a:cs typeface="+mn-cs"/>
            </a:rPr>
            <a:t>Bachelor of Applied Science (Interior Architecture) (Honours)</a:t>
          </a:r>
        </a:p>
        <a:p>
          <a:pP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Specialisation &amp; Commencing Study Period.</a:t>
          </a:r>
          <a:endParaRPr lang="en-AU" sz="1000">
            <a:effectLst/>
          </a:endParaRP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impacted if you do not follow the recommended sequence of enrolment.</a:t>
          </a:r>
        </a:p>
        <a:p>
          <a:pPr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 OR please select one or two units from the four listed for each study period.</a:t>
          </a:r>
        </a:p>
        <a:p>
          <a:pPr rtl="0" fontAlgn="base"/>
          <a:endParaRPr lang="en-AU" sz="1000">
            <a:effectLst/>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p>
        <a:p>
          <a:pPr rtl="0" fontAlgn="base"/>
          <a:r>
            <a:rPr lang="en-AU" sz="1100" b="0" i="0">
              <a:solidFill>
                <a:schemeClr val="dk1"/>
              </a:solidFill>
              <a:effectLst/>
              <a:latin typeface="+mn-lt"/>
              <a:ea typeface="+mn-ea"/>
              <a:cs typeface="+mn-cs"/>
            </a:rPr>
            <a:t> </a:t>
          </a:r>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sz="1000">
            <a:effectLst/>
          </a:endParaRPr>
        </a:p>
        <a:p>
          <a:pPr rtl="0" fontAlgn="base"/>
          <a:endParaRPr lang="en-AU" sz="1100" b="1"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Work Experience / Industry Placement</a:t>
          </a:r>
          <a:endParaRPr lang="en-AU">
            <a:effectLst/>
          </a:endParaRP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endParaRPr lang="en-AU" sz="1100" b="0" i="0">
            <a:solidFill>
              <a:schemeClr val="dk1"/>
            </a:solidFill>
            <a:effectLst/>
            <a:latin typeface="+mn-lt"/>
            <a:ea typeface="+mn-ea"/>
            <a:cs typeface="+mn-cs"/>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sz="1000">
            <a:effectLst/>
          </a:endParaRPr>
        </a:p>
        <a:p>
          <a:pP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400050</xdr:colOff>
      <xdr:row>2</xdr:row>
      <xdr:rowOff>276225</xdr:rowOff>
    </xdr:from>
    <xdr:to>
      <xdr:col>21</xdr:col>
      <xdr:colOff>76200</xdr:colOff>
      <xdr:row>3</xdr:row>
      <xdr:rowOff>114695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144750" y="2762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7" totalsRowShown="0" headerRowDxfId="124">
  <autoFilter ref="A6:G7"/>
  <tableColumns count="7">
    <tableColumn id="3" name="Choose your Course (drop-down list)" dataDxfId="123"/>
    <tableColumn id="1" name="UDC" dataDxfId="122"/>
    <tableColumn id="2" name="Version" dataDxfId="121"/>
    <tableColumn id="5" name="Credit Points" dataDxfId="120"/>
    <tableColumn id="4" name="Effective Date" dataDxfId="119"/>
    <tableColumn id="7" name="Akari Update" dataDxfId="118"/>
    <tableColumn id="6" name="Availabilities" dataDxfId="117"/>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0:C12" totalsRowShown="0" dataDxfId="116">
  <autoFilter ref="A10:C12"/>
  <tableColumns count="3">
    <tableColumn id="1" name="Choose your commencing study period (drop-down list)" dataDxfId="115"/>
    <tableColumn id="2" name="START" dataDxfId="114"/>
    <tableColumn id="3" name="Next" dataDxfId="113"/>
  </tableColumns>
  <tableStyleInfo name="TableStyleLight8" showFirstColumn="0" showLastColumn="0" showRowStripes="1" showColumnStripes="0"/>
</table>
</file>

<file path=xl/tables/table3.xml><?xml version="1.0" encoding="utf-8"?>
<table xmlns="http://schemas.openxmlformats.org/spreadsheetml/2006/main" id="5" name="TableSpecialisations" displayName="TableSpecialisations" ref="A15:F24" totalsRowShown="0" dataDxfId="112">
  <autoFilter ref="A15:F24"/>
  <sortState ref="A16:E24">
    <sortCondition ref="A15:A24"/>
  </sortState>
  <tableColumns count="6">
    <tableColumn id="1" name="Choose your Specialisation (drop-down list)" dataDxfId="111"/>
    <tableColumn id="2" name="UDC" dataDxfId="110"/>
    <tableColumn id="3" name="Version" dataDxfId="109"/>
    <tableColumn id="4" name="Credit Points" dataDxfId="108"/>
    <tableColumn id="5" name="Effective Date" dataDxfId="107"/>
    <tableColumn id="6" name="Akari Update" dataDxfId="106"/>
  </tableColumns>
  <tableStyleInfo name="TableStyleLight8" showFirstColumn="0" showLastColumn="0" showRowStripes="1" showColumnStripes="0"/>
</table>
</file>

<file path=xl/tables/table4.xml><?xml version="1.0" encoding="utf-8"?>
<table xmlns="http://schemas.openxmlformats.org/spreadsheetml/2006/main" id="2" name="TableHandbook" displayName="TableHandbook" ref="A3:U80" totalsRowShown="0" headerRowDxfId="104" dataDxfId="102" headerRowBorderDxfId="103" tableBorderDxfId="101">
  <autoFilter ref="A3:U80"/>
  <sortState ref="A4:U80">
    <sortCondition ref="A3:A80"/>
  </sortState>
  <tableColumns count="21">
    <tableColumn id="1" name="UDC" dataDxfId="100"/>
    <tableColumn id="2" name="Ver" dataDxfId="99"/>
    <tableColumn id="3" name="OUA Cd" dataDxfId="98"/>
    <tableColumn id="4" name="Title" dataDxfId="97"/>
    <tableColumn id="5" name="Credits" dataDxfId="96"/>
    <tableColumn id="6" name="Pre-reqs" dataDxfId="95"/>
    <tableColumn id="12" name="S1INT" dataDxfId="94">
      <calculatedColumnFormula>IFERROR(IF(VLOOKUP(TableHandbook[[#This Row],[UDC]],TableAvailabilities,2,FALSE)&gt;0,"Y",""),"")</calculatedColumnFormula>
    </tableColumn>
    <tableColumn id="13" name="S1FO" dataDxfId="93">
      <calculatedColumnFormula>IFERROR(IF(VLOOKUP(TableHandbook[[#This Row],[UDC]],TableAvailabilities,3,FALSE)&gt;0,"Y",""),"")</calculatedColumnFormula>
    </tableColumn>
    <tableColumn id="14" name="S2INT" dataDxfId="92">
      <calculatedColumnFormula>IFERROR(IF(VLOOKUP(TableHandbook[[#This Row],[UDC]],TableAvailabilities,4,FALSE)&gt;0,"Y",""),"")</calculatedColumnFormula>
    </tableColumn>
    <tableColumn id="15" name="S2FO" dataDxfId="91">
      <calculatedColumnFormula>IFERROR(IF(VLOOKUP(TableHandbook[[#This Row],[UDC]],TableAvailabilities,5,FALSE)&gt;0,"Y",""),"")</calculatedColumnFormula>
    </tableColumn>
    <tableColumn id="16" name="Notes" dataDxfId="90"/>
    <tableColumn id="8" name="BH-INARCH" dataDxfId="89">
      <calculatedColumnFormula>IFERROR(VLOOKUP(TableHandbook[[#This Row],[UDC]],TableBHINARCH[],7,FALSE),"")</calculatedColumnFormula>
    </tableColumn>
    <tableColumn id="9" name="SPUC-ANGAD" dataDxfId="88">
      <calculatedColumnFormula>IFERROR(VLOOKUP(TableHandbook[[#This Row],[UDC]],TableSPUCANGAD[],7,FALSE),"")</calculatedColumnFormula>
    </tableColumn>
    <tableColumn id="10" name="SPUC-CONMS" dataDxfId="87">
      <calculatedColumnFormula>IFERROR(VLOOKUP(TableHandbook[[#This Row],[UDC]],TableSPUCCONMS[],7,FALSE),"")</calculatedColumnFormula>
    </tableColumn>
    <tableColumn id="20" name="SPUC-DIGDE" dataDxfId="86">
      <calculatedColumnFormula>IFERROR(VLOOKUP(TableHandbook[[#This Row],[UDC]],TableSPUCDIGDE[],7,FALSE),"")</calculatedColumnFormula>
    </tableColumn>
    <tableColumn id="21" name="SPUC-DSGNV" dataDxfId="85">
      <calculatedColumnFormula>IFERROR(VLOOKUP(TableHandbook[[#This Row],[UDC]],TableSPUCDSGNV[],7,FALSE),"")</calculatedColumnFormula>
    </tableColumn>
    <tableColumn id="17" name="SPUC-GRPDS" dataDxfId="84">
      <calculatedColumnFormula>IFERROR(VLOOKUP(TableHandbook[[#This Row],[UDC]],TableSPUCGRPDS[],7,FALSE),"")</calculatedColumnFormula>
    </tableColumn>
    <tableColumn id="7" name="SPUC-PHOTO" dataDxfId="83">
      <calculatedColumnFormula>IFERROR(VLOOKUP(TableHandbook[[#This Row],[UDC]],TableSPUCPHOTO[],7,FALSE),"")</calculatedColumnFormula>
    </tableColumn>
    <tableColumn id="18" name="SPUC-PRINP" dataDxfId="82">
      <calculatedColumnFormula>IFERROR(VLOOKUP(TableHandbook[[#This Row],[UDC]],TableSPUCPRINP[],7,FALSE),"")</calculatedColumnFormula>
    </tableColumn>
    <tableColumn id="19" name="SPUC-URDES" dataDxfId="81">
      <calculatedColumnFormula>IFERROR(VLOOKUP(TableHandbook[[#This Row],[UDC]],TableSPUCURDES[],7,FALSE),"")</calculatedColumnFormula>
    </tableColumn>
    <tableColumn id="11" name="SPUE-ARCHT" dataDxfId="80">
      <calculatedColumnFormula>IFERROR(VLOOKUP(TableHandbook[[#This Row],[UDC]],TableSPUEARCHT[],7,FALSE),"")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id="1" name="TableBHINARCH" displayName="TableBHINARCH" ref="A2:O38" totalsRowShown="0">
  <autoFilter ref="A2:O38"/>
  <sortState ref="T3:AK6">
    <sortCondition ref="AH2:AH6"/>
  </sortState>
  <tableColumns count="15">
    <tableColumn id="1" name="UDC" dataDxfId="59">
      <calculatedColumnFormula>TableBHINARCH[[#This Row],[Study Package Code]]</calculatedColumnFormula>
    </tableColumn>
    <tableColumn id="9" name="V" dataDxfId="58">
      <calculatedColumnFormula>TableBHINARCH[[#This Row],[Ver]]</calculatedColumnFormula>
    </tableColumn>
    <tableColumn id="10" name="OUA Code"/>
    <tableColumn id="11" name="Unit Title" dataDxfId="57">
      <calculatedColumnFormula>TableBHINARCH[[#This Row],[Structure Line]]</calculatedColumnFormula>
    </tableColumn>
    <tableColumn id="12" name="CPs" dataDxfId="56">
      <calculatedColumnFormula>TableBHINARCH[[#This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5"/>
    <tableColumn id="15" name="Discont." dataDxfId="54"/>
  </tableColumns>
  <tableStyleInfo name="TableStyleLight1" showFirstColumn="0" showLastColumn="0" showRowStripes="1" showColumnStripes="0"/>
</table>
</file>

<file path=xl/tables/table6.xml><?xml version="1.0" encoding="utf-8"?>
<table xmlns="http://schemas.openxmlformats.org/spreadsheetml/2006/main" id="6" name="TableSPUCANGAD" displayName="TableSPUCANGAD" ref="A40:O46" totalsRowShown="0">
  <autoFilter ref="A40:O46"/>
  <sortState ref="T11:AK18">
    <sortCondition ref="AG10:AG18"/>
  </sortState>
  <tableColumns count="15">
    <tableColumn id="1" name="UDC" dataDxfId="53">
      <calculatedColumnFormula>TableSPUCANGAD[[#This Row],[Study Package Code]]</calculatedColumnFormula>
    </tableColumn>
    <tableColumn id="9" name="V" dataDxfId="52">
      <calculatedColumnFormula>TableSPUCANGAD[[#This Row],[Ver]]</calculatedColumnFormula>
    </tableColumn>
    <tableColumn id="10" name="OUA Code"/>
    <tableColumn id="11" name="Unit Title" dataDxfId="51">
      <calculatedColumnFormula>TableSPUCANGAD[[#This Row],[Structure Line]]</calculatedColumnFormula>
    </tableColumn>
    <tableColumn id="12" name="CPs" dataDxfId="50">
      <calculatedColumnFormula>TableSPUCANGAD[[#This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9"/>
    <tableColumn id="15" name="Discont." dataDxfId="48"/>
  </tableColumns>
  <tableStyleInfo name="TableStyleLight1" showFirstColumn="0" showLastColumn="0" showRowStripes="1" showColumnStripes="0"/>
</table>
</file>

<file path=xl/tables/table7.xml><?xml version="1.0" encoding="utf-8"?>
<table xmlns="http://schemas.openxmlformats.org/spreadsheetml/2006/main" id="7" name="TableSPUCCONMS" displayName="TableSPUCCONMS" ref="A48:O52" totalsRowShown="0">
  <autoFilter ref="A48:O52"/>
  <sortState ref="A50:O53">
    <sortCondition ref="F49:F53"/>
  </sortState>
  <tableColumns count="15">
    <tableColumn id="1" name="UDC" dataDxfId="47">
      <calculatedColumnFormula>TableSPUCCONMS[[#This Row],[Study Package Code]]</calculatedColumnFormula>
    </tableColumn>
    <tableColumn id="9" name="V" dataDxfId="46">
      <calculatedColumnFormula>TableSPUCCONMS[[#This Row],[Ver]]</calculatedColumnFormula>
    </tableColumn>
    <tableColumn id="10" name="OUA Code"/>
    <tableColumn id="11" name="Unit Title" dataDxfId="45">
      <calculatedColumnFormula>TableSPUCCONMS[[#This Row],[Structure Line]]</calculatedColumnFormula>
    </tableColumn>
    <tableColumn id="12" name="CPs" dataDxfId="44">
      <calculatedColumnFormula>TableSPUCCONMS[[#This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3"/>
    <tableColumn id="15" name="Discont." dataDxfId="42"/>
  </tableColumns>
  <tableStyleInfo name="TableStyleLight1" showFirstColumn="0" showLastColumn="0" showRowStripes="1" showColumnStripes="0"/>
</table>
</file>

<file path=xl/tables/table8.xml><?xml version="1.0" encoding="utf-8"?>
<table xmlns="http://schemas.openxmlformats.org/spreadsheetml/2006/main" id="10" name="TableSPUCDSGNV" displayName="TableSPUCDSGNV" ref="A60:O64" totalsRowShown="0">
  <autoFilter ref="A60:O64"/>
  <sortState ref="A58:M61">
    <sortCondition ref="F57:F61"/>
  </sortState>
  <tableColumns count="15">
    <tableColumn id="1" name="UDC" dataDxfId="41">
      <calculatedColumnFormula>TableSPUCDSGNV[[#This Row],[Study Package Code]]</calculatedColumnFormula>
    </tableColumn>
    <tableColumn id="9" name="V" dataDxfId="40">
      <calculatedColumnFormula>TableSPUCDSGNV[[#This Row],[Ver]]</calculatedColumnFormula>
    </tableColumn>
    <tableColumn id="10" name="OUA Code"/>
    <tableColumn id="11" name="Unit Title" dataDxfId="39">
      <calculatedColumnFormula>TableSPUCDSGNV[[#This Row],[Structure Line]]</calculatedColumnFormula>
    </tableColumn>
    <tableColumn id="12" name="CPs" dataDxfId="38">
      <calculatedColumnFormula>TableSPUCDSGNV[[#This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7"/>
    <tableColumn id="15" name="Discont." dataDxfId="36"/>
  </tableColumns>
  <tableStyleInfo name="TableStyleLight1" showFirstColumn="0" showLastColumn="0" showRowStripes="1" showColumnStripes="0"/>
</table>
</file>

<file path=xl/tables/table9.xml><?xml version="1.0" encoding="utf-8"?>
<table xmlns="http://schemas.openxmlformats.org/spreadsheetml/2006/main" id="12" name="TableSPUCGRPDS" displayName="TableSPUCGRPDS" ref="A66:O72" totalsRowShown="0">
  <autoFilter ref="A66:O72"/>
  <sortState ref="A65:R72">
    <sortCondition ref="N10:N18"/>
  </sortState>
  <tableColumns count="15">
    <tableColumn id="1" name="UDC" dataDxfId="35">
      <calculatedColumnFormula>TableSPUCGRPDS[[#This Row],[Study Package Code]]</calculatedColumnFormula>
    </tableColumn>
    <tableColumn id="9" name="V" dataDxfId="34">
      <calculatedColumnFormula>TableSPUCGRPDS[[#This Row],[Ver]]</calculatedColumnFormula>
    </tableColumn>
    <tableColumn id="10" name="OUA Code"/>
    <tableColumn id="11" name="Unit Title" dataDxfId="33">
      <calculatedColumnFormula>TableSPUCGRPDS[[#This Row],[Structure Line]]</calculatedColumnFormula>
    </tableColumn>
    <tableColumn id="12" name="CPs" dataDxfId="32">
      <calculatedColumnFormula>TableSPUCGRPDS[[#This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1"/>
    <tableColumn id="15" name="Discont." dataDxfId="30"/>
  </tableColumns>
  <tableStyleInfo name="TableStyleLight1" showFirstColumn="0" showLastColumn="0" showRowStripes="1" showColumnStripes="0"/>
</table>
</file>

<file path=xl/tables/table10.xml><?xml version="1.0" encoding="utf-8"?>
<table xmlns="http://schemas.openxmlformats.org/spreadsheetml/2006/main" id="14" name="TableSPUCPRINP" displayName="TableSPUCPRINP" ref="A80:O84" totalsRowShown="0">
  <autoFilter ref="A80:O84"/>
  <sortState ref="A74:R81">
    <sortCondition ref="N10:N18"/>
  </sortState>
  <tableColumns count="15">
    <tableColumn id="1" name="UDC" dataDxfId="29">
      <calculatedColumnFormula>TableSPUCPRINP[[#This Row],[Study Package Code]]</calculatedColumnFormula>
    </tableColumn>
    <tableColumn id="9" name="V" dataDxfId="28">
      <calculatedColumnFormula>TableSPUCPRINP[[#This Row],[Ver]]</calculatedColumnFormula>
    </tableColumn>
    <tableColumn id="10" name="OUA Code"/>
    <tableColumn id="11" name="Unit Title" dataDxfId="27">
      <calculatedColumnFormula>TableSPUCPRINP[[#This Row],[Structure Line]]</calculatedColumnFormula>
    </tableColumn>
    <tableColumn id="12" name="CPs" dataDxfId="26">
      <calculatedColumnFormula>TableSPUCPRINP[[#This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5"/>
    <tableColumn id="15" name="Discont." dataDxfId="24"/>
  </tableColumns>
  <tableStyleInfo name="TableStyleLight1" showFirstColumn="0" showLastColumn="0" showRowStripes="1" showColumnStripes="0"/>
</table>
</file>

<file path=xl/tables/table11.xml><?xml version="1.0" encoding="utf-8"?>
<table xmlns="http://schemas.openxmlformats.org/spreadsheetml/2006/main" id="9" name="TableSPUCDIGDE" displayName="TableSPUCDIGDE" ref="A54:O58" totalsRowShown="0">
  <autoFilter ref="A54:O58"/>
  <sortState ref="A54:M59">
    <sortCondition descending="1" ref="G48:G54"/>
  </sortState>
  <tableColumns count="15">
    <tableColumn id="1" name="UDC" dataDxfId="23">
      <calculatedColumnFormula>TableSPUCDIGDE[[#This Row],[Study Package Code]]</calculatedColumnFormula>
    </tableColumn>
    <tableColumn id="9" name="V" dataDxfId="22">
      <calculatedColumnFormula>TableSPUCDIGDE[[#This Row],[Ver]]</calculatedColumnFormula>
    </tableColumn>
    <tableColumn id="10" name="OUA Code"/>
    <tableColumn id="11" name="Unit Title" dataDxfId="21">
      <calculatedColumnFormula>TableSPUCDIGDE[[#This Row],[Structure Line]]</calculatedColumnFormula>
    </tableColumn>
    <tableColumn id="12" name="CPs" dataDxfId="20">
      <calculatedColumnFormula>TableSPUCDIGDE[[#This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9"/>
    <tableColumn id="15" name="Discont." dataDxfId="18"/>
  </tableColumns>
  <tableStyleInfo name="TableStyleLight1" showFirstColumn="0" showLastColumn="0" showRowStripes="1" showColumnStripes="0"/>
</table>
</file>

<file path=xl/tables/table12.xml><?xml version="1.0" encoding="utf-8"?>
<table xmlns="http://schemas.openxmlformats.org/spreadsheetml/2006/main" id="11" name="TableSPUCPHOTO" displayName="TableSPUCPHOTO" ref="A74:O78" totalsRowShown="0">
  <autoFilter ref="A74:O78"/>
  <sortState ref="A76:R83">
    <sortCondition ref="N10:N18"/>
  </sortState>
  <tableColumns count="15">
    <tableColumn id="1" name="UDC" dataDxfId="17">
      <calculatedColumnFormula>TableSPUCPHOTO[[#This Row],[Study Package Code]]</calculatedColumnFormula>
    </tableColumn>
    <tableColumn id="9" name="V" dataDxfId="16">
      <calculatedColumnFormula>TableSPUCPHOTO[[#This Row],[Ver]]</calculatedColumnFormula>
    </tableColumn>
    <tableColumn id="10" name="OUA Code"/>
    <tableColumn id="11" name="Unit Title" dataDxfId="15">
      <calculatedColumnFormula>TableSPUCPHOTO[[#This Row],[Structure Line]]</calculatedColumnFormula>
    </tableColumn>
    <tableColumn id="12" name="CPs" dataDxfId="14">
      <calculatedColumnFormula>TableSPUCPHOTO[[#This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3"/>
    <tableColumn id="15" name="Discont." dataDxfId="12"/>
  </tableColumns>
  <tableStyleInfo name="TableStyleLight1" showFirstColumn="0" showLastColumn="0" showRowStripes="1" showColumnStripes="0"/>
</table>
</file>

<file path=xl/tables/table13.xml><?xml version="1.0" encoding="utf-8"?>
<table xmlns="http://schemas.openxmlformats.org/spreadsheetml/2006/main" id="15" name="TableSPUCURDES" displayName="TableSPUCURDES" ref="A86:O90" totalsRowShown="0">
  <autoFilter ref="A86:O90"/>
  <sortState ref="A90:R97">
    <sortCondition ref="N10:N18"/>
  </sortState>
  <tableColumns count="15">
    <tableColumn id="1" name="UDC" dataDxfId="11">
      <calculatedColumnFormula>TableSPUCURDES[[#This Row],[Study Package Code]]</calculatedColumnFormula>
    </tableColumn>
    <tableColumn id="9" name="V" dataDxfId="10">
      <calculatedColumnFormula>TableSPUCURDES[[#This Row],[Ver]]</calculatedColumnFormula>
    </tableColumn>
    <tableColumn id="10" name="OUA Code"/>
    <tableColumn id="11" name="Unit Title" dataDxfId="9">
      <calculatedColumnFormula>TableSPUCURDES[[#This Row],[Structure Line]]</calculatedColumnFormula>
    </tableColumn>
    <tableColumn id="12" name="CPs" dataDxfId="8">
      <calculatedColumnFormula>TableSPUCURDES[[#This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7"/>
    <tableColumn id="15" name="Discont." dataDxfId="6"/>
  </tableColumns>
  <tableStyleInfo name="TableStyleLight1" showFirstColumn="0" showLastColumn="0" showRowStripes="1" showColumnStripes="0"/>
</table>
</file>

<file path=xl/tables/table14.xml><?xml version="1.0" encoding="utf-8"?>
<table xmlns="http://schemas.openxmlformats.org/spreadsheetml/2006/main" id="8" name="TableSPUEARCHT" displayName="TableSPUEARCHT" ref="A92:O99" totalsRowShown="0">
  <autoFilter ref="A92:O99"/>
  <sortState ref="A94:R101">
    <sortCondition ref="N10:N18"/>
  </sortState>
  <tableColumns count="15">
    <tableColumn id="1" name="UDC" dataDxfId="5">
      <calculatedColumnFormula>TableSPUEARCHT[[#This Row],[Study Package Code]]</calculatedColumnFormula>
    </tableColumn>
    <tableColumn id="9" name="V" dataDxfId="4">
      <calculatedColumnFormula>TableSPUEARCHT[[#This Row],[Ver]]</calculatedColumnFormula>
    </tableColumn>
    <tableColumn id="10" name="OUA Code"/>
    <tableColumn id="11" name="Unit Title" dataDxfId="3">
      <calculatedColumnFormula>TableSPUEARCHT[[#This Row],[Structure Line]]</calculatedColumnFormula>
    </tableColumn>
    <tableColumn id="12" name="CPs" dataDxfId="2">
      <calculatedColumnFormula>TableSPUEARCHT[[#This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
    <tableColumn id="15" name="Discont." dataDxfId="0"/>
  </tableColumns>
  <tableStyleInfo name="TableStyleLight1" showFirstColumn="0" showLastColumn="0" showRowStripes="1" showColumnStripes="0"/>
</table>
</file>

<file path=xl/tables/table15.xml><?xml version="1.0" encoding="utf-8"?>
<table xmlns="http://schemas.openxmlformats.org/spreadsheetml/2006/main" id="16" name="Table15" displayName="Table15" ref="Q2:R38" totalsRowShown="0">
  <autoFilter ref="Q2:R38"/>
  <tableColumns count="2">
    <tableColumn id="5" name="SPK"/>
    <tableColumn id="6" name="Ver"/>
  </tableColumns>
  <tableStyleInfo name="TableStyleLight4" showFirstColumn="0" showLastColumn="0" showRowStripes="1" showColumnStripes="0"/>
</table>
</file>

<file path=xl/tables/table16.xml><?xml version="1.0" encoding="utf-8"?>
<table xmlns="http://schemas.openxmlformats.org/spreadsheetml/2006/main" id="17" name="Table1518" displayName="Table1518" ref="Q40:R46" totalsRowShown="0">
  <autoFilter ref="Q40:R46"/>
  <tableColumns count="2">
    <tableColumn id="5" name="SPK"/>
    <tableColumn id="6" name="Ver"/>
  </tableColumns>
  <tableStyleInfo name="TableStyleLight4" showFirstColumn="0" showLastColumn="0" showRowStripes="1" showColumnStripes="0"/>
</table>
</file>

<file path=xl/tables/table17.xml><?xml version="1.0" encoding="utf-8"?>
<table xmlns="http://schemas.openxmlformats.org/spreadsheetml/2006/main" id="18" name="Table151819" displayName="Table151819" ref="Q48:R52" totalsRowShown="0">
  <autoFilter ref="Q48:R52"/>
  <tableColumns count="2">
    <tableColumn id="5" name="SPK"/>
    <tableColumn id="6" name="Ver"/>
  </tableColumns>
  <tableStyleInfo name="TableStyleLight4" showFirstColumn="0" showLastColumn="0" showRowStripes="1" showColumnStripes="0"/>
</table>
</file>

<file path=xl/tables/table18.xml><?xml version="1.0" encoding="utf-8"?>
<table xmlns="http://schemas.openxmlformats.org/spreadsheetml/2006/main" id="19" name="Table15181920" displayName="Table15181920" ref="Q54:R58" totalsRowShown="0">
  <autoFilter ref="Q54:R58"/>
  <tableColumns count="2">
    <tableColumn id="5" name="SPK"/>
    <tableColumn id="6" name="Ver"/>
  </tableColumns>
  <tableStyleInfo name="TableStyleLight4" showFirstColumn="0" showLastColumn="0" showRowStripes="1" showColumnStripes="0"/>
</table>
</file>

<file path=xl/tables/table19.xml><?xml version="1.0" encoding="utf-8"?>
<table xmlns="http://schemas.openxmlformats.org/spreadsheetml/2006/main" id="20" name="Table15181921" displayName="Table15181921" ref="Q60:R64" totalsRowShown="0">
  <autoFilter ref="Q60:R64"/>
  <tableColumns count="2">
    <tableColumn id="5" name="SPK"/>
    <tableColumn id="6" name="Ver"/>
  </tableColumns>
  <tableStyleInfo name="TableStyleLight4" showFirstColumn="0" showLastColumn="0" showRowStripes="1" showColumnStripes="0"/>
</table>
</file>

<file path=xl/tables/table20.xml><?xml version="1.0" encoding="utf-8"?>
<table xmlns="http://schemas.openxmlformats.org/spreadsheetml/2006/main" id="21" name="Table15181922" displayName="Table15181922" ref="Q66:R72" totalsRowShown="0">
  <autoFilter ref="Q66:R72"/>
  <tableColumns count="2">
    <tableColumn id="5" name="SPK"/>
    <tableColumn id="6" name="Ver"/>
  </tableColumns>
  <tableStyleInfo name="TableStyleLight4" showFirstColumn="0" showLastColumn="0" showRowStripes="1" showColumnStripes="0"/>
</table>
</file>

<file path=xl/tables/table21.xml><?xml version="1.0" encoding="utf-8"?>
<table xmlns="http://schemas.openxmlformats.org/spreadsheetml/2006/main" id="22" name="Table15181923" displayName="Table15181923" ref="Q74:R78" totalsRowShown="0">
  <autoFilter ref="Q74:R78"/>
  <tableColumns count="2">
    <tableColumn id="5" name="SPK"/>
    <tableColumn id="6" name="Ver"/>
  </tableColumns>
  <tableStyleInfo name="TableStyleLight4" showFirstColumn="0" showLastColumn="0" showRowStripes="1" showColumnStripes="0"/>
</table>
</file>

<file path=xl/tables/table22.xml><?xml version="1.0" encoding="utf-8"?>
<table xmlns="http://schemas.openxmlformats.org/spreadsheetml/2006/main" id="23" name="Table15181924" displayName="Table15181924" ref="Q80:R84" totalsRowShown="0">
  <autoFilter ref="Q80:R84"/>
  <tableColumns count="2">
    <tableColumn id="5" name="SPK"/>
    <tableColumn id="6" name="Ver"/>
  </tableColumns>
  <tableStyleInfo name="TableStyleLight4" showFirstColumn="0" showLastColumn="0" showRowStripes="1" showColumnStripes="0"/>
</table>
</file>

<file path=xl/tables/table23.xml><?xml version="1.0" encoding="utf-8"?>
<table xmlns="http://schemas.openxmlformats.org/spreadsheetml/2006/main" id="24" name="Table15181925" displayName="Table15181925" ref="Q86:R90" totalsRowShown="0">
  <autoFilter ref="Q86:R90"/>
  <tableColumns count="2">
    <tableColumn id="5" name="SPK"/>
    <tableColumn id="6" name="Ver"/>
  </tableColumns>
  <tableStyleInfo name="TableStyleLight4" showFirstColumn="0" showLastColumn="0" showRowStripes="1" showColumnStripes="0"/>
</table>
</file>

<file path=xl/tables/table24.xml><?xml version="1.0" encoding="utf-8"?>
<table xmlns="http://schemas.openxmlformats.org/spreadsheetml/2006/main" id="25" name="Table15181926" displayName="Table15181926" ref="Q92:R99" totalsRowShown="0">
  <autoFilter ref="Q92:R99"/>
  <tableColumns count="2">
    <tableColumn id="5" name="SPK"/>
    <tableColumn id="6" name="Ver"/>
  </tableColumns>
  <tableStyleInfo name="TableStyleLight4" showFirstColumn="0" showLastColumn="0" showRowStripes="1" showColumnStripes="0"/>
</table>
</file>

<file path=xl/tables/table25.xml><?xml version="1.0" encoding="utf-8"?>
<table xmlns="http://schemas.openxmlformats.org/spreadsheetml/2006/main" id="13" name="Table2023Avail" displayName="Table2023Avail" ref="A3:E64" totalsRowShown="0">
  <autoFilter ref="A3:E64"/>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21" Type="http://schemas.openxmlformats.org/officeDocument/2006/relationships/table" Target="../tables/table24.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20" Type="http://schemas.openxmlformats.org/officeDocument/2006/relationships/table" Target="../tables/table23.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tabSelected="1" topLeftCell="A3" zoomScaleNormal="100" workbookViewId="0">
      <selection activeCell="D6" sqref="D6"/>
    </sheetView>
  </sheetViews>
  <sheetFormatPr defaultRowHeight="15" x14ac:dyDescent="0.25"/>
  <cols>
    <col min="1" max="1" width="11.75" style="126" customWidth="1"/>
    <col min="2" max="2" width="3.125" style="126" bestFit="1" customWidth="1"/>
    <col min="3" max="3" width="5.875" style="126" customWidth="1"/>
    <col min="4" max="4" width="56.75" style="115" customWidth="1"/>
    <col min="5" max="5" width="6.75" style="115" customWidth="1"/>
    <col min="6" max="6" width="27" style="115" customWidth="1"/>
    <col min="7" max="7" width="5.625" style="115" customWidth="1"/>
    <col min="8" max="11" width="4.625" style="115" customWidth="1"/>
    <col min="12" max="12" width="15.625" style="115" customWidth="1"/>
    <col min="13" max="13" width="2.5" style="115" hidden="1" customWidth="1"/>
    <col min="14" max="16384" width="9" style="115"/>
  </cols>
  <sheetData>
    <row r="1" spans="1:16" hidden="1" x14ac:dyDescent="0.25">
      <c r="A1" s="111" t="s">
        <v>0</v>
      </c>
      <c r="B1" s="112" t="s">
        <v>1</v>
      </c>
      <c r="C1" s="112" t="s">
        <v>2</v>
      </c>
      <c r="D1" s="113" t="s">
        <v>3</v>
      </c>
      <c r="E1" s="113"/>
      <c r="F1" s="113" t="s">
        <v>4</v>
      </c>
      <c r="G1" s="113" t="s">
        <v>5</v>
      </c>
      <c r="H1" s="114" t="s">
        <v>6</v>
      </c>
      <c r="I1" s="113"/>
      <c r="J1" s="113"/>
      <c r="K1" s="113"/>
      <c r="L1" s="113" t="s">
        <v>7</v>
      </c>
    </row>
    <row r="2" spans="1:16" hidden="1" x14ac:dyDescent="0.25">
      <c r="A2" s="116"/>
      <c r="B2" s="117">
        <v>2</v>
      </c>
      <c r="C2" s="117">
        <v>3</v>
      </c>
      <c r="D2" s="117">
        <v>4</v>
      </c>
      <c r="E2" s="117"/>
      <c r="F2" s="117">
        <v>6</v>
      </c>
      <c r="G2" s="117">
        <v>5</v>
      </c>
      <c r="H2" s="117">
        <v>7</v>
      </c>
      <c r="I2" s="117">
        <v>8</v>
      </c>
      <c r="J2" s="117">
        <v>9</v>
      </c>
      <c r="K2" s="117">
        <v>10</v>
      </c>
      <c r="L2" s="118"/>
    </row>
    <row r="3" spans="1:16" ht="39.950000000000003" customHeight="1" x14ac:dyDescent="0.25">
      <c r="A3" s="119" t="s">
        <v>8</v>
      </c>
      <c r="B3" s="119"/>
      <c r="C3" s="119"/>
      <c r="D3" s="119"/>
      <c r="E3" s="120"/>
      <c r="F3" s="120"/>
      <c r="G3" s="120"/>
      <c r="H3" s="120"/>
      <c r="I3" s="120"/>
      <c r="J3" s="120"/>
      <c r="K3" s="120"/>
      <c r="L3" s="120"/>
    </row>
    <row r="4" spans="1:16" ht="25.5" x14ac:dyDescent="0.25">
      <c r="A4" s="121"/>
      <c r="B4" s="122"/>
      <c r="C4" s="122"/>
      <c r="D4" s="123" t="s">
        <v>9</v>
      </c>
      <c r="E4" s="124"/>
      <c r="F4" s="122"/>
      <c r="G4" s="125"/>
      <c r="H4" s="125"/>
      <c r="I4" s="125"/>
      <c r="J4" s="125"/>
      <c r="K4" s="125"/>
      <c r="L4" s="125"/>
    </row>
    <row r="5" spans="1:16" ht="20.100000000000001" customHeight="1" x14ac:dyDescent="0.25">
      <c r="B5" s="127"/>
      <c r="C5" s="128" t="s">
        <v>10</v>
      </c>
      <c r="D5" s="129" t="s">
        <v>11</v>
      </c>
      <c r="E5" s="130"/>
      <c r="F5" s="128" t="s">
        <v>12</v>
      </c>
      <c r="G5" s="130" t="str">
        <f>IFERROR(CONCATENATE(VLOOKUP(D5,TableCourses[],2,FALSE)," ",VLOOKUP(D5,TableCourses[],3,FALSE)),"")</f>
        <v>BH-INARCH v.1</v>
      </c>
      <c r="H5" s="130"/>
      <c r="I5" s="130"/>
      <c r="J5" s="130"/>
      <c r="K5" s="130"/>
      <c r="L5" s="131" t="e">
        <f>CONCATENATE(VLOOKUP(D5,TableCourses[],2,FALSE),VLOOKUP(D7,TableStudyPeriod[],2,FALSE))</f>
        <v>#N/A</v>
      </c>
    </row>
    <row r="6" spans="1:16" ht="20.100000000000001" customHeight="1" x14ac:dyDescent="0.25">
      <c r="B6" s="127"/>
      <c r="C6" s="128" t="s">
        <v>13</v>
      </c>
      <c r="D6" s="226" t="s">
        <v>76</v>
      </c>
      <c r="E6" s="130"/>
      <c r="F6" s="128" t="s">
        <v>15</v>
      </c>
      <c r="G6" s="130" t="str">
        <f>IFERROR(CONCATENATE(VLOOKUP(D6,TableSpecialisations[],2,FALSE)," ",VLOOKUP(D6,TableSpecialisations[],3,FALSE)),"")</f>
        <v/>
      </c>
      <c r="H6" s="130"/>
      <c r="I6" s="130"/>
      <c r="J6" s="130"/>
      <c r="K6" s="130"/>
      <c r="L6" s="131" t="e">
        <f>VLOOKUP(D6,TableSpecialisations[],2,FALSE)</f>
        <v>#N/A</v>
      </c>
    </row>
    <row r="7" spans="1:16" ht="20.100000000000001" customHeight="1" x14ac:dyDescent="0.25">
      <c r="A7" s="132"/>
      <c r="B7" s="133"/>
      <c r="C7" s="128" t="s">
        <v>16</v>
      </c>
      <c r="D7" s="227" t="s">
        <v>61</v>
      </c>
      <c r="E7" s="134"/>
      <c r="F7" s="127" t="s">
        <v>18</v>
      </c>
      <c r="G7" s="130" t="str">
        <f>IFERROR(VLOOKUP($D$5,TableCourses[],4,FALSE),"")</f>
        <v>800 credit points required</v>
      </c>
      <c r="H7" s="135"/>
      <c r="I7" s="135"/>
      <c r="J7" s="135"/>
      <c r="K7" s="135"/>
      <c r="L7" s="135"/>
    </row>
    <row r="8" spans="1:16" s="143" customFormat="1" ht="14.1" customHeight="1" x14ac:dyDescent="0.25">
      <c r="A8" s="136"/>
      <c r="B8" s="136"/>
      <c r="C8" s="136"/>
      <c r="D8" s="137"/>
      <c r="E8" s="138"/>
      <c r="F8" s="136"/>
      <c r="G8" s="136"/>
      <c r="H8" s="139" t="s">
        <v>19</v>
      </c>
      <c r="I8" s="140"/>
      <c r="J8" s="140"/>
      <c r="K8" s="141"/>
      <c r="L8" s="138"/>
      <c r="M8" s="142"/>
      <c r="N8" s="142"/>
      <c r="O8" s="142"/>
    </row>
    <row r="9" spans="1:16" s="143" customFormat="1" ht="21" x14ac:dyDescent="0.25">
      <c r="A9" s="136" t="s">
        <v>20</v>
      </c>
      <c r="B9" s="136"/>
      <c r="C9" s="136"/>
      <c r="D9" s="144" t="s">
        <v>3</v>
      </c>
      <c r="E9" s="145" t="s">
        <v>21</v>
      </c>
      <c r="F9" s="145" t="s">
        <v>22</v>
      </c>
      <c r="G9" s="136" t="s">
        <v>23</v>
      </c>
      <c r="H9" s="146" t="s">
        <v>24</v>
      </c>
      <c r="I9" s="145" t="s">
        <v>25</v>
      </c>
      <c r="J9" s="145" t="s">
        <v>26</v>
      </c>
      <c r="K9" s="147" t="s">
        <v>27</v>
      </c>
      <c r="L9" s="136" t="s">
        <v>28</v>
      </c>
      <c r="M9" s="142"/>
      <c r="N9" s="142"/>
      <c r="O9" s="142"/>
    </row>
    <row r="10" spans="1:16" s="156" customFormat="1" ht="19.5" customHeight="1" x14ac:dyDescent="0.15">
      <c r="A10" s="148" t="str">
        <f>IFERROR(IF(HLOOKUP($L$5,RangeUnitsets,M10,FALSE)=0,"",HLOOKUP($L$5,RangeUnitsets,M10,FALSE)),"")</f>
        <v/>
      </c>
      <c r="B10" s="149" t="str">
        <f>IFERROR(IF(VLOOKUP($A10,TableHandbook[],2,FALSE)=0,"",VLOOKUP($A10,TableHandbook[],2,FALSE)),"")</f>
        <v/>
      </c>
      <c r="C10" s="149" t="str">
        <f>IFERROR(IF(VLOOKUP($A10,TableHandbook[],3,FALSE)=0,"",VLOOKUP($A10,TableHandbook[],3,FALSE)),"")</f>
        <v/>
      </c>
      <c r="D10" s="150" t="str">
        <f>IFERROR(IF(VLOOKUP($A10,TableHandbook[],4,FALSE)=0,"",VLOOKUP($A10,TableHandbook[],4,FALSE)),"")</f>
        <v/>
      </c>
      <c r="E10" s="149" t="str">
        <f>IF(OR(A10="",A10="--"),"",VLOOKUP($D$7,TableStudyPeriod[],2,FALSE))</f>
        <v/>
      </c>
      <c r="F10" s="151" t="str">
        <f>IFERROR(IF(VLOOKUP($A10,TableHandbook[],6,FALSE)=0,"",VLOOKUP($A10,TableHandbook[],6,FALSE)),"")</f>
        <v/>
      </c>
      <c r="G10" s="149" t="str">
        <f>IFERROR(IF(VLOOKUP($A10,TableHandbook[],5,FALSE)=0,"",VLOOKUP($A10,TableHandbook[],5,FALSE)),"")</f>
        <v/>
      </c>
      <c r="H10" s="152" t="str">
        <f>IFERROR(VLOOKUP($A10,TableHandbook[],H$2,FALSE),"")</f>
        <v/>
      </c>
      <c r="I10" s="149" t="str">
        <f>IFERROR(VLOOKUP($A10,TableHandbook[],I$2,FALSE),"")</f>
        <v/>
      </c>
      <c r="J10" s="149" t="str">
        <f>IFERROR(VLOOKUP($A10,TableHandbook[],J$2,FALSE),"")</f>
        <v/>
      </c>
      <c r="K10" s="153" t="str">
        <f>IFERROR(VLOOKUP($A10,TableHandbook[],K$2,FALSE),"")</f>
        <v/>
      </c>
      <c r="L10" s="32"/>
      <c r="M10" s="154">
        <v>2</v>
      </c>
      <c r="N10" s="155"/>
      <c r="O10" s="155"/>
    </row>
    <row r="11" spans="1:16" s="156" customFormat="1" ht="19.5" customHeight="1" x14ac:dyDescent="0.15">
      <c r="A11" s="148" t="str">
        <f>IFERROR(IF(HLOOKUP($L$5,RangeUnitsets,M11,FALSE)=0,"",HLOOKUP($L$5,RangeUnitsets,M11,FALSE)),"")</f>
        <v/>
      </c>
      <c r="B11" s="149" t="str">
        <f>IFERROR(IF(VLOOKUP($A11,TableHandbook[],2,FALSE)=0,"",VLOOKUP($A11,TableHandbook[],2,FALSE)),"")</f>
        <v/>
      </c>
      <c r="C11" s="149" t="str">
        <f>IFERROR(IF(VLOOKUP($A11,TableHandbook[],3,FALSE)=0,"",VLOOKUP($A11,TableHandbook[],3,FALSE)),"")</f>
        <v/>
      </c>
      <c r="D11" s="150" t="str">
        <f>IFERROR(IF(VLOOKUP($A11,TableHandbook[],4,FALSE)=0,"",VLOOKUP($A11,TableHandbook[],4,FALSE)),"")</f>
        <v/>
      </c>
      <c r="E11" s="149" t="str">
        <f>IF(A11="","",E10)</f>
        <v/>
      </c>
      <c r="F11" s="151" t="str">
        <f>IFERROR(IF(VLOOKUP($A11,TableHandbook[],6,FALSE)=0,"",VLOOKUP($A11,TableHandbook[],6,FALSE)),"")</f>
        <v/>
      </c>
      <c r="G11" s="149" t="str">
        <f>IFERROR(IF(VLOOKUP($A11,TableHandbook[],5,FALSE)=0,"",VLOOKUP($A11,TableHandbook[],5,FALSE)),"")</f>
        <v/>
      </c>
      <c r="H11" s="152" t="str">
        <f>IFERROR(VLOOKUP($A11,TableHandbook[],H$2,FALSE),"")</f>
        <v/>
      </c>
      <c r="I11" s="149" t="str">
        <f>IFERROR(VLOOKUP($A11,TableHandbook[],I$2,FALSE),"")</f>
        <v/>
      </c>
      <c r="J11" s="149" t="str">
        <f>IFERROR(VLOOKUP($A11,TableHandbook[],J$2,FALSE),"")</f>
        <v/>
      </c>
      <c r="K11" s="153" t="str">
        <f>IFERROR(VLOOKUP($A11,TableHandbook[],K$2,FALSE),"")</f>
        <v/>
      </c>
      <c r="L11" s="32"/>
      <c r="M11" s="154">
        <v>3</v>
      </c>
      <c r="N11" s="155"/>
      <c r="O11" s="155"/>
    </row>
    <row r="12" spans="1:16" s="156" customFormat="1" ht="19.5" customHeight="1" x14ac:dyDescent="0.15">
      <c r="A12" s="148" t="str">
        <f>IFERROR(IF(HLOOKUP($L$5,RangeUnitsets,M12,FALSE)=0,"",HLOOKUP($L$5,RangeUnitsets,M12,FALSE)),"")</f>
        <v/>
      </c>
      <c r="B12" s="149" t="str">
        <f>IFERROR(IF(VLOOKUP($A12,TableHandbook[],2,FALSE)=0,"",VLOOKUP($A12,TableHandbook[],2,FALSE)),"")</f>
        <v/>
      </c>
      <c r="C12" s="149" t="str">
        <f>IFERROR(IF(VLOOKUP($A12,TableHandbook[],3,FALSE)=0,"",VLOOKUP($A12,TableHandbook[],3,FALSE)),"")</f>
        <v/>
      </c>
      <c r="D12" s="150" t="str">
        <f>IFERROR(IF(VLOOKUP($A12,TableHandbook[],4,FALSE)=0,"",VLOOKUP($A12,TableHandbook[],4,FALSE)),"")</f>
        <v/>
      </c>
      <c r="E12" s="149" t="str">
        <f t="shared" ref="E12:E13" si="0">IF(A12="","",E11)</f>
        <v/>
      </c>
      <c r="F12" s="151" t="str">
        <f>IFERROR(IF(VLOOKUP($A12,TableHandbook[],6,FALSE)=0,"",VLOOKUP($A12,TableHandbook[],6,FALSE)),"")</f>
        <v/>
      </c>
      <c r="G12" s="149" t="str">
        <f>IFERROR(IF(VLOOKUP($A12,TableHandbook[],5,FALSE)=0,"",VLOOKUP($A12,TableHandbook[],5,FALSE)),"")</f>
        <v/>
      </c>
      <c r="H12" s="152" t="str">
        <f>IFERROR(VLOOKUP($A12,TableHandbook[],H$2,FALSE),"")</f>
        <v/>
      </c>
      <c r="I12" s="149" t="str">
        <f>IFERROR(VLOOKUP($A12,TableHandbook[],I$2,FALSE),"")</f>
        <v/>
      </c>
      <c r="J12" s="149" t="str">
        <f>IFERROR(VLOOKUP($A12,TableHandbook[],J$2,FALSE),"")</f>
        <v/>
      </c>
      <c r="K12" s="153" t="str">
        <f>IFERROR(VLOOKUP($A12,TableHandbook[],K$2,FALSE),"")</f>
        <v/>
      </c>
      <c r="L12" s="75"/>
      <c r="M12" s="154">
        <v>4</v>
      </c>
      <c r="N12" s="155"/>
      <c r="O12" s="155"/>
    </row>
    <row r="13" spans="1:16" s="156" customFormat="1" ht="19.5" customHeight="1" x14ac:dyDescent="0.15">
      <c r="A13" s="148" t="str">
        <f>IFERROR(IF(HLOOKUP($L$5,RangeUnitsets,M13,FALSE)=0,"",HLOOKUP($L$5,RangeUnitsets,M13,FALSE)),"")</f>
        <v/>
      </c>
      <c r="B13" s="149" t="str">
        <f>IFERROR(IF(VLOOKUP($A13,TableHandbook[],2,FALSE)=0,"",VLOOKUP($A13,TableHandbook[],2,FALSE)),"")</f>
        <v/>
      </c>
      <c r="C13" s="149" t="str">
        <f>IFERROR(IF(VLOOKUP($A13,TableHandbook[],3,FALSE)=0,"",VLOOKUP($A13,TableHandbook[],3,FALSE)),"")</f>
        <v/>
      </c>
      <c r="D13" s="150" t="str">
        <f>IFERROR(IF(VLOOKUP($A13,TableHandbook[],4,FALSE)=0,"",VLOOKUP($A13,TableHandbook[],4,FALSE)),"")</f>
        <v/>
      </c>
      <c r="E13" s="149" t="str">
        <f t="shared" si="0"/>
        <v/>
      </c>
      <c r="F13" s="151" t="str">
        <f>IFERROR(IF(VLOOKUP($A13,TableHandbook[],6,FALSE)=0,"",VLOOKUP($A13,TableHandbook[],6,FALSE)),"")</f>
        <v/>
      </c>
      <c r="G13" s="149" t="str">
        <f>IFERROR(IF(VLOOKUP($A13,TableHandbook[],5,FALSE)=0,"",VLOOKUP($A13,TableHandbook[],5,FALSE)),"")</f>
        <v/>
      </c>
      <c r="H13" s="152" t="str">
        <f>IFERROR(VLOOKUP($A13,TableHandbook[],H$2,FALSE),"")</f>
        <v/>
      </c>
      <c r="I13" s="149" t="str">
        <f>IFERROR(VLOOKUP($A13,TableHandbook[],I$2,FALSE),"")</f>
        <v/>
      </c>
      <c r="J13" s="149" t="str">
        <f>IFERROR(VLOOKUP($A13,TableHandbook[],J$2,FALSE),"")</f>
        <v/>
      </c>
      <c r="K13" s="153" t="str">
        <f>IFERROR(VLOOKUP($A13,TableHandbook[],K$2,FALSE),"")</f>
        <v/>
      </c>
      <c r="L13" s="32"/>
      <c r="M13" s="154">
        <v>5</v>
      </c>
      <c r="N13" s="155"/>
      <c r="O13" s="155"/>
    </row>
    <row r="14" spans="1:16" s="156" customFormat="1" ht="5.0999999999999996" customHeight="1" x14ac:dyDescent="0.15">
      <c r="A14" s="157"/>
      <c r="B14" s="158"/>
      <c r="C14" s="158"/>
      <c r="D14" s="159"/>
      <c r="E14" s="158"/>
      <c r="F14" s="160"/>
      <c r="G14" s="158"/>
      <c r="H14" s="161"/>
      <c r="I14" s="158"/>
      <c r="J14" s="158"/>
      <c r="K14" s="162"/>
      <c r="L14" s="106"/>
      <c r="M14" s="154"/>
      <c r="N14" s="155"/>
      <c r="O14" s="155"/>
      <c r="P14" s="155"/>
    </row>
    <row r="15" spans="1:16" s="156" customFormat="1" ht="20.100000000000001" customHeight="1" x14ac:dyDescent="0.15">
      <c r="A15" s="148" t="str">
        <f>IFERROR(IF(HLOOKUP($L$5,RangeUnitsets,M15,FALSE)=0,"",HLOOKUP($L$5,RangeUnitsets,M15,FALSE)),"")</f>
        <v/>
      </c>
      <c r="B15" s="163" t="str">
        <f>IFERROR(IF(VLOOKUP($A15,TableHandbook[],2,FALSE)=0,"",VLOOKUP($A15,TableHandbook[],2,FALSE)),"")</f>
        <v/>
      </c>
      <c r="C15" s="163" t="str">
        <f>IFERROR(IF(VLOOKUP($A15,TableHandbook[],3,FALSE)=0,"",VLOOKUP($A15,TableHandbook[],3,FALSE)),"")</f>
        <v/>
      </c>
      <c r="D15" s="150" t="str">
        <f>IFERROR(IF(VLOOKUP($A15,TableHandbook[],4,FALSE)=0,"",VLOOKUP($A15,TableHandbook[],4,FALSE)),"")</f>
        <v/>
      </c>
      <c r="E15" s="149" t="str">
        <f>IF(A15="","",VLOOKUP($D$7,TableStudyPeriod[],3,FALSE))</f>
        <v/>
      </c>
      <c r="F15" s="151" t="str">
        <f>IFERROR(IF(VLOOKUP($A15,TableHandbook[],6,FALSE)=0,"",VLOOKUP($A15,TableHandbook[],6,FALSE)),"")</f>
        <v/>
      </c>
      <c r="G15" s="163" t="str">
        <f>IFERROR(IF(VLOOKUP($A15,TableHandbook[],5,FALSE)=0,"",VLOOKUP($A15,TableHandbook[],5,FALSE)),"")</f>
        <v/>
      </c>
      <c r="H15" s="164" t="str">
        <f>IFERROR(VLOOKUP($A15,TableHandbook[],H$2,FALSE),"")</f>
        <v/>
      </c>
      <c r="I15" s="163" t="str">
        <f>IFERROR(VLOOKUP($A15,TableHandbook[],I$2,FALSE),"")</f>
        <v/>
      </c>
      <c r="J15" s="163" t="str">
        <f>IFERROR(VLOOKUP($A15,TableHandbook[],J$2,FALSE),"")</f>
        <v/>
      </c>
      <c r="K15" s="165" t="str">
        <f>IFERROR(VLOOKUP($A15,TableHandbook[],K$2,FALSE),"")</f>
        <v/>
      </c>
      <c r="L15" s="75"/>
      <c r="M15" s="154">
        <v>6</v>
      </c>
      <c r="N15" s="155"/>
      <c r="O15" s="155"/>
    </row>
    <row r="16" spans="1:16" s="167" customFormat="1" ht="20.100000000000001" customHeight="1" x14ac:dyDescent="0.15">
      <c r="A16" s="148" t="str">
        <f>IFERROR(IF(HLOOKUP($L$5,RangeUnitsets,M16,FALSE)=0,"",HLOOKUP($L$5,RangeUnitsets,M16,FALSE)),"")</f>
        <v/>
      </c>
      <c r="B16" s="163" t="str">
        <f>IFERROR(IF(VLOOKUP($A16,TableHandbook[],2,FALSE)=0,"",VLOOKUP($A16,TableHandbook[],2,FALSE)),"")</f>
        <v/>
      </c>
      <c r="C16" s="163" t="str">
        <f>IFERROR(IF(VLOOKUP($A16,TableHandbook[],3,FALSE)=0,"",VLOOKUP($A16,TableHandbook[],3,FALSE)),"")</f>
        <v/>
      </c>
      <c r="D16" s="150" t="str">
        <f>IFERROR(IF(VLOOKUP($A16,TableHandbook[],4,FALSE)=0,"",VLOOKUP($A16,TableHandbook[],4,FALSE)),"")</f>
        <v/>
      </c>
      <c r="E16" s="149" t="str">
        <f>IF(A16="","",E15)</f>
        <v/>
      </c>
      <c r="F16" s="151" t="str">
        <f>IFERROR(IF(VLOOKUP($A16,TableHandbook[],6,FALSE)=0,"",VLOOKUP($A16,TableHandbook[],6,FALSE)),"")</f>
        <v/>
      </c>
      <c r="G16" s="163" t="str">
        <f>IFERROR(IF(VLOOKUP($A16,TableHandbook[],5,FALSE)=0,"",VLOOKUP($A16,TableHandbook[],5,FALSE)),"")</f>
        <v/>
      </c>
      <c r="H16" s="164" t="str">
        <f>IFERROR(VLOOKUP($A16,TableHandbook[],H$2,FALSE),"")</f>
        <v/>
      </c>
      <c r="I16" s="163" t="str">
        <f>IFERROR(VLOOKUP($A16,TableHandbook[],I$2,FALSE),"")</f>
        <v/>
      </c>
      <c r="J16" s="163" t="str">
        <f>IFERROR(VLOOKUP($A16,TableHandbook[],J$2,FALSE),"")</f>
        <v/>
      </c>
      <c r="K16" s="165" t="str">
        <f>IFERROR(VLOOKUP($A16,TableHandbook[],K$2,FALSE),"")</f>
        <v/>
      </c>
      <c r="L16" s="75"/>
      <c r="M16" s="154">
        <v>7</v>
      </c>
      <c r="N16" s="166"/>
      <c r="O16" s="166"/>
    </row>
    <row r="17" spans="1:16" s="167" customFormat="1" ht="20.100000000000001" customHeight="1" x14ac:dyDescent="0.15">
      <c r="A17" s="148" t="str">
        <f>IFERROR(IF(HLOOKUP($L$5,RangeUnitsets,M17,FALSE)=0,"",HLOOKUP($L$5,RangeUnitsets,M17,FALSE)),"")</f>
        <v/>
      </c>
      <c r="B17" s="163" t="str">
        <f>IFERROR(IF(VLOOKUP($A17,TableHandbook[],2,FALSE)=0,"",VLOOKUP($A17,TableHandbook[],2,FALSE)),"")</f>
        <v/>
      </c>
      <c r="C17" s="163" t="str">
        <f>IFERROR(IF(VLOOKUP($A17,TableHandbook[],3,FALSE)=0,"",VLOOKUP($A17,TableHandbook[],3,FALSE)),"")</f>
        <v/>
      </c>
      <c r="D17" s="150" t="str">
        <f>IFERROR(IF(VLOOKUP($A17,TableHandbook[],4,FALSE)=0,"",VLOOKUP($A17,TableHandbook[],4,FALSE)),"")</f>
        <v/>
      </c>
      <c r="E17" s="149" t="str">
        <f t="shared" ref="E17:E18" si="1">IF(A17="","",E16)</f>
        <v/>
      </c>
      <c r="F17" s="151" t="str">
        <f>IFERROR(IF(VLOOKUP($A17,TableHandbook[],6,FALSE)=0,"",VLOOKUP($A17,TableHandbook[],6,FALSE)),"")</f>
        <v/>
      </c>
      <c r="G17" s="163" t="str">
        <f>IFERROR(IF(VLOOKUP($A17,TableHandbook[],5,FALSE)=0,"",VLOOKUP($A17,TableHandbook[],5,FALSE)),"")</f>
        <v/>
      </c>
      <c r="H17" s="164" t="str">
        <f>IFERROR(VLOOKUP($A17,TableHandbook[],H$2,FALSE),"")</f>
        <v/>
      </c>
      <c r="I17" s="163" t="str">
        <f>IFERROR(VLOOKUP($A17,TableHandbook[],I$2,FALSE),"")</f>
        <v/>
      </c>
      <c r="J17" s="163" t="str">
        <f>IFERROR(VLOOKUP($A17,TableHandbook[],J$2,FALSE),"")</f>
        <v/>
      </c>
      <c r="K17" s="165" t="str">
        <f>IFERROR(VLOOKUP($A17,TableHandbook[],K$2,FALSE),"")</f>
        <v/>
      </c>
      <c r="L17" s="75"/>
      <c r="M17" s="154">
        <v>8</v>
      </c>
      <c r="N17" s="166"/>
      <c r="O17" s="166"/>
    </row>
    <row r="18" spans="1:16" s="167" customFormat="1" ht="20.100000000000001" customHeight="1" x14ac:dyDescent="0.15">
      <c r="A18" s="148" t="str">
        <f>IFERROR(IF(HLOOKUP($L$5,RangeUnitsets,M18,FALSE)=0,"",HLOOKUP($L$5,RangeUnitsets,M18,FALSE)),"")</f>
        <v/>
      </c>
      <c r="B18" s="163" t="str">
        <f>IFERROR(IF(VLOOKUP($A18,TableHandbook[],2,FALSE)=0,"",VLOOKUP($A18,TableHandbook[],2,FALSE)),"")</f>
        <v/>
      </c>
      <c r="C18" s="163" t="str">
        <f>IFERROR(IF(VLOOKUP($A18,TableHandbook[],3,FALSE)=0,"",VLOOKUP($A18,TableHandbook[],3,FALSE)),"")</f>
        <v/>
      </c>
      <c r="D18" s="168" t="str">
        <f>IFERROR(IF(VLOOKUP($A18,TableHandbook[],4,FALSE)=0,"",VLOOKUP($A18,TableHandbook[],4,FALSE)),"")</f>
        <v/>
      </c>
      <c r="E18" s="163" t="str">
        <f t="shared" si="1"/>
        <v/>
      </c>
      <c r="F18" s="151" t="str">
        <f>IFERROR(IF(VLOOKUP($A18,TableHandbook[],6,FALSE)=0,"",VLOOKUP($A18,TableHandbook[],6,FALSE)),"")</f>
        <v/>
      </c>
      <c r="G18" s="163" t="str">
        <f>IFERROR(IF(VLOOKUP($A18,TableHandbook[],5,FALSE)=0,"",VLOOKUP($A18,TableHandbook[],5,FALSE)),"")</f>
        <v/>
      </c>
      <c r="H18" s="164" t="str">
        <f>IFERROR(VLOOKUP($A18,TableHandbook[],H$2,FALSE),"")</f>
        <v/>
      </c>
      <c r="I18" s="163" t="str">
        <f>IFERROR(VLOOKUP($A18,TableHandbook[],I$2,FALSE),"")</f>
        <v/>
      </c>
      <c r="J18" s="163" t="str">
        <f>IFERROR(VLOOKUP($A18,TableHandbook[],J$2,FALSE),"")</f>
        <v/>
      </c>
      <c r="K18" s="165" t="str">
        <f>IFERROR(VLOOKUP($A18,TableHandbook[],K$2,FALSE),"")</f>
        <v/>
      </c>
      <c r="L18" s="75"/>
      <c r="M18" s="154">
        <v>9</v>
      </c>
      <c r="N18" s="166"/>
      <c r="O18" s="166"/>
    </row>
    <row r="19" spans="1:16" s="143" customFormat="1" ht="21" x14ac:dyDescent="0.25">
      <c r="A19" s="136" t="s">
        <v>29</v>
      </c>
      <c r="B19" s="136"/>
      <c r="C19" s="136"/>
      <c r="D19" s="144" t="s">
        <v>3</v>
      </c>
      <c r="E19" s="145" t="s">
        <v>21</v>
      </c>
      <c r="F19" s="145" t="s">
        <v>22</v>
      </c>
      <c r="G19" s="136" t="s">
        <v>23</v>
      </c>
      <c r="H19" s="146" t="s">
        <v>24</v>
      </c>
      <c r="I19" s="145" t="s">
        <v>25</v>
      </c>
      <c r="J19" s="145" t="s">
        <v>26</v>
      </c>
      <c r="K19" s="147" t="s">
        <v>27</v>
      </c>
      <c r="L19" s="136" t="s">
        <v>28</v>
      </c>
      <c r="M19" s="169"/>
      <c r="N19" s="142"/>
      <c r="O19" s="142"/>
    </row>
    <row r="20" spans="1:16" s="156" customFormat="1" ht="19.5" customHeight="1" x14ac:dyDescent="0.15">
      <c r="A20" s="148" t="str">
        <f>IFERROR(IF(HLOOKUP($L$5,RangeUnitsets,M20,FALSE)=0,"",HLOOKUP($L$5,RangeUnitsets,M20,FALSE)),"")</f>
        <v/>
      </c>
      <c r="B20" s="163" t="str">
        <f>IFERROR(IF(VLOOKUP($A20,TableHandbook[],2,FALSE)=0,"",VLOOKUP($A20,TableHandbook[],2,FALSE)),"")</f>
        <v/>
      </c>
      <c r="C20" s="163" t="str">
        <f>IFERROR(IF(VLOOKUP($A20,TableHandbook[],3,FALSE)=0,"",VLOOKUP($A20,TableHandbook[],3,FALSE)),"")</f>
        <v/>
      </c>
      <c r="D20" s="170" t="str">
        <f>IFERROR(IF(VLOOKUP($A20,TableHandbook[],4,FALSE)=0,"",VLOOKUP($A20,TableHandbook[],4,FALSE)),"")</f>
        <v/>
      </c>
      <c r="E20" s="163" t="str">
        <f>IF(OR(A20="",A20="--"),"",VLOOKUP($D$7,TableStudyPeriod[],2,FALSE))</f>
        <v/>
      </c>
      <c r="F20" s="151" t="str">
        <f>IFERROR(IF(VLOOKUP($A20,TableHandbook[],6,FALSE)=0,"",VLOOKUP($A20,TableHandbook[],6,FALSE)),"")</f>
        <v/>
      </c>
      <c r="G20" s="149" t="str">
        <f>IFERROR(IF(VLOOKUP($A20,TableHandbook[],5,FALSE)=0,"",VLOOKUP($A20,TableHandbook[],5,FALSE)),"")</f>
        <v/>
      </c>
      <c r="H20" s="152" t="str">
        <f>IFERROR(VLOOKUP($A20,TableHandbook[],H$2,FALSE),"")</f>
        <v/>
      </c>
      <c r="I20" s="149" t="str">
        <f>IFERROR(VLOOKUP($A20,TableHandbook[],I$2,FALSE),"")</f>
        <v/>
      </c>
      <c r="J20" s="149" t="str">
        <f>IFERROR(VLOOKUP($A20,TableHandbook[],J$2,FALSE),"")</f>
        <v/>
      </c>
      <c r="K20" s="153" t="str">
        <f>IFERROR(VLOOKUP($A20,TableHandbook[],K$2,FALSE),"")</f>
        <v/>
      </c>
      <c r="L20" s="32"/>
      <c r="M20" s="154">
        <v>10</v>
      </c>
      <c r="N20" s="155"/>
      <c r="O20" s="155"/>
    </row>
    <row r="21" spans="1:16" s="156" customFormat="1" ht="19.5" customHeight="1" x14ac:dyDescent="0.15">
      <c r="A21" s="148" t="str">
        <f>IFERROR(IF(HLOOKUP($L$5,RangeUnitsets,M21,FALSE)=0,"",HLOOKUP($L$5,RangeUnitsets,M21,FALSE)),"")</f>
        <v/>
      </c>
      <c r="B21" s="163" t="str">
        <f>IFERROR(IF(VLOOKUP($A21,TableHandbook[],2,FALSE)=0,"",VLOOKUP($A21,TableHandbook[],2,FALSE)),"")</f>
        <v/>
      </c>
      <c r="C21" s="163" t="str">
        <f>IFERROR(IF(VLOOKUP($A21,TableHandbook[],3,FALSE)=0,"",VLOOKUP($A21,TableHandbook[],3,FALSE)),"")</f>
        <v/>
      </c>
      <c r="D21" s="168" t="str">
        <f>IFERROR(IF(VLOOKUP($A21,TableHandbook[],4,FALSE)=0,"",VLOOKUP($A21,TableHandbook[],4,FALSE)),"")</f>
        <v/>
      </c>
      <c r="E21" s="163" t="str">
        <f>IF(A21="","",E20)</f>
        <v/>
      </c>
      <c r="F21" s="151" t="str">
        <f>IFERROR(IF(VLOOKUP($A21,TableHandbook[],6,FALSE)=0,"",VLOOKUP($A21,TableHandbook[],6,FALSE)),"")</f>
        <v/>
      </c>
      <c r="G21" s="149" t="str">
        <f>IFERROR(IF(VLOOKUP($A21,TableHandbook[],5,FALSE)=0,"",VLOOKUP($A21,TableHandbook[],5,FALSE)),"")</f>
        <v/>
      </c>
      <c r="H21" s="152" t="str">
        <f>IFERROR(VLOOKUP($A21,TableHandbook[],H$2,FALSE),"")</f>
        <v/>
      </c>
      <c r="I21" s="149" t="str">
        <f>IFERROR(VLOOKUP($A21,TableHandbook[],I$2,FALSE),"")</f>
        <v/>
      </c>
      <c r="J21" s="149" t="str">
        <f>IFERROR(VLOOKUP($A21,TableHandbook[],J$2,FALSE),"")</f>
        <v/>
      </c>
      <c r="K21" s="153" t="str">
        <f>IFERROR(VLOOKUP($A21,TableHandbook[],K$2,FALSE),"")</f>
        <v/>
      </c>
      <c r="L21" s="32"/>
      <c r="M21" s="154">
        <v>11</v>
      </c>
      <c r="N21" s="155"/>
      <c r="O21" s="155"/>
    </row>
    <row r="22" spans="1:16" s="156" customFormat="1" ht="19.5" customHeight="1" x14ac:dyDescent="0.15">
      <c r="A22" s="148" t="str">
        <f>IFERROR(IF(HLOOKUP($L$5,RangeUnitsets,M22,FALSE)=0,"",HLOOKUP($L$5,RangeUnitsets,M22,FALSE)),"")</f>
        <v/>
      </c>
      <c r="B22" s="163" t="str">
        <f>IFERROR(IF(VLOOKUP($A22,TableHandbook[],2,FALSE)=0,"",VLOOKUP($A22,TableHandbook[],2,FALSE)),"")</f>
        <v/>
      </c>
      <c r="C22" s="163" t="str">
        <f>IFERROR(IF(VLOOKUP($A22,TableHandbook[],3,FALSE)=0,"",VLOOKUP($A22,TableHandbook[],3,FALSE)),"")</f>
        <v/>
      </c>
      <c r="D22" s="168" t="str">
        <f>IFERROR(IF(VLOOKUP($A22,TableHandbook[],4,FALSE)=0,"",VLOOKUP($A22,TableHandbook[],4,FALSE)),"")</f>
        <v/>
      </c>
      <c r="E22" s="163" t="str">
        <f t="shared" ref="E22:E23" si="2">IF(A22="","",E21)</f>
        <v/>
      </c>
      <c r="F22" s="151" t="str">
        <f>IFERROR(IF(VLOOKUP($A22,TableHandbook[],6,FALSE)=0,"",VLOOKUP($A22,TableHandbook[],6,FALSE)),"")</f>
        <v/>
      </c>
      <c r="G22" s="149" t="str">
        <f>IFERROR(IF(VLOOKUP($A22,TableHandbook[],5,FALSE)=0,"",VLOOKUP($A22,TableHandbook[],5,FALSE)),"")</f>
        <v/>
      </c>
      <c r="H22" s="152" t="str">
        <f>IFERROR(VLOOKUP($A22,TableHandbook[],H$2,FALSE),"")</f>
        <v/>
      </c>
      <c r="I22" s="149" t="str">
        <f>IFERROR(VLOOKUP($A22,TableHandbook[],I$2,FALSE),"")</f>
        <v/>
      </c>
      <c r="J22" s="149" t="str">
        <f>IFERROR(VLOOKUP($A22,TableHandbook[],J$2,FALSE),"")</f>
        <v/>
      </c>
      <c r="K22" s="153" t="str">
        <f>IFERROR(VLOOKUP($A22,TableHandbook[],K$2,FALSE),"")</f>
        <v/>
      </c>
      <c r="L22" s="32"/>
      <c r="M22" s="154">
        <v>12</v>
      </c>
      <c r="N22" s="155"/>
      <c r="O22" s="155"/>
    </row>
    <row r="23" spans="1:16" s="156" customFormat="1" ht="19.5" customHeight="1" x14ac:dyDescent="0.15">
      <c r="A23" s="148" t="str">
        <f>IFERROR(IF(HLOOKUP($L$5,RangeUnitsets,M23,FALSE)=0,"",HLOOKUP($L$5,RangeUnitsets,M23,FALSE)),"")</f>
        <v/>
      </c>
      <c r="B23" s="163" t="str">
        <f>IFERROR(IF(VLOOKUP($A23,TableHandbook[],2,FALSE)=0,"",VLOOKUP($A23,TableHandbook[],2,FALSE)),"")</f>
        <v/>
      </c>
      <c r="C23" s="163" t="str">
        <f>IFERROR(IF(VLOOKUP($A23,TableHandbook[],3,FALSE)=0,"",VLOOKUP($A23,TableHandbook[],3,FALSE)),"")</f>
        <v/>
      </c>
      <c r="D23" s="168" t="str">
        <f>IFERROR(IF(VLOOKUP($A23,TableHandbook[],4,FALSE)=0,"",VLOOKUP($A23,TableHandbook[],4,FALSE)),"")</f>
        <v/>
      </c>
      <c r="E23" s="163" t="str">
        <f t="shared" si="2"/>
        <v/>
      </c>
      <c r="F23" s="151" t="str">
        <f>IFERROR(IF(VLOOKUP($A23,TableHandbook[],6,FALSE)=0,"",VLOOKUP($A23,TableHandbook[],6,FALSE)),"")</f>
        <v/>
      </c>
      <c r="G23" s="149" t="str">
        <f>IFERROR(IF(VLOOKUP($A23,TableHandbook[],5,FALSE)=0,"",VLOOKUP($A23,TableHandbook[],5,FALSE)),"")</f>
        <v/>
      </c>
      <c r="H23" s="152" t="str">
        <f>IFERROR(VLOOKUP($A23,TableHandbook[],H$2,FALSE),"")</f>
        <v/>
      </c>
      <c r="I23" s="149" t="str">
        <f>IFERROR(VLOOKUP($A23,TableHandbook[],I$2,FALSE),"")</f>
        <v/>
      </c>
      <c r="J23" s="149" t="str">
        <f>IFERROR(VLOOKUP($A23,TableHandbook[],J$2,FALSE),"")</f>
        <v/>
      </c>
      <c r="K23" s="153" t="str">
        <f>IFERROR(VLOOKUP($A23,TableHandbook[],K$2,FALSE),"")</f>
        <v/>
      </c>
      <c r="L23" s="32"/>
      <c r="M23" s="154">
        <v>13</v>
      </c>
      <c r="N23" s="155"/>
      <c r="O23" s="155"/>
    </row>
    <row r="24" spans="1:16" s="156" customFormat="1" ht="5.0999999999999996" customHeight="1" x14ac:dyDescent="0.15">
      <c r="A24" s="157"/>
      <c r="B24" s="158"/>
      <c r="C24" s="158"/>
      <c r="D24" s="159"/>
      <c r="E24" s="158"/>
      <c r="F24" s="160"/>
      <c r="G24" s="158"/>
      <c r="H24" s="161"/>
      <c r="I24" s="158"/>
      <c r="J24" s="158"/>
      <c r="K24" s="162"/>
      <c r="L24" s="106"/>
      <c r="M24" s="154"/>
      <c r="N24" s="155"/>
      <c r="O24" s="155"/>
      <c r="P24" s="155"/>
    </row>
    <row r="25" spans="1:16" s="156" customFormat="1" ht="19.5" customHeight="1" x14ac:dyDescent="0.15">
      <c r="A25" s="148" t="str">
        <f>IFERROR(IF(HLOOKUP($L$5,RangeUnitsets,M25,FALSE)=0,"",HLOOKUP($L$5,RangeUnitsets,M25,FALSE)),"")</f>
        <v/>
      </c>
      <c r="B25" s="163" t="str">
        <f>IFERROR(IF(VLOOKUP($A25,TableHandbook[],2,FALSE)=0,"",VLOOKUP($A25,TableHandbook[],2,FALSE)),"")</f>
        <v/>
      </c>
      <c r="C25" s="163" t="str">
        <f>IFERROR(IF(VLOOKUP($A25,TableHandbook[],3,FALSE)=0,"",VLOOKUP($A25,TableHandbook[],3,FALSE)),"")</f>
        <v/>
      </c>
      <c r="D25" s="168" t="str">
        <f>IFERROR(IF(VLOOKUP($A25,TableHandbook[],4,FALSE)=0,"",VLOOKUP($A25,TableHandbook[],4,FALSE)),"")</f>
        <v/>
      </c>
      <c r="E25" s="163" t="str">
        <f>IF(A25="","",VLOOKUP($D$7,TableStudyPeriod[],3,FALSE))</f>
        <v/>
      </c>
      <c r="F25" s="151" t="str">
        <f>IFERROR(IF(VLOOKUP($A25,TableHandbook[],6,FALSE)=0,"",VLOOKUP($A25,TableHandbook[],6,FALSE)),"")</f>
        <v/>
      </c>
      <c r="G25" s="149" t="str">
        <f>IFERROR(IF(VLOOKUP($A25,TableHandbook[],5,FALSE)=0,"",VLOOKUP($A25,TableHandbook[],5,FALSE)),"")</f>
        <v/>
      </c>
      <c r="H25" s="152" t="str">
        <f>IFERROR(VLOOKUP($A25,TableHandbook[],H$2,FALSE),"")</f>
        <v/>
      </c>
      <c r="I25" s="149" t="str">
        <f>IFERROR(VLOOKUP($A25,TableHandbook[],I$2,FALSE),"")</f>
        <v/>
      </c>
      <c r="J25" s="149" t="str">
        <f>IFERROR(VLOOKUP($A25,TableHandbook[],J$2,FALSE),"")</f>
        <v/>
      </c>
      <c r="K25" s="153" t="str">
        <f>IFERROR(VLOOKUP($A25,TableHandbook[],K$2,FALSE),"")</f>
        <v/>
      </c>
      <c r="L25" s="32"/>
      <c r="M25" s="154">
        <v>14</v>
      </c>
      <c r="N25" s="155"/>
      <c r="O25" s="155"/>
    </row>
    <row r="26" spans="1:16" s="156" customFormat="1" ht="19.5" customHeight="1" x14ac:dyDescent="0.15">
      <c r="A26" s="148" t="str">
        <f>IFERROR(IF(HLOOKUP($L$5,RangeUnitsets,M26,FALSE)=0,"",HLOOKUP($L$5,RangeUnitsets,M26,FALSE)),"")</f>
        <v/>
      </c>
      <c r="B26" s="163" t="str">
        <f>IFERROR(IF(VLOOKUP($A26,TableHandbook[],2,FALSE)=0,"",VLOOKUP($A26,TableHandbook[],2,FALSE)),"")</f>
        <v/>
      </c>
      <c r="C26" s="163" t="str">
        <f>IFERROR(IF(VLOOKUP($A26,TableHandbook[],3,FALSE)=0,"",VLOOKUP($A26,TableHandbook[],3,FALSE)),"")</f>
        <v/>
      </c>
      <c r="D26" s="168" t="str">
        <f>IFERROR(IF(VLOOKUP($A26,TableHandbook[],4,FALSE)=0,"",VLOOKUP($A26,TableHandbook[],4,FALSE)),"")</f>
        <v/>
      </c>
      <c r="E26" s="163" t="str">
        <f>IF(A26="","",E25)</f>
        <v/>
      </c>
      <c r="F26" s="151" t="str">
        <f>IFERROR(IF(VLOOKUP($A26,TableHandbook[],6,FALSE)=0,"",VLOOKUP($A26,TableHandbook[],6,FALSE)),"")</f>
        <v/>
      </c>
      <c r="G26" s="149" t="str">
        <f>IFERROR(IF(VLOOKUP($A26,TableHandbook[],5,FALSE)=0,"",VLOOKUP($A26,TableHandbook[],5,FALSE)),"")</f>
        <v/>
      </c>
      <c r="H26" s="152" t="str">
        <f>IFERROR(VLOOKUP($A26,TableHandbook[],H$2,FALSE),"")</f>
        <v/>
      </c>
      <c r="I26" s="149" t="str">
        <f>IFERROR(VLOOKUP($A26,TableHandbook[],I$2,FALSE),"")</f>
        <v/>
      </c>
      <c r="J26" s="149" t="str">
        <f>IFERROR(VLOOKUP($A26,TableHandbook[],J$2,FALSE),"")</f>
        <v/>
      </c>
      <c r="K26" s="153" t="str">
        <f>IFERROR(VLOOKUP($A26,TableHandbook[],K$2,FALSE),"")</f>
        <v/>
      </c>
      <c r="L26" s="32"/>
      <c r="M26" s="154">
        <v>15</v>
      </c>
      <c r="N26" s="155"/>
      <c r="O26" s="155"/>
    </row>
    <row r="27" spans="1:16" s="167" customFormat="1" ht="19.5" customHeight="1" x14ac:dyDescent="0.15">
      <c r="A27" s="148" t="str">
        <f>IFERROR(IF(HLOOKUP($L$5,RangeUnitsets,M27,FALSE)=0,"",HLOOKUP($L$5,RangeUnitsets,M27,FALSE)),"")</f>
        <v/>
      </c>
      <c r="B27" s="163" t="str">
        <f>IFERROR(IF(VLOOKUP($A27,TableHandbook[],2,FALSE)=0,"",VLOOKUP($A27,TableHandbook[],2,FALSE)),"")</f>
        <v/>
      </c>
      <c r="C27" s="163" t="str">
        <f>IFERROR(IF(VLOOKUP($A27,TableHandbook[],3,FALSE)=0,"",VLOOKUP($A27,TableHandbook[],3,FALSE)),"")</f>
        <v/>
      </c>
      <c r="D27" s="168" t="str">
        <f>IFERROR(IF(VLOOKUP($A27,TableHandbook[],4,FALSE)=0,"",VLOOKUP($A27,TableHandbook[],4,FALSE)),"")</f>
        <v/>
      </c>
      <c r="E27" s="163" t="str">
        <f t="shared" ref="E27:E28" si="3">IF(A27="","",E26)</f>
        <v/>
      </c>
      <c r="F27" s="151" t="str">
        <f>IFERROR(IF(VLOOKUP($A27,TableHandbook[],6,FALSE)=0,"",VLOOKUP($A27,TableHandbook[],6,FALSE)),"")</f>
        <v/>
      </c>
      <c r="G27" s="149" t="str">
        <f>IFERROR(IF(VLOOKUP($A27,TableHandbook[],5,FALSE)=0,"",VLOOKUP($A27,TableHandbook[],5,FALSE)),"")</f>
        <v/>
      </c>
      <c r="H27" s="152" t="str">
        <f>IFERROR(VLOOKUP($A27,TableHandbook[],H$2,FALSE),"")</f>
        <v/>
      </c>
      <c r="I27" s="149" t="str">
        <f>IFERROR(VLOOKUP($A27,TableHandbook[],I$2,FALSE),"")</f>
        <v/>
      </c>
      <c r="J27" s="149" t="str">
        <f>IFERROR(VLOOKUP($A27,TableHandbook[],J$2,FALSE),"")</f>
        <v/>
      </c>
      <c r="K27" s="153" t="str">
        <f>IFERROR(VLOOKUP($A27,TableHandbook[],K$2,FALSE),"")</f>
        <v/>
      </c>
      <c r="L27" s="32"/>
      <c r="M27" s="154">
        <v>16</v>
      </c>
      <c r="N27" s="166"/>
      <c r="O27" s="166"/>
    </row>
    <row r="28" spans="1:16" s="167" customFormat="1" ht="19.5" customHeight="1" x14ac:dyDescent="0.15">
      <c r="A28" s="148" t="str">
        <f>IFERROR(IF(HLOOKUP($L$5,RangeUnitsets,M28,FALSE)=0,"",HLOOKUP($L$5,RangeUnitsets,M28,FALSE)),"")</f>
        <v/>
      </c>
      <c r="B28" s="163" t="str">
        <f>IFERROR(IF(VLOOKUP($A28,TableHandbook[],2,FALSE)=0,"",VLOOKUP($A28,TableHandbook[],2,FALSE)),"")</f>
        <v/>
      </c>
      <c r="C28" s="163" t="str">
        <f>IFERROR(IF(VLOOKUP($A28,TableHandbook[],3,FALSE)=0,"",VLOOKUP($A28,TableHandbook[],3,FALSE)),"")</f>
        <v/>
      </c>
      <c r="D28" s="168" t="str">
        <f>IFERROR(IF(VLOOKUP($A28,TableHandbook[],4,FALSE)=0,"",VLOOKUP($A28,TableHandbook[],4,FALSE)),"")</f>
        <v/>
      </c>
      <c r="E28" s="149" t="str">
        <f t="shared" si="3"/>
        <v/>
      </c>
      <c r="F28" s="151" t="str">
        <f>IFERROR(IF(VLOOKUP($A28,TableHandbook[],6,FALSE)=0,"",VLOOKUP($A28,TableHandbook[],6,FALSE)),"")</f>
        <v/>
      </c>
      <c r="G28" s="149" t="str">
        <f>IFERROR(IF(VLOOKUP($A28,TableHandbook[],5,FALSE)=0,"",VLOOKUP($A28,TableHandbook[],5,FALSE)),"")</f>
        <v/>
      </c>
      <c r="H28" s="152" t="str">
        <f>IFERROR(VLOOKUP($A28,TableHandbook[],H$2,FALSE),"")</f>
        <v/>
      </c>
      <c r="I28" s="149" t="str">
        <f>IFERROR(VLOOKUP($A28,TableHandbook[],I$2,FALSE),"")</f>
        <v/>
      </c>
      <c r="J28" s="149" t="str">
        <f>IFERROR(VLOOKUP($A28,TableHandbook[],J$2,FALSE),"")</f>
        <v/>
      </c>
      <c r="K28" s="153" t="str">
        <f>IFERROR(VLOOKUP($A28,TableHandbook[],K$2,FALSE),"")</f>
        <v/>
      </c>
      <c r="L28" s="32"/>
      <c r="M28" s="154">
        <v>17</v>
      </c>
      <c r="N28" s="166"/>
      <c r="O28" s="166"/>
    </row>
    <row r="29" spans="1:16" s="143" customFormat="1" ht="21" x14ac:dyDescent="0.25">
      <c r="A29" s="136" t="s">
        <v>30</v>
      </c>
      <c r="B29" s="136"/>
      <c r="C29" s="136"/>
      <c r="D29" s="144" t="s">
        <v>3</v>
      </c>
      <c r="E29" s="145" t="s">
        <v>21</v>
      </c>
      <c r="F29" s="145" t="s">
        <v>22</v>
      </c>
      <c r="G29" s="136" t="s">
        <v>23</v>
      </c>
      <c r="H29" s="146" t="s">
        <v>24</v>
      </c>
      <c r="I29" s="145" t="s">
        <v>25</v>
      </c>
      <c r="J29" s="145" t="s">
        <v>26</v>
      </c>
      <c r="K29" s="147" t="s">
        <v>27</v>
      </c>
      <c r="L29" s="136" t="s">
        <v>28</v>
      </c>
      <c r="M29" s="169"/>
      <c r="N29" s="142"/>
      <c r="O29" s="142"/>
    </row>
    <row r="30" spans="1:16" s="156" customFormat="1" ht="20.100000000000001" customHeight="1" x14ac:dyDescent="0.15">
      <c r="A30" s="171" t="str">
        <f t="shared" ref="A30:A37" si="4">IFERROR(IF(HLOOKUP($L$5,RangeUnitsets,M30,FALSE)=0,"",HLOOKUP($L$5,RangeUnitsets,M30,FALSE)),"")</f>
        <v/>
      </c>
      <c r="B30" s="172" t="str">
        <f>IFERROR(IF(VLOOKUP($A30,TableHandbook[],2,FALSE)=0,"",VLOOKUP($A30,TableHandbook[],2,FALSE)),"")</f>
        <v/>
      </c>
      <c r="C30" s="172" t="str">
        <f>IFERROR(IF(VLOOKUP($A30,TableHandbook[],3,FALSE)=0,"",VLOOKUP($A30,TableHandbook[],3,FALSE)),"")</f>
        <v/>
      </c>
      <c r="D30" s="173" t="str">
        <f>IFERROR(IF(VLOOKUP($A30,TableHandbook[],4,FALSE)=0,"",VLOOKUP($A30,TableHandbook[],4,FALSE)),"")</f>
        <v/>
      </c>
      <c r="E30" s="172"/>
      <c r="F30" s="174" t="str">
        <f>IFERROR(IF(VLOOKUP($A30,TableHandbook[],6,FALSE)=0,"",VLOOKUP($A30,TableHandbook[],6,FALSE)),"")</f>
        <v/>
      </c>
      <c r="G30" s="175" t="str">
        <f>IFERROR(IF(VLOOKUP($A30,TableHandbook[],5,FALSE)=0,"",VLOOKUP($A30,TableHandbook[],5,FALSE)),"")</f>
        <v/>
      </c>
      <c r="H30" s="176" t="str">
        <f>IFERROR(VLOOKUP($A30,TableHandbook[],H$2,FALSE),"")</f>
        <v/>
      </c>
      <c r="I30" s="175" t="str">
        <f>IFERROR(VLOOKUP($A30,TableHandbook[],I$2,FALSE),"")</f>
        <v/>
      </c>
      <c r="J30" s="175" t="str">
        <f>IFERROR(VLOOKUP($A30,TableHandbook[],J$2,FALSE),"")</f>
        <v/>
      </c>
      <c r="K30" s="177" t="str">
        <f>IFERROR(VLOOKUP($A30,TableHandbook[],K$2,FALSE),"")</f>
        <v/>
      </c>
      <c r="L30" s="107"/>
      <c r="M30" s="154">
        <v>18</v>
      </c>
      <c r="N30" s="155"/>
      <c r="O30" s="155"/>
    </row>
    <row r="31" spans="1:16" s="156" customFormat="1" ht="20.100000000000001" customHeight="1" x14ac:dyDescent="0.15">
      <c r="A31" s="171" t="str">
        <f t="shared" si="4"/>
        <v/>
      </c>
      <c r="B31" s="172" t="str">
        <f>IFERROR(IF(VLOOKUP($A31,TableHandbook[],2,FALSE)=0,"",VLOOKUP($A31,TableHandbook[],2,FALSE)),"")</f>
        <v/>
      </c>
      <c r="C31" s="172" t="str">
        <f>IFERROR(IF(VLOOKUP($A31,TableHandbook[],3,FALSE)=0,"",VLOOKUP($A31,TableHandbook[],3,FALSE)),"")</f>
        <v/>
      </c>
      <c r="D31" s="178" t="str">
        <f>IFERROR(IF(VLOOKUP($A31,TableHandbook[],4,FALSE)=0,"",VLOOKUP($A31,TableHandbook[],4,FALSE)),"")</f>
        <v/>
      </c>
      <c r="E31" s="172"/>
      <c r="F31" s="174" t="str">
        <f>IFERROR(IF(VLOOKUP($A31,TableHandbook[],6,FALSE)=0,"",VLOOKUP($A31,TableHandbook[],6,FALSE)),"")</f>
        <v/>
      </c>
      <c r="G31" s="175" t="str">
        <f>IFERROR(IF(VLOOKUP($A31,TableHandbook[],5,FALSE)=0,"",VLOOKUP($A31,TableHandbook[],5,FALSE)),"")</f>
        <v/>
      </c>
      <c r="H31" s="176" t="str">
        <f>IFERROR(VLOOKUP($A31,TableHandbook[],H$2,FALSE),"")</f>
        <v/>
      </c>
      <c r="I31" s="175" t="str">
        <f>IFERROR(VLOOKUP($A31,TableHandbook[],I$2,FALSE),"")</f>
        <v/>
      </c>
      <c r="J31" s="175" t="str">
        <f>IFERROR(VLOOKUP($A31,TableHandbook[],J$2,FALSE),"")</f>
        <v/>
      </c>
      <c r="K31" s="177" t="str">
        <f>IFERROR(VLOOKUP($A31,TableHandbook[],K$2,FALSE),"")</f>
        <v/>
      </c>
      <c r="L31" s="107"/>
      <c r="M31" s="154">
        <v>19</v>
      </c>
      <c r="N31" s="155"/>
      <c r="O31" s="155"/>
    </row>
    <row r="32" spans="1:16" s="156" customFormat="1" ht="20.100000000000001" customHeight="1" x14ac:dyDescent="0.15">
      <c r="A32" s="171" t="str">
        <f t="shared" si="4"/>
        <v/>
      </c>
      <c r="B32" s="172" t="str">
        <f>IFERROR(IF(VLOOKUP($A32,TableHandbook[],2,FALSE)=0,"",VLOOKUP($A32,TableHandbook[],2,FALSE)),"")</f>
        <v/>
      </c>
      <c r="C32" s="172" t="str">
        <f>IFERROR(IF(VLOOKUP($A32,TableHandbook[],3,FALSE)=0,"",VLOOKUP($A32,TableHandbook[],3,FALSE)),"")</f>
        <v/>
      </c>
      <c r="D32" s="178" t="str">
        <f>IFERROR(IF(VLOOKUP($A32,TableHandbook[],4,FALSE)=0,"",VLOOKUP($A32,TableHandbook[],4,FALSE)),"")</f>
        <v/>
      </c>
      <c r="E32" s="172"/>
      <c r="F32" s="174" t="str">
        <f>IFERROR(IF(VLOOKUP($A32,TableHandbook[],6,FALSE)=0,"",VLOOKUP($A32,TableHandbook[],6,FALSE)),"")</f>
        <v/>
      </c>
      <c r="G32" s="175" t="str">
        <f>IFERROR(IF(VLOOKUP($A32,TableHandbook[],5,FALSE)=0,"",VLOOKUP($A32,TableHandbook[],5,FALSE)),"")</f>
        <v/>
      </c>
      <c r="H32" s="176" t="str">
        <f>IFERROR(VLOOKUP($A32,TableHandbook[],H$2,FALSE),"")</f>
        <v/>
      </c>
      <c r="I32" s="175" t="str">
        <f>IFERROR(VLOOKUP($A32,TableHandbook[],I$2,FALSE),"")</f>
        <v/>
      </c>
      <c r="J32" s="175" t="str">
        <f>IFERROR(VLOOKUP($A32,TableHandbook[],J$2,FALSE),"")</f>
        <v/>
      </c>
      <c r="K32" s="177" t="str">
        <f>IFERROR(VLOOKUP($A32,TableHandbook[],K$2,FALSE),"")</f>
        <v/>
      </c>
      <c r="L32" s="107"/>
      <c r="M32" s="154">
        <v>20</v>
      </c>
      <c r="N32" s="155"/>
      <c r="O32" s="155"/>
    </row>
    <row r="33" spans="1:15" s="156" customFormat="1" ht="20.100000000000001" customHeight="1" x14ac:dyDescent="0.15">
      <c r="A33" s="171" t="str">
        <f t="shared" si="4"/>
        <v/>
      </c>
      <c r="B33" s="172" t="str">
        <f>IFERROR(IF(VLOOKUP($A33,TableHandbook[],2,FALSE)=0,"",VLOOKUP($A33,TableHandbook[],2,FALSE)),"")</f>
        <v/>
      </c>
      <c r="C33" s="172" t="str">
        <f>IFERROR(IF(VLOOKUP($A33,TableHandbook[],3,FALSE)=0,"",VLOOKUP($A33,TableHandbook[],3,FALSE)),"")</f>
        <v/>
      </c>
      <c r="D33" s="178" t="str">
        <f>IFERROR(IF(VLOOKUP($A33,TableHandbook[],4,FALSE)=0,"",VLOOKUP($A33,TableHandbook[],4,FALSE)),"")</f>
        <v/>
      </c>
      <c r="E33" s="172"/>
      <c r="F33" s="174" t="str">
        <f>IFERROR(IF(VLOOKUP($A33,TableHandbook[],6,FALSE)=0,"",VLOOKUP($A33,TableHandbook[],6,FALSE)),"")</f>
        <v/>
      </c>
      <c r="G33" s="175" t="str">
        <f>IFERROR(IF(VLOOKUP($A33,TableHandbook[],5,FALSE)=0,"",VLOOKUP($A33,TableHandbook[],5,FALSE)),"")</f>
        <v/>
      </c>
      <c r="H33" s="176" t="str">
        <f>IFERROR(VLOOKUP($A33,TableHandbook[],H$2,FALSE),"")</f>
        <v/>
      </c>
      <c r="I33" s="175" t="str">
        <f>IFERROR(VLOOKUP($A33,TableHandbook[],I$2,FALSE),"")</f>
        <v/>
      </c>
      <c r="J33" s="175" t="str">
        <f>IFERROR(VLOOKUP($A33,TableHandbook[],J$2,FALSE),"")</f>
        <v/>
      </c>
      <c r="K33" s="177" t="str">
        <f>IFERROR(VLOOKUP($A33,TableHandbook[],K$2,FALSE),"")</f>
        <v/>
      </c>
      <c r="L33" s="107"/>
      <c r="M33" s="154">
        <v>21</v>
      </c>
      <c r="N33" s="155"/>
      <c r="O33" s="155"/>
    </row>
    <row r="34" spans="1:15" s="156" customFormat="1" ht="20.100000000000001" customHeight="1" x14ac:dyDescent="0.15">
      <c r="A34" s="171" t="str">
        <f t="shared" si="4"/>
        <v/>
      </c>
      <c r="B34" s="172" t="str">
        <f>IFERROR(IF(VLOOKUP($A34,TableHandbook[],2,FALSE)=0,"",VLOOKUP($A34,TableHandbook[],2,FALSE)),"")</f>
        <v/>
      </c>
      <c r="C34" s="172" t="str">
        <f>IFERROR(IF(VLOOKUP($A34,TableHandbook[],3,FALSE)=0,"",VLOOKUP($A34,TableHandbook[],3,FALSE)),"")</f>
        <v/>
      </c>
      <c r="D34" s="178" t="str">
        <f>IFERROR(IF(VLOOKUP($A34,TableHandbook[],4,FALSE)=0,"",VLOOKUP($A34,TableHandbook[],4,FALSE)),"")</f>
        <v/>
      </c>
      <c r="E34" s="172"/>
      <c r="F34" s="174" t="str">
        <f>IFERROR(IF(VLOOKUP($A34,TableHandbook[],6,FALSE)=0,"",VLOOKUP($A34,TableHandbook[],6,FALSE)),"")</f>
        <v/>
      </c>
      <c r="G34" s="175" t="str">
        <f>IFERROR(IF(VLOOKUP($A34,TableHandbook[],5,FALSE)=0,"",VLOOKUP($A34,TableHandbook[],5,FALSE)),"")</f>
        <v/>
      </c>
      <c r="H34" s="176" t="str">
        <f>IFERROR(VLOOKUP($A34,TableHandbook[],H$2,FALSE),"")</f>
        <v/>
      </c>
      <c r="I34" s="175" t="str">
        <f>IFERROR(VLOOKUP($A34,TableHandbook[],I$2,FALSE),"")</f>
        <v/>
      </c>
      <c r="J34" s="175" t="str">
        <f>IFERROR(VLOOKUP($A34,TableHandbook[],J$2,FALSE),"")</f>
        <v/>
      </c>
      <c r="K34" s="177" t="str">
        <f>IFERROR(VLOOKUP($A34,TableHandbook[],K$2,FALSE),"")</f>
        <v/>
      </c>
      <c r="L34" s="107"/>
      <c r="M34" s="154">
        <v>22</v>
      </c>
      <c r="N34" s="155"/>
      <c r="O34" s="155"/>
    </row>
    <row r="35" spans="1:15" s="156" customFormat="1" ht="20.100000000000001" customHeight="1" x14ac:dyDescent="0.15">
      <c r="A35" s="171" t="str">
        <f t="shared" si="4"/>
        <v/>
      </c>
      <c r="B35" s="172" t="str">
        <f>IFERROR(IF(VLOOKUP($A35,TableHandbook[],2,FALSE)=0,"",VLOOKUP($A35,TableHandbook[],2,FALSE)),"")</f>
        <v/>
      </c>
      <c r="C35" s="172" t="str">
        <f>IFERROR(IF(VLOOKUP($A35,TableHandbook[],3,FALSE)=0,"",VLOOKUP($A35,TableHandbook[],3,FALSE)),"")</f>
        <v/>
      </c>
      <c r="D35" s="178" t="str">
        <f>IFERROR(IF(VLOOKUP($A35,TableHandbook[],4,FALSE)=0,"",VLOOKUP($A35,TableHandbook[],4,FALSE)),"")</f>
        <v/>
      </c>
      <c r="E35" s="172"/>
      <c r="F35" s="174" t="str">
        <f>IFERROR(IF(VLOOKUP($A35,TableHandbook[],6,FALSE)=0,"",VLOOKUP($A35,TableHandbook[],6,FALSE)),"")</f>
        <v/>
      </c>
      <c r="G35" s="175" t="str">
        <f>IFERROR(IF(VLOOKUP($A35,TableHandbook[],5,FALSE)=0,"",VLOOKUP($A35,TableHandbook[],5,FALSE)),"")</f>
        <v/>
      </c>
      <c r="H35" s="176" t="str">
        <f>IFERROR(VLOOKUP($A35,TableHandbook[],H$2,FALSE),"")</f>
        <v/>
      </c>
      <c r="I35" s="175" t="str">
        <f>IFERROR(VLOOKUP($A35,TableHandbook[],I$2,FALSE),"")</f>
        <v/>
      </c>
      <c r="J35" s="175" t="str">
        <f>IFERROR(VLOOKUP($A35,TableHandbook[],J$2,FALSE),"")</f>
        <v/>
      </c>
      <c r="K35" s="177" t="str">
        <f>IFERROR(VLOOKUP($A35,TableHandbook[],K$2,FALSE),"")</f>
        <v/>
      </c>
      <c r="L35" s="107"/>
      <c r="M35" s="154">
        <v>23</v>
      </c>
      <c r="N35" s="155"/>
      <c r="O35" s="155"/>
    </row>
    <row r="36" spans="1:15" s="167" customFormat="1" ht="20.100000000000001" customHeight="1" x14ac:dyDescent="0.15">
      <c r="A36" s="171" t="str">
        <f t="shared" si="4"/>
        <v/>
      </c>
      <c r="B36" s="172" t="str">
        <f>IFERROR(IF(VLOOKUP($A36,TableHandbook[],2,FALSE)=0,"",VLOOKUP($A36,TableHandbook[],2,FALSE)),"")</f>
        <v/>
      </c>
      <c r="C36" s="172" t="str">
        <f>IFERROR(IF(VLOOKUP($A36,TableHandbook[],3,FALSE)=0,"",VLOOKUP($A36,TableHandbook[],3,FALSE)),"")</f>
        <v/>
      </c>
      <c r="D36" s="178" t="str">
        <f>IFERROR(IF(VLOOKUP($A36,TableHandbook[],4,FALSE)=0,"",VLOOKUP($A36,TableHandbook[],4,FALSE)),"")</f>
        <v/>
      </c>
      <c r="E36" s="172"/>
      <c r="F36" s="174" t="str">
        <f>IFERROR(IF(VLOOKUP($A36,TableHandbook[],6,FALSE)=0,"",VLOOKUP($A36,TableHandbook[],6,FALSE)),"")</f>
        <v/>
      </c>
      <c r="G36" s="175" t="str">
        <f>IFERROR(IF(VLOOKUP($A36,TableHandbook[],5,FALSE)=0,"",VLOOKUP($A36,TableHandbook[],5,FALSE)),"")</f>
        <v/>
      </c>
      <c r="H36" s="176" t="str">
        <f>IFERROR(VLOOKUP($A36,TableHandbook[],H$2,FALSE),"")</f>
        <v/>
      </c>
      <c r="I36" s="175" t="str">
        <f>IFERROR(VLOOKUP($A36,TableHandbook[],I$2,FALSE),"")</f>
        <v/>
      </c>
      <c r="J36" s="175" t="str">
        <f>IFERROR(VLOOKUP($A36,TableHandbook[],J$2,FALSE),"")</f>
        <v/>
      </c>
      <c r="K36" s="177" t="str">
        <f>IFERROR(VLOOKUP($A36,TableHandbook[],K$2,FALSE),"")</f>
        <v/>
      </c>
      <c r="L36" s="107"/>
      <c r="M36" s="154">
        <v>24</v>
      </c>
      <c r="N36" s="166"/>
      <c r="O36" s="166"/>
    </row>
    <row r="37" spans="1:15" s="167" customFormat="1" ht="20.100000000000001" customHeight="1" x14ac:dyDescent="0.15">
      <c r="A37" s="171" t="str">
        <f t="shared" si="4"/>
        <v/>
      </c>
      <c r="B37" s="172" t="str">
        <f>IFERROR(IF(VLOOKUP($A37,TableHandbook[],2,FALSE)=0,"",VLOOKUP($A37,TableHandbook[],2,FALSE)),"")</f>
        <v/>
      </c>
      <c r="C37" s="172" t="str">
        <f>IFERROR(IF(VLOOKUP($A37,TableHandbook[],3,FALSE)=0,"",VLOOKUP($A37,TableHandbook[],3,FALSE)),"")</f>
        <v/>
      </c>
      <c r="D37" s="178" t="str">
        <f>IFERROR(IF(VLOOKUP($A37,TableHandbook[],4,FALSE)=0,"",VLOOKUP($A37,TableHandbook[],4,FALSE)),"")</f>
        <v/>
      </c>
      <c r="E37" s="175"/>
      <c r="F37" s="174" t="str">
        <f>IFERROR(IF(VLOOKUP($A37,TableHandbook[],6,FALSE)=0,"",VLOOKUP($A37,TableHandbook[],6,FALSE)),"")</f>
        <v/>
      </c>
      <c r="G37" s="175" t="str">
        <f>IFERROR(IF(VLOOKUP($A37,TableHandbook[],5,FALSE)=0,"",VLOOKUP($A37,TableHandbook[],5,FALSE)),"")</f>
        <v/>
      </c>
      <c r="H37" s="176" t="str">
        <f>IFERROR(VLOOKUP($A37,TableHandbook[],H$2,FALSE),"")</f>
        <v/>
      </c>
      <c r="I37" s="175" t="str">
        <f>IFERROR(VLOOKUP($A37,TableHandbook[],I$2,FALSE),"")</f>
        <v/>
      </c>
      <c r="J37" s="175" t="str">
        <f>IFERROR(VLOOKUP($A37,TableHandbook[],J$2,FALSE),"")</f>
        <v/>
      </c>
      <c r="K37" s="177" t="str">
        <f>IFERROR(VLOOKUP($A37,TableHandbook[],K$2,FALSE),"")</f>
        <v/>
      </c>
      <c r="L37" s="107"/>
      <c r="M37" s="154">
        <v>25</v>
      </c>
      <c r="N37" s="166"/>
      <c r="O37" s="166"/>
    </row>
    <row r="38" spans="1:15" s="167" customFormat="1" ht="21" x14ac:dyDescent="0.15">
      <c r="A38" s="136" t="s">
        <v>31</v>
      </c>
      <c r="B38" s="136"/>
      <c r="C38" s="136"/>
      <c r="D38" s="144" t="s">
        <v>3</v>
      </c>
      <c r="E38" s="145" t="s">
        <v>21</v>
      </c>
      <c r="F38" s="145" t="s">
        <v>22</v>
      </c>
      <c r="G38" s="136" t="s">
        <v>23</v>
      </c>
      <c r="H38" s="146" t="s">
        <v>24</v>
      </c>
      <c r="I38" s="145" t="s">
        <v>25</v>
      </c>
      <c r="J38" s="145" t="s">
        <v>26</v>
      </c>
      <c r="K38" s="147" t="s">
        <v>27</v>
      </c>
      <c r="L38" s="136" t="s">
        <v>28</v>
      </c>
      <c r="M38" s="169"/>
      <c r="N38" s="166"/>
      <c r="O38" s="166"/>
    </row>
    <row r="39" spans="1:15" s="167" customFormat="1" ht="20.100000000000001" customHeight="1" x14ac:dyDescent="0.15">
      <c r="A39" s="171" t="str">
        <f t="shared" ref="A39:A46" si="5">IFERROR(IF(HLOOKUP($L$5,RangeUnitsets,M39,FALSE)=0,"",HLOOKUP($L$5,RangeUnitsets,M39,FALSE)),"")</f>
        <v/>
      </c>
      <c r="B39" s="172" t="str">
        <f>IFERROR(IF(VLOOKUP($A39,TableHandbook[],2,FALSE)=0,"",VLOOKUP($A39,TableHandbook[],2,FALSE)),"")</f>
        <v/>
      </c>
      <c r="C39" s="172" t="str">
        <f>IFERROR(IF(VLOOKUP($A39,TableHandbook[],3,FALSE)=0,"",VLOOKUP($A39,TableHandbook[],3,FALSE)),"")</f>
        <v/>
      </c>
      <c r="D39" s="173" t="str">
        <f>IFERROR(IF(VLOOKUP($A39,TableHandbook[],4,FALSE)=0,"",VLOOKUP($A39,TableHandbook[],4,FALSE)),"")</f>
        <v/>
      </c>
      <c r="E39" s="172"/>
      <c r="F39" s="174" t="str">
        <f>IFERROR(IF(VLOOKUP($A39,TableHandbook[],6,FALSE)=0,"",VLOOKUP($A39,TableHandbook[],6,FALSE)),"")</f>
        <v/>
      </c>
      <c r="G39" s="175" t="str">
        <f>IFERROR(IF(VLOOKUP($A39,TableHandbook[],5,FALSE)=0,"",VLOOKUP($A39,TableHandbook[],5,FALSE)),"")</f>
        <v/>
      </c>
      <c r="H39" s="176" t="str">
        <f>IFERROR(VLOOKUP($A39,TableHandbook[],H$2,FALSE),"")</f>
        <v/>
      </c>
      <c r="I39" s="175" t="str">
        <f>IFERROR(VLOOKUP($A39,TableHandbook[],I$2,FALSE),"")</f>
        <v/>
      </c>
      <c r="J39" s="175" t="str">
        <f>IFERROR(VLOOKUP($A39,TableHandbook[],J$2,FALSE),"")</f>
        <v/>
      </c>
      <c r="K39" s="177" t="str">
        <f>IFERROR(VLOOKUP($A39,TableHandbook[],K$2,FALSE),"")</f>
        <v/>
      </c>
      <c r="L39" s="107"/>
      <c r="M39" s="154">
        <v>26</v>
      </c>
      <c r="N39" s="166"/>
      <c r="O39" s="166"/>
    </row>
    <row r="40" spans="1:15" s="167" customFormat="1" ht="20.100000000000001" customHeight="1" x14ac:dyDescent="0.15">
      <c r="A40" s="171" t="str">
        <f t="shared" si="5"/>
        <v/>
      </c>
      <c r="B40" s="172" t="str">
        <f>IFERROR(IF(VLOOKUP($A40,TableHandbook[],2,FALSE)=0,"",VLOOKUP($A40,TableHandbook[],2,FALSE)),"")</f>
        <v/>
      </c>
      <c r="C40" s="172" t="str">
        <f>IFERROR(IF(VLOOKUP($A40,TableHandbook[],3,FALSE)=0,"",VLOOKUP($A40,TableHandbook[],3,FALSE)),"")</f>
        <v/>
      </c>
      <c r="D40" s="178" t="str">
        <f>IFERROR(IF(VLOOKUP($A40,TableHandbook[],4,FALSE)=0,"",VLOOKUP($A40,TableHandbook[],4,FALSE)),"")</f>
        <v/>
      </c>
      <c r="E40" s="172"/>
      <c r="F40" s="174" t="str">
        <f>IFERROR(IF(VLOOKUP($A40,TableHandbook[],6,FALSE)=0,"",VLOOKUP($A40,TableHandbook[],6,FALSE)),"")</f>
        <v/>
      </c>
      <c r="G40" s="175" t="str">
        <f>IFERROR(IF(VLOOKUP($A40,TableHandbook[],5,FALSE)=0,"",VLOOKUP($A40,TableHandbook[],5,FALSE)),"")</f>
        <v/>
      </c>
      <c r="H40" s="176" t="str">
        <f>IFERROR(VLOOKUP($A40,TableHandbook[],H$2,FALSE),"")</f>
        <v/>
      </c>
      <c r="I40" s="175" t="str">
        <f>IFERROR(VLOOKUP($A40,TableHandbook[],I$2,FALSE),"")</f>
        <v/>
      </c>
      <c r="J40" s="175" t="str">
        <f>IFERROR(VLOOKUP($A40,TableHandbook[],J$2,FALSE),"")</f>
        <v/>
      </c>
      <c r="K40" s="177" t="str">
        <f>IFERROR(VLOOKUP($A40,TableHandbook[],K$2,FALSE),"")</f>
        <v/>
      </c>
      <c r="L40" s="107"/>
      <c r="M40" s="154">
        <v>27</v>
      </c>
      <c r="N40" s="166"/>
      <c r="O40" s="166"/>
    </row>
    <row r="41" spans="1:15" s="167" customFormat="1" ht="20.100000000000001" customHeight="1" x14ac:dyDescent="0.15">
      <c r="A41" s="171" t="str">
        <f t="shared" si="5"/>
        <v/>
      </c>
      <c r="B41" s="172" t="str">
        <f>IFERROR(IF(VLOOKUP($A41,TableHandbook[],2,FALSE)=0,"",VLOOKUP($A41,TableHandbook[],2,FALSE)),"")</f>
        <v/>
      </c>
      <c r="C41" s="172" t="str">
        <f>IFERROR(IF(VLOOKUP($A41,TableHandbook[],3,FALSE)=0,"",VLOOKUP($A41,TableHandbook[],3,FALSE)),"")</f>
        <v/>
      </c>
      <c r="D41" s="178" t="str">
        <f>IFERROR(IF(VLOOKUP($A41,TableHandbook[],4,FALSE)=0,"",VLOOKUP($A41,TableHandbook[],4,FALSE)),"")</f>
        <v/>
      </c>
      <c r="E41" s="172"/>
      <c r="F41" s="174" t="str">
        <f>IFERROR(IF(VLOOKUP($A41,TableHandbook[],6,FALSE)=0,"",VLOOKUP($A41,TableHandbook[],6,FALSE)),"")</f>
        <v/>
      </c>
      <c r="G41" s="175" t="str">
        <f>IFERROR(IF(VLOOKUP($A41,TableHandbook[],5,FALSE)=0,"",VLOOKUP($A41,TableHandbook[],5,FALSE)),"")</f>
        <v/>
      </c>
      <c r="H41" s="176" t="str">
        <f>IFERROR(VLOOKUP($A41,TableHandbook[],H$2,FALSE),"")</f>
        <v/>
      </c>
      <c r="I41" s="175" t="str">
        <f>IFERROR(VLOOKUP($A41,TableHandbook[],I$2,FALSE),"")</f>
        <v/>
      </c>
      <c r="J41" s="175" t="str">
        <f>IFERROR(VLOOKUP($A41,TableHandbook[],J$2,FALSE),"")</f>
        <v/>
      </c>
      <c r="K41" s="177" t="str">
        <f>IFERROR(VLOOKUP($A41,TableHandbook[],K$2,FALSE),"")</f>
        <v/>
      </c>
      <c r="L41" s="107"/>
      <c r="M41" s="154">
        <v>28</v>
      </c>
      <c r="N41" s="166"/>
      <c r="O41" s="166"/>
    </row>
    <row r="42" spans="1:15" s="167" customFormat="1" ht="20.100000000000001" customHeight="1" x14ac:dyDescent="0.15">
      <c r="A42" s="171" t="str">
        <f t="shared" si="5"/>
        <v/>
      </c>
      <c r="B42" s="172" t="str">
        <f>IFERROR(IF(VLOOKUP($A42,TableHandbook[],2,FALSE)=0,"",VLOOKUP($A42,TableHandbook[],2,FALSE)),"")</f>
        <v/>
      </c>
      <c r="C42" s="172" t="str">
        <f>IFERROR(IF(VLOOKUP($A42,TableHandbook[],3,FALSE)=0,"",VLOOKUP($A42,TableHandbook[],3,FALSE)),"")</f>
        <v/>
      </c>
      <c r="D42" s="178" t="str">
        <f>IFERROR(IF(VLOOKUP($A42,TableHandbook[],4,FALSE)=0,"",VLOOKUP($A42,TableHandbook[],4,FALSE)),"")</f>
        <v/>
      </c>
      <c r="E42" s="172"/>
      <c r="F42" s="174" t="str">
        <f>IFERROR(IF(VLOOKUP($A42,TableHandbook[],6,FALSE)=0,"",VLOOKUP($A42,TableHandbook[],6,FALSE)),"")</f>
        <v/>
      </c>
      <c r="G42" s="175" t="str">
        <f>IFERROR(IF(VLOOKUP($A42,TableHandbook[],5,FALSE)=0,"",VLOOKUP($A42,TableHandbook[],5,FALSE)),"")</f>
        <v/>
      </c>
      <c r="H42" s="176" t="str">
        <f>IFERROR(VLOOKUP($A42,TableHandbook[],H$2,FALSE),"")</f>
        <v/>
      </c>
      <c r="I42" s="175" t="str">
        <f>IFERROR(VLOOKUP($A42,TableHandbook[],I$2,FALSE),"")</f>
        <v/>
      </c>
      <c r="J42" s="175" t="str">
        <f>IFERROR(VLOOKUP($A42,TableHandbook[],J$2,FALSE),"")</f>
        <v/>
      </c>
      <c r="K42" s="177" t="str">
        <f>IFERROR(VLOOKUP($A42,TableHandbook[],K$2,FALSE),"")</f>
        <v/>
      </c>
      <c r="L42" s="107"/>
      <c r="M42" s="154">
        <v>29</v>
      </c>
      <c r="N42" s="166"/>
      <c r="O42" s="166"/>
    </row>
    <row r="43" spans="1:15" s="167" customFormat="1" ht="20.100000000000001" customHeight="1" x14ac:dyDescent="0.15">
      <c r="A43" s="171" t="str">
        <f t="shared" si="5"/>
        <v/>
      </c>
      <c r="B43" s="172" t="str">
        <f>IFERROR(IF(VLOOKUP($A43,TableHandbook[],2,FALSE)=0,"",VLOOKUP($A43,TableHandbook[],2,FALSE)),"")</f>
        <v/>
      </c>
      <c r="C43" s="172" t="str">
        <f>IFERROR(IF(VLOOKUP($A43,TableHandbook[],3,FALSE)=0,"",VLOOKUP($A43,TableHandbook[],3,FALSE)),"")</f>
        <v/>
      </c>
      <c r="D43" s="178" t="str">
        <f>IFERROR(IF(VLOOKUP($A43,TableHandbook[],4,FALSE)=0,"",VLOOKUP($A43,TableHandbook[],4,FALSE)),"")</f>
        <v/>
      </c>
      <c r="E43" s="172"/>
      <c r="F43" s="174" t="str">
        <f>IFERROR(IF(VLOOKUP($A43,TableHandbook[],6,FALSE)=0,"",VLOOKUP($A43,TableHandbook[],6,FALSE)),"")</f>
        <v/>
      </c>
      <c r="G43" s="175" t="str">
        <f>IFERROR(IF(VLOOKUP($A43,TableHandbook[],5,FALSE)=0,"",VLOOKUP($A43,TableHandbook[],5,FALSE)),"")</f>
        <v/>
      </c>
      <c r="H43" s="176" t="str">
        <f>IFERROR(VLOOKUP($A43,TableHandbook[],H$2,FALSE),"")</f>
        <v/>
      </c>
      <c r="I43" s="175" t="str">
        <f>IFERROR(VLOOKUP($A43,TableHandbook[],I$2,FALSE),"")</f>
        <v/>
      </c>
      <c r="J43" s="175" t="str">
        <f>IFERROR(VLOOKUP($A43,TableHandbook[],J$2,FALSE),"")</f>
        <v/>
      </c>
      <c r="K43" s="177" t="str">
        <f>IFERROR(VLOOKUP($A43,TableHandbook[],K$2,FALSE),"")</f>
        <v/>
      </c>
      <c r="L43" s="107"/>
      <c r="M43" s="154">
        <v>30</v>
      </c>
      <c r="N43" s="166"/>
      <c r="O43" s="166"/>
    </row>
    <row r="44" spans="1:15" s="167" customFormat="1" ht="20.100000000000001" customHeight="1" x14ac:dyDescent="0.15">
      <c r="A44" s="171" t="str">
        <f t="shared" si="5"/>
        <v/>
      </c>
      <c r="B44" s="172" t="str">
        <f>IFERROR(IF(VLOOKUP($A44,TableHandbook[],2,FALSE)=0,"",VLOOKUP($A44,TableHandbook[],2,FALSE)),"")</f>
        <v/>
      </c>
      <c r="C44" s="172" t="str">
        <f>IFERROR(IF(VLOOKUP($A44,TableHandbook[],3,FALSE)=0,"",VLOOKUP($A44,TableHandbook[],3,FALSE)),"")</f>
        <v/>
      </c>
      <c r="D44" s="178" t="str">
        <f>IFERROR(IF(VLOOKUP($A44,TableHandbook[],4,FALSE)=0,"",VLOOKUP($A44,TableHandbook[],4,FALSE)),"")</f>
        <v/>
      </c>
      <c r="E44" s="172"/>
      <c r="F44" s="174" t="str">
        <f>IFERROR(IF(VLOOKUP($A44,TableHandbook[],6,FALSE)=0,"",VLOOKUP($A44,TableHandbook[],6,FALSE)),"")</f>
        <v/>
      </c>
      <c r="G44" s="175" t="str">
        <f>IFERROR(IF(VLOOKUP($A44,TableHandbook[],5,FALSE)=0,"",VLOOKUP($A44,TableHandbook[],5,FALSE)),"")</f>
        <v/>
      </c>
      <c r="H44" s="176" t="str">
        <f>IFERROR(VLOOKUP($A44,TableHandbook[],H$2,FALSE),"")</f>
        <v/>
      </c>
      <c r="I44" s="175" t="str">
        <f>IFERROR(VLOOKUP($A44,TableHandbook[],I$2,FALSE),"")</f>
        <v/>
      </c>
      <c r="J44" s="175" t="str">
        <f>IFERROR(VLOOKUP($A44,TableHandbook[],J$2,FALSE),"")</f>
        <v/>
      </c>
      <c r="K44" s="177" t="str">
        <f>IFERROR(VLOOKUP($A44,TableHandbook[],K$2,FALSE),"")</f>
        <v/>
      </c>
      <c r="L44" s="107"/>
      <c r="M44" s="154">
        <v>31</v>
      </c>
      <c r="N44" s="166"/>
      <c r="O44" s="166"/>
    </row>
    <row r="45" spans="1:15" s="167" customFormat="1" ht="20.100000000000001" customHeight="1" x14ac:dyDescent="0.15">
      <c r="A45" s="171" t="str">
        <f t="shared" si="5"/>
        <v/>
      </c>
      <c r="B45" s="172" t="str">
        <f>IFERROR(IF(VLOOKUP($A45,TableHandbook[],2,FALSE)=0,"",VLOOKUP($A45,TableHandbook[],2,FALSE)),"")</f>
        <v/>
      </c>
      <c r="C45" s="172" t="str">
        <f>IFERROR(IF(VLOOKUP($A45,TableHandbook[],3,FALSE)=0,"",VLOOKUP($A45,TableHandbook[],3,FALSE)),"")</f>
        <v/>
      </c>
      <c r="D45" s="178" t="str">
        <f>IFERROR(IF(VLOOKUP($A45,TableHandbook[],4,FALSE)=0,"",VLOOKUP($A45,TableHandbook[],4,FALSE)),"")</f>
        <v/>
      </c>
      <c r="E45" s="172"/>
      <c r="F45" s="174" t="str">
        <f>IFERROR(IF(VLOOKUP($A45,TableHandbook[],6,FALSE)=0,"",VLOOKUP($A45,TableHandbook[],6,FALSE)),"")</f>
        <v/>
      </c>
      <c r="G45" s="175" t="str">
        <f>IFERROR(IF(VLOOKUP($A45,TableHandbook[],5,FALSE)=0,"",VLOOKUP($A45,TableHandbook[],5,FALSE)),"")</f>
        <v/>
      </c>
      <c r="H45" s="176" t="str">
        <f>IFERROR(VLOOKUP($A45,TableHandbook[],H$2,FALSE),"")</f>
        <v/>
      </c>
      <c r="I45" s="175" t="str">
        <f>IFERROR(VLOOKUP($A45,TableHandbook[],I$2,FALSE),"")</f>
        <v/>
      </c>
      <c r="J45" s="175" t="str">
        <f>IFERROR(VLOOKUP($A45,TableHandbook[],J$2,FALSE),"")</f>
        <v/>
      </c>
      <c r="K45" s="177" t="str">
        <f>IFERROR(VLOOKUP($A45,TableHandbook[],K$2,FALSE),"")</f>
        <v/>
      </c>
      <c r="L45" s="107"/>
      <c r="M45" s="154">
        <v>32</v>
      </c>
      <c r="N45" s="166"/>
      <c r="O45" s="166"/>
    </row>
    <row r="46" spans="1:15" s="167" customFormat="1" ht="20.100000000000001" customHeight="1" x14ac:dyDescent="0.15">
      <c r="A46" s="171" t="str">
        <f t="shared" si="5"/>
        <v/>
      </c>
      <c r="B46" s="172" t="str">
        <f>IFERROR(IF(VLOOKUP($A46,TableHandbook[],2,FALSE)=0,"",VLOOKUP($A46,TableHandbook[],2,FALSE)),"")</f>
        <v/>
      </c>
      <c r="C46" s="172" t="str">
        <f>IFERROR(IF(VLOOKUP($A46,TableHandbook[],3,FALSE)=0,"",VLOOKUP($A46,TableHandbook[],3,FALSE)),"")</f>
        <v/>
      </c>
      <c r="D46" s="178" t="str">
        <f>IFERROR(IF(VLOOKUP($A46,TableHandbook[],4,FALSE)=0,"",VLOOKUP($A46,TableHandbook[],4,FALSE)),"")</f>
        <v/>
      </c>
      <c r="E46" s="175"/>
      <c r="F46" s="174" t="str">
        <f>IFERROR(IF(VLOOKUP($A46,TableHandbook[],6,FALSE)=0,"",VLOOKUP($A46,TableHandbook[],6,FALSE)),"")</f>
        <v/>
      </c>
      <c r="G46" s="175" t="str">
        <f>IFERROR(IF(VLOOKUP($A46,TableHandbook[],5,FALSE)=0,"",VLOOKUP($A46,TableHandbook[],5,FALSE)),"")</f>
        <v/>
      </c>
      <c r="H46" s="176" t="str">
        <f>IFERROR(VLOOKUP($A46,TableHandbook[],H$2,FALSE),"")</f>
        <v/>
      </c>
      <c r="I46" s="175" t="str">
        <f>IFERROR(VLOOKUP($A46,TableHandbook[],I$2,FALSE),"")</f>
        <v/>
      </c>
      <c r="J46" s="175" t="str">
        <f>IFERROR(VLOOKUP($A46,TableHandbook[],J$2,FALSE),"")</f>
        <v/>
      </c>
      <c r="K46" s="177" t="str">
        <f>IFERROR(VLOOKUP($A46,TableHandbook[],K$2,FALSE),"")</f>
        <v/>
      </c>
      <c r="L46" s="107"/>
      <c r="M46" s="154">
        <v>33</v>
      </c>
      <c r="N46" s="166"/>
      <c r="O46" s="166"/>
    </row>
    <row r="47" spans="1:15" s="186" customFormat="1" ht="13.9" customHeight="1" x14ac:dyDescent="0.2">
      <c r="A47" s="179"/>
      <c r="B47" s="179"/>
      <c r="C47" s="179"/>
      <c r="D47" s="180"/>
      <c r="E47" s="181"/>
      <c r="F47" s="182"/>
      <c r="G47" s="183"/>
      <c r="H47" s="183"/>
      <c r="I47" s="183"/>
      <c r="J47" s="183"/>
      <c r="K47" s="183"/>
      <c r="L47" s="183"/>
      <c r="M47" s="184"/>
      <c r="N47" s="185"/>
      <c r="O47" s="185"/>
    </row>
    <row r="48" spans="1:15" ht="15" customHeight="1" x14ac:dyDescent="0.25">
      <c r="A48" s="187" t="s">
        <v>32</v>
      </c>
      <c r="B48" s="188"/>
      <c r="C48" s="188"/>
      <c r="D48" s="189"/>
      <c r="E48" s="190"/>
      <c r="F48" s="191"/>
      <c r="G48" s="190"/>
      <c r="H48" s="192" t="s">
        <v>19</v>
      </c>
      <c r="I48" s="193"/>
      <c r="J48" s="194"/>
      <c r="K48" s="195"/>
      <c r="L48" s="196"/>
      <c r="M48" s="197"/>
    </row>
    <row r="49" spans="1:15" s="207" customFormat="1" ht="21" x14ac:dyDescent="0.25">
      <c r="A49" s="198" t="str">
        <f>D6</f>
        <v>Choose your Specialisation (drop-down list)</v>
      </c>
      <c r="B49" s="199"/>
      <c r="C49" s="199"/>
      <c r="D49" s="189"/>
      <c r="E49" s="200"/>
      <c r="F49" s="201" t="s">
        <v>22</v>
      </c>
      <c r="G49" s="202" t="s">
        <v>23</v>
      </c>
      <c r="H49" s="203" t="s">
        <v>24</v>
      </c>
      <c r="I49" s="204" t="s">
        <v>25</v>
      </c>
      <c r="J49" s="204" t="s">
        <v>26</v>
      </c>
      <c r="K49" s="205" t="s">
        <v>27</v>
      </c>
      <c r="L49" s="206"/>
      <c r="M49" s="197"/>
    </row>
    <row r="50" spans="1:15" x14ac:dyDescent="0.25">
      <c r="A50" s="208" t="str">
        <f t="shared" ref="A50:A57" si="6">IFERROR(IF(HLOOKUP($L$6,RangeSpecSets,M50,FALSE)=0,"",HLOOKUP($L$6,RangeSpecSets,M50,FALSE)),"")</f>
        <v/>
      </c>
      <c r="B50" s="209" t="str">
        <f>IFERROR(IF(VLOOKUP($A50,TableHandbook[],2,FALSE)=0,"",VLOOKUP($A50,TableHandbook[],2,FALSE)),"")</f>
        <v/>
      </c>
      <c r="C50" s="210" t="str">
        <f>IFERROR(IF(VLOOKUP($A50,TableHandbook[],3,FALSE)=0,"",VLOOKUP($A50,TableHandbook[],3,FALSE)),"")</f>
        <v/>
      </c>
      <c r="D50" s="211" t="str">
        <f>IFERROR(IF(VLOOKUP($A50,TableHandbook[],4,FALSE)=0,"",VLOOKUP($A50,TableHandbook[],4,FALSE)),"")</f>
        <v/>
      </c>
      <c r="E50" s="212"/>
      <c r="F50" s="213" t="str">
        <f>IFERROR(IF(VLOOKUP($A50,TableHandbook[],6,FALSE)=0,"",VLOOKUP($A50,TableHandbook[],6,FALSE)),"")</f>
        <v/>
      </c>
      <c r="G50" s="214" t="str">
        <f>IFERROR(IF(VLOOKUP($A50,TableHandbook[],5,FALSE)=0,"",VLOOKUP($A50,TableHandbook[],5,FALSE)),"")</f>
        <v/>
      </c>
      <c r="H50" s="215" t="str">
        <f>IFERROR(VLOOKUP($A50,TableHandbook[],H$2,FALSE),"")</f>
        <v/>
      </c>
      <c r="I50" s="216" t="str">
        <f>IFERROR(VLOOKUP($A50,TableHandbook[],I$2,FALSE),"")</f>
        <v/>
      </c>
      <c r="J50" s="216" t="str">
        <f>IFERROR(VLOOKUP($A50,TableHandbook[],J$2,FALSE),"")</f>
        <v/>
      </c>
      <c r="K50" s="217" t="str">
        <f>IFERROR(VLOOKUP($A50,TableHandbook[],K$2,FALSE),"")</f>
        <v/>
      </c>
      <c r="L50" s="75"/>
      <c r="M50" s="154">
        <v>2</v>
      </c>
    </row>
    <row r="51" spans="1:15" x14ac:dyDescent="0.25">
      <c r="A51" s="208" t="str">
        <f t="shared" si="6"/>
        <v/>
      </c>
      <c r="B51" s="209" t="str">
        <f>IFERROR(IF(VLOOKUP($A51,TableHandbook[],2,FALSE)=0,"",VLOOKUP($A51,TableHandbook[],2,FALSE)),"")</f>
        <v/>
      </c>
      <c r="C51" s="210" t="str">
        <f>IFERROR(IF(VLOOKUP($A51,TableHandbook[],3,FALSE)=0,"",VLOOKUP($A51,TableHandbook[],3,FALSE)),"")</f>
        <v/>
      </c>
      <c r="D51" s="211" t="str">
        <f>IFERROR(IF(VLOOKUP($A51,TableHandbook[],4,FALSE)=0,"",VLOOKUP($A51,TableHandbook[],4,FALSE)),"")</f>
        <v/>
      </c>
      <c r="E51" s="212"/>
      <c r="F51" s="213" t="str">
        <f>IFERROR(IF(VLOOKUP($A51,TableHandbook[],6,FALSE)=0,"",VLOOKUP($A51,TableHandbook[],6,FALSE)),"")</f>
        <v/>
      </c>
      <c r="G51" s="214" t="str">
        <f>IFERROR(IF(VLOOKUP($A51,TableHandbook[],5,FALSE)=0,"",VLOOKUP($A51,TableHandbook[],5,FALSE)),"")</f>
        <v/>
      </c>
      <c r="H51" s="215" t="str">
        <f>IFERROR(VLOOKUP($A51,TableHandbook[],H$2,FALSE),"")</f>
        <v/>
      </c>
      <c r="I51" s="216" t="str">
        <f>IFERROR(VLOOKUP($A51,TableHandbook[],I$2,FALSE),"")</f>
        <v/>
      </c>
      <c r="J51" s="216" t="str">
        <f>IFERROR(VLOOKUP($A51,TableHandbook[],J$2,FALSE),"")</f>
        <v/>
      </c>
      <c r="K51" s="217" t="str">
        <f>IFERROR(VLOOKUP($A51,TableHandbook[],K$2,FALSE),"")</f>
        <v/>
      </c>
      <c r="L51" s="75"/>
      <c r="M51" s="154">
        <v>3</v>
      </c>
    </row>
    <row r="52" spans="1:15" x14ac:dyDescent="0.25">
      <c r="A52" s="208" t="str">
        <f t="shared" si="6"/>
        <v/>
      </c>
      <c r="B52" s="209" t="str">
        <f>IFERROR(IF(VLOOKUP($A52,TableHandbook[],2,FALSE)=0,"",VLOOKUP($A52,TableHandbook[],2,FALSE)),"")</f>
        <v/>
      </c>
      <c r="C52" s="210" t="str">
        <f>IFERROR(IF(VLOOKUP($A52,TableHandbook[],3,FALSE)=0,"",VLOOKUP($A52,TableHandbook[],3,FALSE)),"")</f>
        <v/>
      </c>
      <c r="D52" s="211" t="str">
        <f>IFERROR(IF(VLOOKUP($A52,TableHandbook[],4,FALSE)=0,"",VLOOKUP($A52,TableHandbook[],4,FALSE)),"")</f>
        <v/>
      </c>
      <c r="E52" s="212"/>
      <c r="F52" s="213" t="str">
        <f>IFERROR(IF(VLOOKUP($A52,TableHandbook[],6,FALSE)=0,"",VLOOKUP($A52,TableHandbook[],6,FALSE)),"")</f>
        <v/>
      </c>
      <c r="G52" s="214" t="str">
        <f>IFERROR(IF(VLOOKUP($A52,TableHandbook[],5,FALSE)=0,"",VLOOKUP($A52,TableHandbook[],5,FALSE)),"")</f>
        <v/>
      </c>
      <c r="H52" s="215" t="str">
        <f>IFERROR(VLOOKUP($A52,TableHandbook[],H$2,FALSE),"")</f>
        <v/>
      </c>
      <c r="I52" s="216" t="str">
        <f>IFERROR(VLOOKUP($A52,TableHandbook[],I$2,FALSE),"")</f>
        <v/>
      </c>
      <c r="J52" s="216" t="str">
        <f>IFERROR(VLOOKUP($A52,TableHandbook[],J$2,FALSE),"")</f>
        <v/>
      </c>
      <c r="K52" s="217" t="str">
        <f>IFERROR(VLOOKUP($A52,TableHandbook[],K$2,FALSE),"")</f>
        <v/>
      </c>
      <c r="L52" s="75"/>
      <c r="M52" s="154">
        <v>4</v>
      </c>
    </row>
    <row r="53" spans="1:15" x14ac:dyDescent="0.25">
      <c r="A53" s="208" t="str">
        <f t="shared" si="6"/>
        <v/>
      </c>
      <c r="B53" s="209" t="str">
        <f>IFERROR(IF(VLOOKUP($A53,TableHandbook[],2,FALSE)=0,"",VLOOKUP($A53,TableHandbook[],2,FALSE)),"")</f>
        <v/>
      </c>
      <c r="C53" s="210" t="str">
        <f>IFERROR(IF(VLOOKUP($A53,TableHandbook[],3,FALSE)=0,"",VLOOKUP($A53,TableHandbook[],3,FALSE)),"")</f>
        <v/>
      </c>
      <c r="D53" s="211" t="str">
        <f>IFERROR(IF(VLOOKUP($A53,TableHandbook[],4,FALSE)=0,"",VLOOKUP($A53,TableHandbook[],4,FALSE)),"")</f>
        <v/>
      </c>
      <c r="E53" s="212"/>
      <c r="F53" s="213" t="str">
        <f>IFERROR(IF(VLOOKUP($A53,TableHandbook[],6,FALSE)=0,"",VLOOKUP($A53,TableHandbook[],6,FALSE)),"")</f>
        <v/>
      </c>
      <c r="G53" s="214" t="str">
        <f>IFERROR(IF(VLOOKUP($A53,TableHandbook[],5,FALSE)=0,"",VLOOKUP($A53,TableHandbook[],5,FALSE)),"")</f>
        <v/>
      </c>
      <c r="H53" s="215" t="str">
        <f>IFERROR(VLOOKUP($A53,TableHandbook[],H$2,FALSE),"")</f>
        <v/>
      </c>
      <c r="I53" s="216" t="str">
        <f>IFERROR(VLOOKUP($A53,TableHandbook[],I$2,FALSE),"")</f>
        <v/>
      </c>
      <c r="J53" s="216" t="str">
        <f>IFERROR(VLOOKUP($A53,TableHandbook[],J$2,FALSE),"")</f>
        <v/>
      </c>
      <c r="K53" s="217" t="str">
        <f>IFERROR(VLOOKUP($A53,TableHandbook[],K$2,FALSE),"")</f>
        <v/>
      </c>
      <c r="L53" s="75"/>
      <c r="M53" s="154">
        <v>5</v>
      </c>
    </row>
    <row r="54" spans="1:15" x14ac:dyDescent="0.25">
      <c r="A54" s="208" t="str">
        <f t="shared" si="6"/>
        <v/>
      </c>
      <c r="B54" s="209" t="str">
        <f>IFERROR(IF(VLOOKUP($A54,TableHandbook[],2,FALSE)=0,"",VLOOKUP($A54,TableHandbook[],2,FALSE)),"")</f>
        <v/>
      </c>
      <c r="C54" s="210" t="str">
        <f>IFERROR(IF(VLOOKUP($A54,TableHandbook[],3,FALSE)=0,"",VLOOKUP($A54,TableHandbook[],3,FALSE)),"")</f>
        <v/>
      </c>
      <c r="D54" s="211" t="str">
        <f>IFERROR(IF(VLOOKUP($A54,TableHandbook[],4,FALSE)=0,"",VLOOKUP($A54,TableHandbook[],4,FALSE)),"")</f>
        <v/>
      </c>
      <c r="E54" s="212"/>
      <c r="F54" s="213" t="str">
        <f>IFERROR(IF(VLOOKUP($A54,TableHandbook[],6,FALSE)=0,"",VLOOKUP($A54,TableHandbook[],6,FALSE)),"")</f>
        <v/>
      </c>
      <c r="G54" s="214" t="str">
        <f>IFERROR(IF(VLOOKUP($A54,TableHandbook[],5,FALSE)=0,"",VLOOKUP($A54,TableHandbook[],5,FALSE)),"")</f>
        <v/>
      </c>
      <c r="H54" s="215" t="str">
        <f>IFERROR(VLOOKUP($A54,TableHandbook[],H$2,FALSE),"")</f>
        <v/>
      </c>
      <c r="I54" s="216" t="str">
        <f>IFERROR(VLOOKUP($A54,TableHandbook[],I$2,FALSE),"")</f>
        <v/>
      </c>
      <c r="J54" s="216" t="str">
        <f>IFERROR(VLOOKUP($A54,TableHandbook[],J$2,FALSE),"")</f>
        <v/>
      </c>
      <c r="K54" s="217" t="str">
        <f>IFERROR(VLOOKUP($A54,TableHandbook[],K$2,FALSE),"")</f>
        <v/>
      </c>
      <c r="L54" s="75"/>
      <c r="M54" s="154">
        <v>6</v>
      </c>
    </row>
    <row r="55" spans="1:15" x14ac:dyDescent="0.25">
      <c r="A55" s="208" t="str">
        <f t="shared" si="6"/>
        <v/>
      </c>
      <c r="B55" s="209" t="str">
        <f>IFERROR(IF(VLOOKUP($A55,TableHandbook[],2,FALSE)=0,"",VLOOKUP($A55,TableHandbook[],2,FALSE)),"")</f>
        <v/>
      </c>
      <c r="C55" s="210" t="str">
        <f>IFERROR(IF(VLOOKUP($A55,TableHandbook[],3,FALSE)=0,"",VLOOKUP($A55,TableHandbook[],3,FALSE)),"")</f>
        <v/>
      </c>
      <c r="D55" s="211" t="str">
        <f>IFERROR(IF(VLOOKUP($A55,TableHandbook[],4,FALSE)=0,"",VLOOKUP($A55,TableHandbook[],4,FALSE)),"")</f>
        <v/>
      </c>
      <c r="E55" s="212"/>
      <c r="F55" s="213" t="str">
        <f>IFERROR(IF(VLOOKUP($A55,TableHandbook[],6,FALSE)=0,"",VLOOKUP($A55,TableHandbook[],6,FALSE)),"")</f>
        <v/>
      </c>
      <c r="G55" s="214" t="str">
        <f>IFERROR(IF(VLOOKUP($A55,TableHandbook[],5,FALSE)=0,"",VLOOKUP($A55,TableHandbook[],5,FALSE)),"")</f>
        <v/>
      </c>
      <c r="H55" s="215" t="str">
        <f>IFERROR(VLOOKUP($A55,TableHandbook[],H$2,FALSE),"")</f>
        <v/>
      </c>
      <c r="I55" s="216" t="str">
        <f>IFERROR(VLOOKUP($A55,TableHandbook[],I$2,FALSE),"")</f>
        <v/>
      </c>
      <c r="J55" s="216" t="str">
        <f>IFERROR(VLOOKUP($A55,TableHandbook[],J$2,FALSE),"")</f>
        <v/>
      </c>
      <c r="K55" s="217" t="str">
        <f>IFERROR(VLOOKUP($A55,TableHandbook[],K$2,FALSE),"")</f>
        <v/>
      </c>
      <c r="L55" s="75"/>
      <c r="M55" s="154">
        <v>7</v>
      </c>
    </row>
    <row r="56" spans="1:15" x14ac:dyDescent="0.25">
      <c r="A56" s="208" t="str">
        <f t="shared" si="6"/>
        <v/>
      </c>
      <c r="B56" s="209" t="str">
        <f>IFERROR(IF(VLOOKUP($A56,TableHandbook[],2,FALSE)=0,"",VLOOKUP($A56,TableHandbook[],2,FALSE)),"")</f>
        <v/>
      </c>
      <c r="C56" s="210" t="str">
        <f>IFERROR(IF(VLOOKUP($A56,TableHandbook[],3,FALSE)=0,"",VLOOKUP($A56,TableHandbook[],3,FALSE)),"")</f>
        <v/>
      </c>
      <c r="D56" s="211" t="str">
        <f>IFERROR(IF(VLOOKUP($A56,TableHandbook[],4,FALSE)=0,"",VLOOKUP($A56,TableHandbook[],4,FALSE)),"")</f>
        <v/>
      </c>
      <c r="E56" s="212"/>
      <c r="F56" s="213" t="str">
        <f>IFERROR(IF(VLOOKUP($A56,TableHandbook[],6,FALSE)=0,"",VLOOKUP($A56,TableHandbook[],6,FALSE)),"")</f>
        <v/>
      </c>
      <c r="G56" s="214" t="str">
        <f>IFERROR(IF(VLOOKUP($A56,TableHandbook[],5,FALSE)=0,"",VLOOKUP($A56,TableHandbook[],5,FALSE)),"")</f>
        <v/>
      </c>
      <c r="H56" s="215" t="str">
        <f>IFERROR(VLOOKUP($A56,TableHandbook[],H$2,FALSE),"")</f>
        <v/>
      </c>
      <c r="I56" s="216" t="str">
        <f>IFERROR(VLOOKUP($A56,TableHandbook[],I$2,FALSE),"")</f>
        <v/>
      </c>
      <c r="J56" s="216" t="str">
        <f>IFERROR(VLOOKUP($A56,TableHandbook[],J$2,FALSE),"")</f>
        <v/>
      </c>
      <c r="K56" s="217" t="str">
        <f>IFERROR(VLOOKUP($A56,TableHandbook[],K$2,FALSE),"")</f>
        <v/>
      </c>
      <c r="L56" s="75"/>
      <c r="M56" s="154">
        <v>8</v>
      </c>
    </row>
    <row r="57" spans="1:15" x14ac:dyDescent="0.25">
      <c r="A57" s="208" t="str">
        <f t="shared" si="6"/>
        <v/>
      </c>
      <c r="B57" s="209" t="str">
        <f>IFERROR(IF(VLOOKUP($A57,TableHandbook[],2,FALSE)=0,"",VLOOKUP($A57,TableHandbook[],2,FALSE)),"")</f>
        <v/>
      </c>
      <c r="C57" s="210" t="str">
        <f>IFERROR(IF(VLOOKUP($A57,TableHandbook[],3,FALSE)=0,"",VLOOKUP($A57,TableHandbook[],3,FALSE)),"")</f>
        <v/>
      </c>
      <c r="D57" s="211" t="str">
        <f>IFERROR(IF(VLOOKUP($A57,TableHandbook[],4,FALSE)=0,"",VLOOKUP($A57,TableHandbook[],4,FALSE)),"")</f>
        <v/>
      </c>
      <c r="E57" s="212"/>
      <c r="F57" s="213" t="str">
        <f>IFERROR(IF(VLOOKUP($A57,TableHandbook[],6,FALSE)=0,"",VLOOKUP($A57,TableHandbook[],6,FALSE)),"")</f>
        <v/>
      </c>
      <c r="G57" s="214" t="str">
        <f>IFERROR(IF(VLOOKUP($A57,TableHandbook[],5,FALSE)=0,"",VLOOKUP($A57,TableHandbook[],5,FALSE)),"")</f>
        <v/>
      </c>
      <c r="H57" s="215" t="str">
        <f>IFERROR(VLOOKUP($A57,TableHandbook[],H$2,FALSE),"")</f>
        <v/>
      </c>
      <c r="I57" s="216" t="str">
        <f>IFERROR(VLOOKUP($A57,TableHandbook[],I$2,FALSE),"")</f>
        <v/>
      </c>
      <c r="J57" s="216" t="str">
        <f>IFERROR(VLOOKUP($A57,TableHandbook[],J$2,FALSE),"")</f>
        <v/>
      </c>
      <c r="K57" s="217" t="str">
        <f>IFERROR(VLOOKUP($A57,TableHandbook[],K$2,FALSE),"")</f>
        <v/>
      </c>
      <c r="L57" s="75"/>
      <c r="M57" s="154">
        <v>9</v>
      </c>
    </row>
    <row r="58" spans="1:15" ht="15.75" x14ac:dyDescent="0.25">
      <c r="A58" s="218"/>
      <c r="B58" s="218"/>
      <c r="C58" s="218"/>
      <c r="D58" s="218"/>
      <c r="E58" s="218"/>
      <c r="F58" s="218"/>
      <c r="G58" s="218"/>
      <c r="H58" s="218"/>
      <c r="I58" s="218"/>
      <c r="J58" s="218"/>
      <c r="K58" s="218"/>
      <c r="L58" s="218"/>
      <c r="M58" s="154"/>
    </row>
    <row r="59" spans="1:15" s="143" customFormat="1" ht="30.2" customHeight="1" x14ac:dyDescent="0.25">
      <c r="A59" s="219" t="s">
        <v>33</v>
      </c>
      <c r="B59" s="219"/>
      <c r="C59" s="219"/>
      <c r="D59" s="219"/>
      <c r="E59" s="219"/>
      <c r="F59" s="219"/>
      <c r="G59" s="219"/>
      <c r="H59" s="219"/>
      <c r="I59" s="219"/>
      <c r="J59" s="219"/>
      <c r="K59" s="219"/>
      <c r="L59" s="219"/>
      <c r="M59" s="169"/>
      <c r="N59" s="142"/>
      <c r="O59" s="142"/>
    </row>
    <row r="60" spans="1:15" s="222" customFormat="1" ht="24.95" customHeight="1" x14ac:dyDescent="0.3">
      <c r="A60" s="24" t="s">
        <v>34</v>
      </c>
      <c r="B60" s="24"/>
      <c r="C60" s="24"/>
      <c r="D60" s="25"/>
      <c r="E60" s="25"/>
      <c r="F60" s="25"/>
      <c r="G60" s="25"/>
      <c r="H60" s="25"/>
      <c r="I60" s="25"/>
      <c r="J60" s="25"/>
      <c r="K60" s="25"/>
      <c r="L60" s="25"/>
      <c r="M60" s="220"/>
      <c r="N60" s="221"/>
      <c r="O60" s="221"/>
    </row>
    <row r="61" spans="1:15" s="186" customFormat="1" ht="13.9" customHeight="1" x14ac:dyDescent="0.2">
      <c r="A61" s="223" t="s">
        <v>35</v>
      </c>
      <c r="B61" s="223"/>
      <c r="C61" s="223"/>
      <c r="D61" s="224"/>
      <c r="E61" s="224"/>
      <c r="F61" s="183"/>
      <c r="G61" s="183"/>
      <c r="H61" s="183"/>
      <c r="I61" s="183"/>
      <c r="J61" s="183"/>
      <c r="K61" s="183"/>
      <c r="L61" s="225" t="s">
        <v>36</v>
      </c>
      <c r="M61" s="184"/>
      <c r="N61" s="185"/>
      <c r="O61" s="185"/>
    </row>
  </sheetData>
  <sheetProtection algorithmName="SHA-512" hashValue="/8aDylEYd68fIi8/QyQOTA8q4C5/TNpZLJrwxy8X4wt2FwuLB9zFg11dwW1KyoTHSs8ifRXsRfkKG5S8J3+Gng==" saltValue="3QCqFeuo0Zu/ZLLSyTu1pg==" spinCount="100000" sheet="1" objects="1" scenarios="1" formatCells="0"/>
  <mergeCells count="2">
    <mergeCell ref="A3:D3"/>
    <mergeCell ref="A59:L59"/>
  </mergeCells>
  <conditionalFormatting sqref="A10:L46">
    <cfRule type="expression" dxfId="129" priority="4">
      <formula>$A10="Spec"</formula>
    </cfRule>
  </conditionalFormatting>
  <conditionalFormatting sqref="A50:L57">
    <cfRule type="expression" dxfId="128" priority="3">
      <formula>LEFT($D50,5)="Study"</formula>
    </cfRule>
  </conditionalFormatting>
  <conditionalFormatting sqref="D5:D7">
    <cfRule type="containsText" dxfId="127" priority="5" operator="containsText" text="Choose">
      <formula>NOT(ISERROR(SEARCH("Choose",D5)))</formula>
    </cfRule>
  </conditionalFormatting>
  <conditionalFormatting sqref="A50:L57 A10:L18 A20:L28 A30:L37 A39:L46">
    <cfRule type="expression" dxfId="126" priority="2">
      <formula>$A10=""</formula>
    </cfRule>
  </conditionalFormatting>
  <conditionalFormatting sqref="H10:K18 H20:K28 H30:K37 H39:K46">
    <cfRule type="expression" dxfId="125" priority="1">
      <formula>$E10=LEFT(H$9,4)</formula>
    </cfRule>
  </conditionalFormatting>
  <dataValidations count="1">
    <dataValidation type="list" allowBlank="1" showInputMessage="1" showErrorMessage="1" sqref="L24 L14"/>
  </dataValidations>
  <hyperlinks>
    <hyperlink ref="A60:L6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46" max="10" man="1"/>
  </rowBreaks>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Unitsets!$A$15:$A$24</xm:f>
          </x14:formula1>
          <xm:sqref>D6</xm:sqref>
        </x14:dataValidation>
        <x14:dataValidation type="list" allowBlank="1" showInputMessage="1" showErrorMessage="1">
          <x14:formula1>
            <xm:f>Unitsets!$A$10:$A$12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zoomScaleNormal="100" workbookViewId="0">
      <selection activeCell="A31" sqref="A31"/>
    </sheetView>
  </sheetViews>
  <sheetFormatPr defaultRowHeight="15.75" x14ac:dyDescent="0.25"/>
  <cols>
    <col min="1" max="1" width="48.125" style="12" bestFit="1" customWidth="1"/>
    <col min="2" max="2" width="12.25" style="6" bestFit="1" customWidth="1"/>
    <col min="3" max="3" width="8.875" style="6" bestFit="1" customWidth="1"/>
    <col min="4" max="4" width="19.375" style="6" bestFit="1" customWidth="1"/>
    <col min="5" max="5" width="12.625" style="6" customWidth="1"/>
    <col min="6" max="6" width="13.125" style="6" bestFit="1" customWidth="1"/>
    <col min="7" max="7" width="18.75" style="6" bestFit="1" customWidth="1"/>
    <col min="8" max="8" width="19" style="6" bestFit="1" customWidth="1"/>
    <col min="9" max="9" width="3.625" customWidth="1"/>
    <col min="10" max="10" width="6" bestFit="1" customWidth="1"/>
    <col min="11" max="11" width="12" bestFit="1" customWidth="1"/>
    <col min="12" max="12" width="6" bestFit="1" customWidth="1"/>
    <col min="13" max="13" width="12" bestFit="1" customWidth="1"/>
    <col min="14" max="14" width="4.75" bestFit="1" customWidth="1"/>
    <col min="15" max="15" width="8.875" bestFit="1" customWidth="1"/>
    <col min="16" max="16" width="4.75" bestFit="1" customWidth="1"/>
    <col min="17" max="17" width="9.625" bestFit="1" customWidth="1"/>
    <col min="18" max="18" width="4.75" bestFit="1" customWidth="1"/>
    <col min="19" max="19" width="9.75" bestFit="1" customWidth="1"/>
    <col min="20" max="20" width="4.75" bestFit="1" customWidth="1"/>
    <col min="21" max="21" width="9.625" bestFit="1" customWidth="1"/>
    <col min="22" max="22" width="4.75" bestFit="1" customWidth="1"/>
    <col min="23" max="23" width="8.875" bestFit="1" customWidth="1"/>
    <col min="24" max="24" width="4.75" bestFit="1" customWidth="1"/>
    <col min="25" max="25" width="9.25" bestFit="1" customWidth="1"/>
    <col min="26" max="26" width="5.875" customWidth="1"/>
    <col min="27" max="27" width="9.25" bestFit="1" customWidth="1"/>
    <col min="28" max="28" width="6" customWidth="1"/>
  </cols>
  <sheetData>
    <row r="1" spans="1:28" x14ac:dyDescent="0.25">
      <c r="A1" s="14" t="s">
        <v>37</v>
      </c>
      <c r="B1" s="15"/>
      <c r="C1" s="15"/>
      <c r="D1" s="15"/>
    </row>
    <row r="2" spans="1:28" x14ac:dyDescent="0.25">
      <c r="J2" s="29"/>
      <c r="K2" s="8"/>
      <c r="L2" s="9"/>
      <c r="M2" s="8"/>
      <c r="N2" s="8"/>
      <c r="O2" s="8"/>
      <c r="P2" s="8"/>
      <c r="Q2" s="8"/>
      <c r="R2" s="8"/>
      <c r="S2" s="8"/>
      <c r="T2" s="8"/>
      <c r="U2" s="8"/>
      <c r="V2" s="8"/>
      <c r="W2" s="8"/>
      <c r="X2" s="8"/>
      <c r="Y2" s="8"/>
      <c r="Z2" s="8"/>
      <c r="AA2" s="8"/>
      <c r="AB2" s="9"/>
    </row>
    <row r="3" spans="1:28" x14ac:dyDescent="0.25">
      <c r="H3" s="78" t="s">
        <v>38</v>
      </c>
      <c r="I3" s="1">
        <v>1</v>
      </c>
      <c r="J3" s="31"/>
      <c r="K3" s="10" t="s">
        <v>39</v>
      </c>
      <c r="L3" s="31"/>
      <c r="M3" s="11" t="s">
        <v>40</v>
      </c>
    </row>
    <row r="4" spans="1:28" x14ac:dyDescent="0.25">
      <c r="I4" s="18">
        <v>2</v>
      </c>
      <c r="J4" s="37" t="s">
        <v>41</v>
      </c>
      <c r="K4" s="27" t="s">
        <v>42</v>
      </c>
      <c r="L4" s="37" t="s">
        <v>43</v>
      </c>
      <c r="M4" s="105" t="s">
        <v>44</v>
      </c>
      <c r="O4" s="98"/>
    </row>
    <row r="5" spans="1:28" x14ac:dyDescent="0.25">
      <c r="A5" s="79" t="s">
        <v>45</v>
      </c>
      <c r="I5" s="18">
        <v>3</v>
      </c>
      <c r="J5" s="38" t="s">
        <v>41</v>
      </c>
      <c r="K5" s="28" t="s">
        <v>46</v>
      </c>
      <c r="L5" s="38" t="s">
        <v>43</v>
      </c>
      <c r="M5" s="28" t="s">
        <v>47</v>
      </c>
    </row>
    <row r="6" spans="1:28" x14ac:dyDescent="0.25">
      <c r="A6" s="6" t="s">
        <v>48</v>
      </c>
      <c r="B6" s="12" t="s">
        <v>0</v>
      </c>
      <c r="C6" s="6" t="s">
        <v>49</v>
      </c>
      <c r="D6" s="6" t="s">
        <v>50</v>
      </c>
      <c r="E6" s="6" t="s">
        <v>51</v>
      </c>
      <c r="F6" s="6" t="s">
        <v>52</v>
      </c>
      <c r="G6" s="6" t="s">
        <v>6</v>
      </c>
      <c r="H6"/>
      <c r="I6" s="18">
        <v>4</v>
      </c>
      <c r="J6" s="38" t="s">
        <v>41</v>
      </c>
      <c r="K6" s="28" t="s">
        <v>53</v>
      </c>
      <c r="L6" s="38" t="s">
        <v>43</v>
      </c>
      <c r="M6" s="28" t="s">
        <v>54</v>
      </c>
    </row>
    <row r="7" spans="1:28" x14ac:dyDescent="0.25">
      <c r="A7" s="6" t="s">
        <v>11</v>
      </c>
      <c r="B7" s="89" t="s">
        <v>55</v>
      </c>
      <c r="C7" s="7" t="s">
        <v>56</v>
      </c>
      <c r="D7" s="7" t="s">
        <v>57</v>
      </c>
      <c r="E7" s="92">
        <v>45292</v>
      </c>
      <c r="F7" s="92">
        <v>45292</v>
      </c>
      <c r="G7" s="91" t="s">
        <v>58</v>
      </c>
      <c r="I7" s="18">
        <v>5</v>
      </c>
      <c r="J7" s="61" t="s">
        <v>41</v>
      </c>
      <c r="K7" s="58" t="s">
        <v>59</v>
      </c>
      <c r="L7" s="61" t="s">
        <v>43</v>
      </c>
      <c r="M7" s="58" t="s">
        <v>59</v>
      </c>
    </row>
    <row r="8" spans="1:28" x14ac:dyDescent="0.25">
      <c r="I8" s="18">
        <v>6</v>
      </c>
      <c r="J8" s="38" t="s">
        <v>43</v>
      </c>
      <c r="K8" s="28" t="s">
        <v>44</v>
      </c>
      <c r="L8" s="38" t="s">
        <v>41</v>
      </c>
      <c r="M8" s="28" t="s">
        <v>42</v>
      </c>
    </row>
    <row r="9" spans="1:28" x14ac:dyDescent="0.25">
      <c r="A9" s="79" t="s">
        <v>60</v>
      </c>
      <c r="I9" s="18">
        <v>7</v>
      </c>
      <c r="J9" s="38" t="s">
        <v>43</v>
      </c>
      <c r="K9" s="28" t="s">
        <v>47</v>
      </c>
      <c r="L9" s="38" t="s">
        <v>41</v>
      </c>
      <c r="M9" s="28" t="s">
        <v>46</v>
      </c>
    </row>
    <row r="10" spans="1:28" x14ac:dyDescent="0.25">
      <c r="A10" s="13" t="s">
        <v>61</v>
      </c>
      <c r="B10" s="16" t="s">
        <v>62</v>
      </c>
      <c r="C10" s="16" t="s">
        <v>63</v>
      </c>
      <c r="I10" s="18">
        <v>8</v>
      </c>
      <c r="J10" s="38" t="s">
        <v>43</v>
      </c>
      <c r="K10" s="28" t="s">
        <v>54</v>
      </c>
      <c r="L10" s="38" t="s">
        <v>41</v>
      </c>
      <c r="M10" s="28" t="s">
        <v>53</v>
      </c>
    </row>
    <row r="11" spans="1:28" x14ac:dyDescent="0.25">
      <c r="A11" s="6" t="s">
        <v>17</v>
      </c>
      <c r="B11" s="6" t="s">
        <v>64</v>
      </c>
      <c r="C11" s="6" t="s">
        <v>65</v>
      </c>
      <c r="I11" s="18">
        <v>9</v>
      </c>
      <c r="J11" s="61" t="s">
        <v>43</v>
      </c>
      <c r="K11" s="58" t="s">
        <v>59</v>
      </c>
      <c r="L11" s="62" t="s">
        <v>41</v>
      </c>
      <c r="M11" s="58" t="s">
        <v>59</v>
      </c>
    </row>
    <row r="12" spans="1:28" x14ac:dyDescent="0.25">
      <c r="A12" s="6" t="s">
        <v>66</v>
      </c>
      <c r="B12" s="6" t="s">
        <v>65</v>
      </c>
      <c r="C12" s="6" t="s">
        <v>64</v>
      </c>
      <c r="I12" s="18">
        <v>10</v>
      </c>
      <c r="J12" s="40" t="s">
        <v>67</v>
      </c>
      <c r="K12" s="27" t="s">
        <v>68</v>
      </c>
      <c r="L12" s="40" t="s">
        <v>69</v>
      </c>
      <c r="M12" s="27" t="s">
        <v>70</v>
      </c>
    </row>
    <row r="13" spans="1:28" x14ac:dyDescent="0.25">
      <c r="E13" s="17"/>
      <c r="F13" s="17"/>
      <c r="I13" s="18">
        <v>11</v>
      </c>
      <c r="J13" s="39" t="s">
        <v>67</v>
      </c>
      <c r="K13" s="28" t="s">
        <v>71</v>
      </c>
      <c r="L13" s="39" t="s">
        <v>69</v>
      </c>
      <c r="M13" s="28" t="s">
        <v>72</v>
      </c>
    </row>
    <row r="14" spans="1:28" x14ac:dyDescent="0.25">
      <c r="A14" s="79" t="s">
        <v>73</v>
      </c>
      <c r="I14" s="18">
        <v>12</v>
      </c>
      <c r="J14" s="39" t="s">
        <v>67</v>
      </c>
      <c r="K14" s="28" t="s">
        <v>74</v>
      </c>
      <c r="L14" s="39" t="s">
        <v>69</v>
      </c>
      <c r="M14" s="28" t="s">
        <v>75</v>
      </c>
    </row>
    <row r="15" spans="1:28" x14ac:dyDescent="0.25">
      <c r="A15" s="6" t="s">
        <v>76</v>
      </c>
      <c r="B15" s="12" t="s">
        <v>0</v>
      </c>
      <c r="C15" s="6" t="s">
        <v>49</v>
      </c>
      <c r="D15" s="6" t="s">
        <v>50</v>
      </c>
      <c r="E15" s="6" t="s">
        <v>51</v>
      </c>
      <c r="F15" s="6" t="s">
        <v>52</v>
      </c>
      <c r="I15" s="18">
        <v>13</v>
      </c>
      <c r="J15" s="63" t="s">
        <v>67</v>
      </c>
      <c r="K15" s="58" t="s">
        <v>59</v>
      </c>
      <c r="L15" s="63" t="s">
        <v>69</v>
      </c>
      <c r="M15" s="58" t="s">
        <v>59</v>
      </c>
    </row>
    <row r="16" spans="1:28" x14ac:dyDescent="0.25">
      <c r="A16" s="6" t="s">
        <v>77</v>
      </c>
      <c r="B16" s="93" t="s">
        <v>78</v>
      </c>
      <c r="C16" s="4" t="s">
        <v>56</v>
      </c>
      <c r="D16" s="4" t="s">
        <v>79</v>
      </c>
      <c r="E16" s="94">
        <v>44562</v>
      </c>
      <c r="F16" s="92">
        <v>44562</v>
      </c>
      <c r="G16" s="17"/>
      <c r="I16" s="18">
        <v>14</v>
      </c>
      <c r="J16" s="39" t="s">
        <v>69</v>
      </c>
      <c r="K16" s="28" t="s">
        <v>70</v>
      </c>
      <c r="L16" s="39" t="s">
        <v>67</v>
      </c>
      <c r="M16" s="28" t="s">
        <v>68</v>
      </c>
    </row>
    <row r="17" spans="1:15" x14ac:dyDescent="0.25">
      <c r="A17" s="84" t="s">
        <v>80</v>
      </c>
      <c r="B17" s="96" t="s">
        <v>81</v>
      </c>
      <c r="C17" s="4" t="s">
        <v>56</v>
      </c>
      <c r="D17" s="4" t="s">
        <v>79</v>
      </c>
      <c r="E17" s="95">
        <v>45292</v>
      </c>
      <c r="F17" s="95">
        <v>45292</v>
      </c>
      <c r="I17" s="18">
        <v>15</v>
      </c>
      <c r="J17" s="39" t="s">
        <v>69</v>
      </c>
      <c r="K17" s="28" t="s">
        <v>72</v>
      </c>
      <c r="L17" s="39" t="s">
        <v>67</v>
      </c>
      <c r="M17" s="28" t="s">
        <v>71</v>
      </c>
    </row>
    <row r="18" spans="1:15" x14ac:dyDescent="0.25">
      <c r="A18" s="6" t="s">
        <v>82</v>
      </c>
      <c r="B18" s="93" t="s">
        <v>83</v>
      </c>
      <c r="C18" s="4" t="s">
        <v>56</v>
      </c>
      <c r="D18" s="4" t="s">
        <v>79</v>
      </c>
      <c r="E18" s="94">
        <v>44197</v>
      </c>
      <c r="F18" s="94">
        <v>44197</v>
      </c>
      <c r="I18" s="18">
        <v>16</v>
      </c>
      <c r="J18" s="39" t="s">
        <v>69</v>
      </c>
      <c r="K18" s="28" t="s">
        <v>75</v>
      </c>
      <c r="L18" s="39" t="s">
        <v>67</v>
      </c>
      <c r="M18" s="28" t="s">
        <v>74</v>
      </c>
    </row>
    <row r="19" spans="1:15" x14ac:dyDescent="0.25">
      <c r="A19" s="6" t="s">
        <v>84</v>
      </c>
      <c r="B19" s="93" t="s">
        <v>85</v>
      </c>
      <c r="C19" s="4" t="s">
        <v>56</v>
      </c>
      <c r="D19" s="4" t="s">
        <v>79</v>
      </c>
      <c r="E19" s="94">
        <v>44197</v>
      </c>
      <c r="F19" s="94">
        <v>44197</v>
      </c>
      <c r="I19" s="18">
        <v>17</v>
      </c>
      <c r="J19" s="64" t="s">
        <v>69</v>
      </c>
      <c r="K19" s="58" t="s">
        <v>59</v>
      </c>
      <c r="L19" s="64" t="s">
        <v>67</v>
      </c>
      <c r="M19" s="58" t="s">
        <v>59</v>
      </c>
    </row>
    <row r="20" spans="1:15" x14ac:dyDescent="0.25">
      <c r="A20" s="6" t="s">
        <v>86</v>
      </c>
      <c r="B20" s="93" t="s">
        <v>87</v>
      </c>
      <c r="C20" s="4" t="s">
        <v>56</v>
      </c>
      <c r="D20" s="4" t="s">
        <v>79</v>
      </c>
      <c r="E20" s="94">
        <v>44197</v>
      </c>
      <c r="F20" s="94">
        <v>44378</v>
      </c>
      <c r="I20" s="18">
        <v>18</v>
      </c>
      <c r="J20" s="40" t="s">
        <v>88</v>
      </c>
      <c r="K20" s="27" t="s">
        <v>89</v>
      </c>
      <c r="L20" s="40" t="s">
        <v>90</v>
      </c>
      <c r="M20" s="27" t="s">
        <v>89</v>
      </c>
    </row>
    <row r="21" spans="1:15" x14ac:dyDescent="0.25">
      <c r="A21" s="6" t="s">
        <v>14</v>
      </c>
      <c r="B21" s="93" t="s">
        <v>91</v>
      </c>
      <c r="C21" s="4" t="s">
        <v>56</v>
      </c>
      <c r="D21" s="4" t="s">
        <v>79</v>
      </c>
      <c r="E21" s="94">
        <v>44197</v>
      </c>
      <c r="F21" s="94">
        <v>44197</v>
      </c>
      <c r="I21" s="18">
        <v>19</v>
      </c>
      <c r="J21" s="39" t="s">
        <v>88</v>
      </c>
      <c r="K21" s="28" t="s">
        <v>92</v>
      </c>
      <c r="L21" s="39" t="s">
        <v>90</v>
      </c>
      <c r="M21" s="28" t="s">
        <v>92</v>
      </c>
      <c r="O21" s="55"/>
    </row>
    <row r="22" spans="1:15" x14ac:dyDescent="0.25">
      <c r="A22" s="6" t="s">
        <v>93</v>
      </c>
      <c r="B22" s="93" t="s">
        <v>94</v>
      </c>
      <c r="C22" s="4" t="s">
        <v>56</v>
      </c>
      <c r="D22" s="4" t="s">
        <v>79</v>
      </c>
      <c r="E22" s="94">
        <v>44197</v>
      </c>
      <c r="F22" s="94">
        <v>44197</v>
      </c>
      <c r="I22" s="18">
        <v>20</v>
      </c>
      <c r="J22" s="39" t="s">
        <v>88</v>
      </c>
      <c r="K22" s="28" t="s">
        <v>95</v>
      </c>
      <c r="L22" s="39" t="s">
        <v>90</v>
      </c>
      <c r="M22" s="28" t="s">
        <v>95</v>
      </c>
      <c r="O22" s="55"/>
    </row>
    <row r="23" spans="1:15" x14ac:dyDescent="0.25">
      <c r="A23" s="6" t="s">
        <v>96</v>
      </c>
      <c r="B23" s="93" t="s">
        <v>97</v>
      </c>
      <c r="C23" s="4" t="s">
        <v>56</v>
      </c>
      <c r="D23" s="4" t="s">
        <v>79</v>
      </c>
      <c r="E23" s="94">
        <v>44197</v>
      </c>
      <c r="F23" s="94">
        <v>44197</v>
      </c>
      <c r="I23" s="18">
        <v>21</v>
      </c>
      <c r="J23" s="39" t="s">
        <v>88</v>
      </c>
      <c r="K23" s="28" t="s">
        <v>98</v>
      </c>
      <c r="L23" s="39" t="s">
        <v>90</v>
      </c>
      <c r="M23" s="28" t="s">
        <v>98</v>
      </c>
    </row>
    <row r="24" spans="1:15" x14ac:dyDescent="0.25">
      <c r="A24" s="6" t="s">
        <v>99</v>
      </c>
      <c r="B24" s="93" t="s">
        <v>100</v>
      </c>
      <c r="C24" s="4" t="s">
        <v>56</v>
      </c>
      <c r="D24" s="4" t="s">
        <v>79</v>
      </c>
      <c r="E24" s="94">
        <v>44197</v>
      </c>
      <c r="F24" s="94">
        <v>44197</v>
      </c>
      <c r="I24" s="18">
        <v>22</v>
      </c>
      <c r="J24" s="39" t="s">
        <v>88</v>
      </c>
      <c r="K24" s="28" t="s">
        <v>101</v>
      </c>
      <c r="L24" s="39" t="s">
        <v>102</v>
      </c>
      <c r="M24" s="28" t="s">
        <v>101</v>
      </c>
    </row>
    <row r="25" spans="1:15" x14ac:dyDescent="0.25">
      <c r="A25"/>
      <c r="B25"/>
      <c r="C25"/>
      <c r="D25"/>
      <c r="E25"/>
      <c r="F25"/>
      <c r="G25"/>
      <c r="I25" s="18">
        <v>23</v>
      </c>
      <c r="J25" s="39" t="s">
        <v>88</v>
      </c>
      <c r="K25" s="28" t="s">
        <v>103</v>
      </c>
      <c r="L25" s="39" t="s">
        <v>102</v>
      </c>
      <c r="M25" s="28" t="s">
        <v>103</v>
      </c>
      <c r="O25" s="55"/>
    </row>
    <row r="26" spans="1:15" x14ac:dyDescent="0.25">
      <c r="A26"/>
      <c r="B26"/>
      <c r="C26"/>
      <c r="D26"/>
      <c r="E26"/>
      <c r="F26"/>
      <c r="G26"/>
      <c r="I26" s="18">
        <v>24</v>
      </c>
      <c r="J26" s="39" t="s">
        <v>88</v>
      </c>
      <c r="K26" s="28" t="s">
        <v>104</v>
      </c>
      <c r="L26" s="39" t="s">
        <v>102</v>
      </c>
      <c r="M26" s="28" t="s">
        <v>104</v>
      </c>
      <c r="O26" s="55"/>
    </row>
    <row r="27" spans="1:15" x14ac:dyDescent="0.25">
      <c r="B27"/>
      <c r="C27"/>
      <c r="D27"/>
      <c r="E27"/>
      <c r="F27"/>
      <c r="G27"/>
      <c r="I27" s="18">
        <v>25</v>
      </c>
      <c r="J27" s="41" t="s">
        <v>88</v>
      </c>
      <c r="K27" s="51" t="s">
        <v>105</v>
      </c>
      <c r="L27" s="41" t="s">
        <v>102</v>
      </c>
      <c r="M27" s="51" t="s">
        <v>105</v>
      </c>
    </row>
    <row r="28" spans="1:15" x14ac:dyDescent="0.25">
      <c r="A28"/>
      <c r="B28"/>
      <c r="C28"/>
      <c r="D28"/>
      <c r="E28"/>
      <c r="F28"/>
      <c r="G28"/>
      <c r="I28" s="18">
        <v>26</v>
      </c>
      <c r="J28" s="40" t="s">
        <v>106</v>
      </c>
      <c r="K28" s="27" t="s">
        <v>107</v>
      </c>
      <c r="L28" s="40" t="s">
        <v>108</v>
      </c>
      <c r="M28" s="27" t="s">
        <v>107</v>
      </c>
    </row>
    <row r="29" spans="1:15" x14ac:dyDescent="0.25">
      <c r="A29"/>
      <c r="B29"/>
      <c r="C29"/>
      <c r="D29"/>
      <c r="E29"/>
      <c r="F29"/>
      <c r="G29"/>
      <c r="H29"/>
      <c r="I29" s="18">
        <v>27</v>
      </c>
      <c r="J29" s="39" t="s">
        <v>106</v>
      </c>
      <c r="K29" s="28" t="s">
        <v>109</v>
      </c>
      <c r="L29" s="39" t="s">
        <v>108</v>
      </c>
      <c r="M29" s="28" t="s">
        <v>109</v>
      </c>
    </row>
    <row r="30" spans="1:15" x14ac:dyDescent="0.25">
      <c r="A30"/>
      <c r="B30"/>
      <c r="C30"/>
      <c r="D30"/>
      <c r="E30"/>
      <c r="F30"/>
      <c r="G30"/>
      <c r="H30"/>
      <c r="I30" s="18">
        <v>28</v>
      </c>
      <c r="J30" s="39" t="s">
        <v>106</v>
      </c>
      <c r="K30" s="28" t="s">
        <v>110</v>
      </c>
      <c r="L30" s="39" t="s">
        <v>108</v>
      </c>
      <c r="M30" s="28" t="s">
        <v>110</v>
      </c>
    </row>
    <row r="31" spans="1:15" x14ac:dyDescent="0.25">
      <c r="A31" s="82" t="s">
        <v>111</v>
      </c>
      <c r="B31"/>
      <c r="C31"/>
      <c r="D31"/>
      <c r="E31"/>
      <c r="F31"/>
      <c r="G31"/>
      <c r="H31"/>
      <c r="I31" s="18">
        <v>29</v>
      </c>
      <c r="J31" s="39" t="s">
        <v>106</v>
      </c>
      <c r="K31" s="28" t="s">
        <v>112</v>
      </c>
      <c r="L31" s="39" t="s">
        <v>108</v>
      </c>
      <c r="M31" s="28" t="s">
        <v>112</v>
      </c>
    </row>
    <row r="32" spans="1:15" x14ac:dyDescent="0.25">
      <c r="A32"/>
      <c r="B32"/>
      <c r="C32"/>
      <c r="D32"/>
      <c r="E32"/>
      <c r="F32"/>
      <c r="G32"/>
      <c r="H32"/>
      <c r="I32" s="18">
        <v>30</v>
      </c>
      <c r="J32" s="39" t="s">
        <v>106</v>
      </c>
      <c r="K32" s="66" t="s">
        <v>113</v>
      </c>
      <c r="L32" s="39" t="s">
        <v>114</v>
      </c>
      <c r="M32" s="66" t="s">
        <v>113</v>
      </c>
    </row>
    <row r="33" spans="1:27" x14ac:dyDescent="0.25">
      <c r="A33"/>
      <c r="B33"/>
      <c r="C33"/>
      <c r="D33"/>
      <c r="E33"/>
      <c r="F33"/>
      <c r="G33"/>
      <c r="H33"/>
      <c r="I33" s="18">
        <v>31</v>
      </c>
      <c r="J33" s="39" t="s">
        <v>106</v>
      </c>
      <c r="K33" s="66" t="s">
        <v>115</v>
      </c>
      <c r="L33" s="39" t="s">
        <v>114</v>
      </c>
      <c r="M33" s="66" t="s">
        <v>115</v>
      </c>
    </row>
    <row r="34" spans="1:27" ht="15.75" customHeight="1" x14ac:dyDescent="0.25">
      <c r="A34"/>
      <c r="B34"/>
      <c r="C34"/>
      <c r="D34"/>
      <c r="E34"/>
      <c r="F34"/>
      <c r="G34"/>
      <c r="H34"/>
      <c r="I34" s="18">
        <v>32</v>
      </c>
      <c r="J34" s="39" t="s">
        <v>106</v>
      </c>
      <c r="K34" s="108" t="s">
        <v>116</v>
      </c>
      <c r="L34" s="39" t="s">
        <v>114</v>
      </c>
      <c r="M34" s="108" t="s">
        <v>116</v>
      </c>
    </row>
    <row r="35" spans="1:27" x14ac:dyDescent="0.25">
      <c r="A35"/>
      <c r="B35"/>
      <c r="C35"/>
      <c r="D35"/>
      <c r="E35"/>
      <c r="F35"/>
      <c r="G35"/>
      <c r="H35"/>
      <c r="I35" s="18">
        <v>33</v>
      </c>
      <c r="J35" s="41" t="s">
        <v>106</v>
      </c>
      <c r="K35" s="109" t="s">
        <v>115</v>
      </c>
      <c r="L35" s="41" t="s">
        <v>114</v>
      </c>
      <c r="M35" s="109" t="s">
        <v>115</v>
      </c>
    </row>
    <row r="36" spans="1:27" ht="15.75" customHeight="1" x14ac:dyDescent="0.25">
      <c r="A36"/>
      <c r="B36"/>
      <c r="C36"/>
      <c r="D36"/>
      <c r="E36"/>
      <c r="F36"/>
      <c r="G36"/>
      <c r="H36"/>
      <c r="J36" s="30"/>
      <c r="K36" s="59" t="s">
        <v>117</v>
      </c>
      <c r="L36" s="30"/>
      <c r="M36" s="59" t="s">
        <v>117</v>
      </c>
    </row>
    <row r="37" spans="1:27" ht="15.75" customHeight="1" x14ac:dyDescent="0.25">
      <c r="A37"/>
      <c r="B37"/>
      <c r="C37"/>
      <c r="D37"/>
      <c r="E37"/>
      <c r="F37"/>
      <c r="G37"/>
      <c r="H37"/>
      <c r="K37" s="65" t="s">
        <v>118</v>
      </c>
      <c r="M37" s="65" t="s">
        <v>118</v>
      </c>
    </row>
    <row r="38" spans="1:27" x14ac:dyDescent="0.25">
      <c r="A38"/>
      <c r="B38"/>
      <c r="C38"/>
      <c r="D38"/>
      <c r="E38"/>
      <c r="F38"/>
      <c r="G38"/>
      <c r="H38"/>
    </row>
    <row r="39" spans="1:27" x14ac:dyDescent="0.25">
      <c r="A39"/>
      <c r="B39"/>
      <c r="C39"/>
      <c r="D39"/>
      <c r="E39"/>
      <c r="F39"/>
      <c r="G39"/>
      <c r="H39"/>
    </row>
    <row r="40" spans="1:27" x14ac:dyDescent="0.25">
      <c r="A40"/>
      <c r="B40"/>
      <c r="C40"/>
      <c r="H40" s="78" t="s">
        <v>119</v>
      </c>
      <c r="J40" s="53"/>
      <c r="K40" s="54" t="s">
        <v>78</v>
      </c>
      <c r="L40" s="53"/>
      <c r="M40" s="54" t="s">
        <v>81</v>
      </c>
      <c r="N40" s="53"/>
      <c r="O40" s="54" t="s">
        <v>83</v>
      </c>
      <c r="P40" s="53"/>
      <c r="Q40" s="69" t="s">
        <v>87</v>
      </c>
      <c r="R40" s="53"/>
      <c r="S40" s="54" t="s">
        <v>85</v>
      </c>
      <c r="T40" s="53"/>
      <c r="U40" s="54" t="s">
        <v>91</v>
      </c>
      <c r="V40" s="53"/>
      <c r="W40" s="54" t="s">
        <v>94</v>
      </c>
      <c r="X40" s="53"/>
      <c r="Y40" s="54" t="s">
        <v>97</v>
      </c>
      <c r="Z40" s="53"/>
      <c r="AA40" s="54" t="s">
        <v>100</v>
      </c>
    </row>
    <row r="41" spans="1:27" x14ac:dyDescent="0.25">
      <c r="A41"/>
      <c r="B41"/>
      <c r="C41"/>
      <c r="I41" s="18">
        <v>2</v>
      </c>
      <c r="J41" s="37" t="s">
        <v>120</v>
      </c>
      <c r="K41" s="27" t="s">
        <v>121</v>
      </c>
      <c r="L41" s="37" t="s">
        <v>120</v>
      </c>
      <c r="M41" s="56" t="s">
        <v>122</v>
      </c>
      <c r="N41" s="37" t="s">
        <v>120</v>
      </c>
      <c r="O41" s="27" t="s">
        <v>123</v>
      </c>
      <c r="P41" s="37" t="s">
        <v>120</v>
      </c>
      <c r="Q41" s="27" t="s">
        <v>124</v>
      </c>
      <c r="R41" s="37" t="s">
        <v>120</v>
      </c>
      <c r="S41" s="56" t="s">
        <v>125</v>
      </c>
      <c r="T41" s="37" t="s">
        <v>120</v>
      </c>
      <c r="U41" s="56" t="s">
        <v>126</v>
      </c>
      <c r="V41" s="37" t="s">
        <v>120</v>
      </c>
      <c r="W41" s="27" t="s">
        <v>127</v>
      </c>
      <c r="X41" s="37" t="s">
        <v>120</v>
      </c>
      <c r="Y41" s="56" t="s">
        <v>128</v>
      </c>
      <c r="Z41" s="37" t="s">
        <v>120</v>
      </c>
      <c r="AA41" s="56" t="s">
        <v>129</v>
      </c>
    </row>
    <row r="42" spans="1:27" x14ac:dyDescent="0.25">
      <c r="A42"/>
      <c r="B42"/>
      <c r="C42"/>
      <c r="I42" s="18">
        <v>3</v>
      </c>
      <c r="J42" s="38" t="s">
        <v>130</v>
      </c>
      <c r="K42" s="28" t="s">
        <v>131</v>
      </c>
      <c r="L42" s="38" t="s">
        <v>130</v>
      </c>
      <c r="M42" s="57" t="s">
        <v>132</v>
      </c>
      <c r="N42" s="38" t="s">
        <v>130</v>
      </c>
      <c r="O42" s="28" t="s">
        <v>133</v>
      </c>
      <c r="P42" s="38" t="s">
        <v>130</v>
      </c>
      <c r="Q42" s="28" t="s">
        <v>134</v>
      </c>
      <c r="R42" s="38" t="s">
        <v>130</v>
      </c>
      <c r="S42" s="57" t="s">
        <v>135</v>
      </c>
      <c r="T42" s="38" t="s">
        <v>130</v>
      </c>
      <c r="U42" s="57" t="s">
        <v>136</v>
      </c>
      <c r="V42" s="38" t="s">
        <v>130</v>
      </c>
      <c r="W42" s="28" t="s">
        <v>137</v>
      </c>
      <c r="X42" s="38" t="s">
        <v>130</v>
      </c>
      <c r="Y42" s="57" t="s">
        <v>138</v>
      </c>
      <c r="Z42" s="38" t="s">
        <v>130</v>
      </c>
      <c r="AA42" s="57" t="s">
        <v>139</v>
      </c>
    </row>
    <row r="43" spans="1:27" x14ac:dyDescent="0.25">
      <c r="A43"/>
      <c r="B43"/>
      <c r="C43"/>
      <c r="I43" s="18">
        <v>4</v>
      </c>
      <c r="J43" s="38" t="s">
        <v>140</v>
      </c>
      <c r="K43" s="28" t="s">
        <v>141</v>
      </c>
      <c r="L43" s="38" t="s">
        <v>140</v>
      </c>
      <c r="M43" s="57" t="s">
        <v>142</v>
      </c>
      <c r="N43" s="38" t="s">
        <v>140</v>
      </c>
      <c r="O43" s="28" t="s">
        <v>143</v>
      </c>
      <c r="P43" s="38" t="s">
        <v>140</v>
      </c>
      <c r="Q43" s="28" t="s">
        <v>144</v>
      </c>
      <c r="R43" s="38" t="s">
        <v>140</v>
      </c>
      <c r="S43" s="57" t="s">
        <v>145</v>
      </c>
      <c r="T43" s="38" t="s">
        <v>140</v>
      </c>
      <c r="U43" s="57" t="s">
        <v>146</v>
      </c>
      <c r="V43" s="38" t="s">
        <v>140</v>
      </c>
      <c r="W43" s="28" t="s">
        <v>147</v>
      </c>
      <c r="X43" s="38" t="s">
        <v>140</v>
      </c>
      <c r="Y43" s="57" t="s">
        <v>148</v>
      </c>
      <c r="Z43" s="38" t="s">
        <v>140</v>
      </c>
      <c r="AA43" s="57" t="s">
        <v>149</v>
      </c>
    </row>
    <row r="44" spans="1:27" x14ac:dyDescent="0.25">
      <c r="A44"/>
      <c r="B44"/>
      <c r="C44"/>
      <c r="I44" s="18">
        <v>5</v>
      </c>
      <c r="J44" s="38" t="s">
        <v>150</v>
      </c>
      <c r="K44" s="28" t="s">
        <v>151</v>
      </c>
      <c r="L44" s="38" t="s">
        <v>150</v>
      </c>
      <c r="M44" s="57" t="s">
        <v>151</v>
      </c>
      <c r="N44" s="38" t="s">
        <v>150</v>
      </c>
      <c r="O44" s="28" t="s">
        <v>152</v>
      </c>
      <c r="P44" s="38" t="s">
        <v>150</v>
      </c>
      <c r="Q44" s="28" t="s">
        <v>153</v>
      </c>
      <c r="R44" s="38" t="s">
        <v>150</v>
      </c>
      <c r="S44" s="57" t="s">
        <v>127</v>
      </c>
      <c r="T44" s="38" t="s">
        <v>150</v>
      </c>
      <c r="U44" s="57" t="s">
        <v>151</v>
      </c>
      <c r="V44" s="38" t="s">
        <v>150</v>
      </c>
      <c r="W44" s="28" t="s">
        <v>154</v>
      </c>
      <c r="X44" s="38" t="s">
        <v>150</v>
      </c>
      <c r="Y44" s="57" t="s">
        <v>155</v>
      </c>
      <c r="Z44" s="38" t="s">
        <v>150</v>
      </c>
      <c r="AA44" s="57" t="s">
        <v>155</v>
      </c>
    </row>
    <row r="45" spans="1:27" x14ac:dyDescent="0.25">
      <c r="A45"/>
      <c r="B45"/>
      <c r="C45"/>
      <c r="I45" s="18">
        <v>6</v>
      </c>
      <c r="J45" s="38" t="s">
        <v>156</v>
      </c>
      <c r="K45" s="28" t="s">
        <v>157</v>
      </c>
      <c r="L45" s="38" t="s">
        <v>156</v>
      </c>
      <c r="M45" s="57" t="s">
        <v>158</v>
      </c>
      <c r="N45" s="38"/>
      <c r="O45" s="28"/>
      <c r="P45" s="38"/>
      <c r="Q45" s="28"/>
      <c r="R45" s="38"/>
      <c r="S45" s="57"/>
      <c r="T45" s="38" t="s">
        <v>156</v>
      </c>
      <c r="U45" s="57" t="s">
        <v>159</v>
      </c>
      <c r="V45" s="38"/>
      <c r="W45" s="28"/>
      <c r="X45" s="38"/>
      <c r="Y45" s="57"/>
      <c r="Z45" s="38"/>
      <c r="AA45" s="57"/>
    </row>
    <row r="46" spans="1:27" x14ac:dyDescent="0.25">
      <c r="A46"/>
      <c r="B46"/>
      <c r="C46"/>
      <c r="I46" s="18">
        <v>7</v>
      </c>
      <c r="J46" s="38" t="s">
        <v>160</v>
      </c>
      <c r="K46" s="70" t="s">
        <v>161</v>
      </c>
      <c r="L46" s="38" t="s">
        <v>160</v>
      </c>
      <c r="M46" s="57" t="s">
        <v>70</v>
      </c>
      <c r="N46" s="38"/>
      <c r="O46" s="28"/>
      <c r="P46" s="38"/>
      <c r="Q46" s="28"/>
      <c r="R46" s="38"/>
      <c r="S46" s="57"/>
      <c r="T46" s="38" t="s">
        <v>160</v>
      </c>
      <c r="U46" s="57" t="s">
        <v>145</v>
      </c>
      <c r="V46" s="38"/>
      <c r="W46" s="28"/>
      <c r="X46" s="38"/>
      <c r="Y46" s="57"/>
      <c r="Z46" s="38"/>
      <c r="AA46" s="57"/>
    </row>
    <row r="47" spans="1:27" x14ac:dyDescent="0.25">
      <c r="A47"/>
      <c r="B47"/>
      <c r="C47"/>
      <c r="I47" s="18">
        <v>8</v>
      </c>
      <c r="J47" s="38" t="s">
        <v>162</v>
      </c>
      <c r="K47" s="57" t="s">
        <v>163</v>
      </c>
      <c r="L47" s="38" t="s">
        <v>162</v>
      </c>
      <c r="M47" s="57" t="s">
        <v>164</v>
      </c>
      <c r="N47" s="38"/>
      <c r="O47" s="28"/>
      <c r="P47" s="38"/>
      <c r="Q47" s="28"/>
      <c r="R47" s="38"/>
      <c r="S47" s="57"/>
      <c r="T47" s="38" t="s">
        <v>162</v>
      </c>
      <c r="U47" s="70" t="s">
        <v>165</v>
      </c>
      <c r="V47" s="38"/>
      <c r="W47" s="28"/>
      <c r="X47" s="38"/>
      <c r="Y47" s="57"/>
      <c r="Z47" s="38"/>
      <c r="AA47" s="57"/>
    </row>
    <row r="48" spans="1:27" x14ac:dyDescent="0.25">
      <c r="A48"/>
      <c r="B48"/>
      <c r="C48"/>
      <c r="I48" s="18">
        <v>9</v>
      </c>
      <c r="J48" s="42"/>
      <c r="K48" s="52"/>
      <c r="L48" s="42" t="s">
        <v>166</v>
      </c>
      <c r="M48" s="51" t="s">
        <v>163</v>
      </c>
      <c r="N48" s="42"/>
      <c r="O48" s="52"/>
      <c r="P48" s="42"/>
      <c r="Q48" s="52"/>
      <c r="R48" s="42"/>
      <c r="S48" s="51"/>
      <c r="T48" s="42"/>
      <c r="U48" s="52"/>
      <c r="V48" s="42"/>
      <c r="W48" s="52"/>
      <c r="X48" s="42"/>
      <c r="Y48" s="51"/>
      <c r="Z48" s="42"/>
      <c r="AA48" s="51"/>
    </row>
    <row r="49" spans="1:21" ht="36" customHeight="1" x14ac:dyDescent="0.25">
      <c r="A49"/>
      <c r="B49"/>
      <c r="C49"/>
      <c r="J49" s="110" t="s">
        <v>167</v>
      </c>
      <c r="K49" s="110"/>
      <c r="L49" s="90"/>
      <c r="M49" s="90"/>
      <c r="P49" s="110" t="s">
        <v>168</v>
      </c>
      <c r="Q49" s="110"/>
      <c r="T49" s="110" t="s">
        <v>169</v>
      </c>
      <c r="U49" s="110"/>
    </row>
    <row r="50" spans="1:21" x14ac:dyDescent="0.25">
      <c r="A50"/>
      <c r="B50"/>
      <c r="C50"/>
    </row>
    <row r="51" spans="1:21" x14ac:dyDescent="0.25">
      <c r="A51"/>
      <c r="B51"/>
      <c r="C51"/>
    </row>
    <row r="52" spans="1:21" x14ac:dyDescent="0.25">
      <c r="A52"/>
      <c r="B52"/>
      <c r="C52"/>
    </row>
    <row r="53" spans="1:21" x14ac:dyDescent="0.25">
      <c r="A53"/>
      <c r="B53"/>
      <c r="C53"/>
    </row>
    <row r="54" spans="1:21" x14ac:dyDescent="0.25">
      <c r="A54"/>
      <c r="B54"/>
      <c r="C54"/>
    </row>
    <row r="55" spans="1:21" x14ac:dyDescent="0.25">
      <c r="A55"/>
      <c r="B55"/>
      <c r="C55"/>
    </row>
    <row r="56" spans="1:21" x14ac:dyDescent="0.25">
      <c r="A56"/>
      <c r="B56"/>
      <c r="C56"/>
    </row>
  </sheetData>
  <mergeCells count="3">
    <mergeCell ref="T49:U49"/>
    <mergeCell ref="J49:K49"/>
    <mergeCell ref="P49:Q49"/>
  </mergeCell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zoomScale="85" zoomScaleNormal="85" workbookViewId="0">
      <pane ySplit="3" topLeftCell="A4" activePane="bottomLeft" state="frozen"/>
      <selection activeCell="A31" sqref="A31"/>
      <selection pane="bottomLeft" activeCell="A31" sqref="A31"/>
    </sheetView>
  </sheetViews>
  <sheetFormatPr defaultRowHeight="15.75" x14ac:dyDescent="0.25"/>
  <cols>
    <col min="1" max="1" width="11.875" bestFit="1" customWidth="1"/>
    <col min="2" max="2" width="6.25" style="2" bestFit="1" customWidth="1"/>
    <col min="3" max="3" width="9.375" bestFit="1" customWidth="1"/>
    <col min="4" max="4" width="76.25" bestFit="1" customWidth="1"/>
    <col min="5" max="5" width="9.375" style="2" bestFit="1" customWidth="1"/>
    <col min="6" max="6" width="32.125" bestFit="1" customWidth="1"/>
    <col min="7" max="10" width="5.75" bestFit="1" customWidth="1"/>
    <col min="11" max="11" width="38.5" bestFit="1" customWidth="1"/>
    <col min="12" max="12" width="5.75" bestFit="1" customWidth="1"/>
    <col min="13" max="13" width="6.25" bestFit="1" customWidth="1"/>
    <col min="14" max="15" width="5.75" bestFit="1" customWidth="1"/>
    <col min="16" max="16" width="5.75" style="2" bestFit="1" customWidth="1"/>
    <col min="17" max="17" width="6.25" style="2" bestFit="1" customWidth="1"/>
    <col min="18" max="20" width="5.75" style="2" bestFit="1" customWidth="1"/>
    <col min="21" max="21" width="5.75" bestFit="1" customWidth="1"/>
    <col min="22" max="22" width="5.375" bestFit="1" customWidth="1"/>
    <col min="23" max="23" width="6.5" bestFit="1" customWidth="1"/>
    <col min="24" max="24" width="5.375" bestFit="1" customWidth="1"/>
    <col min="25" max="25" width="6.5" bestFit="1" customWidth="1"/>
    <col min="26" max="26" width="5.375" bestFit="1" customWidth="1"/>
    <col min="27" max="27" width="6.5" bestFit="1" customWidth="1"/>
    <col min="28" max="29" width="6.5" customWidth="1"/>
    <col min="30" max="30" width="5.375" bestFit="1" customWidth="1"/>
  </cols>
  <sheetData>
    <row r="1" spans="1:22" x14ac:dyDescent="0.25">
      <c r="A1" s="26">
        <v>1</v>
      </c>
      <c r="B1" s="26">
        <v>2</v>
      </c>
      <c r="C1" s="26">
        <v>3</v>
      </c>
      <c r="D1" s="26">
        <v>4</v>
      </c>
      <c r="E1" s="26">
        <v>5</v>
      </c>
      <c r="F1" s="26">
        <v>6</v>
      </c>
      <c r="G1" s="26">
        <v>7</v>
      </c>
      <c r="H1" s="26">
        <v>8</v>
      </c>
      <c r="I1" s="26">
        <v>9</v>
      </c>
      <c r="J1" s="26">
        <v>10</v>
      </c>
      <c r="K1" s="26">
        <v>11</v>
      </c>
      <c r="L1" s="26">
        <v>12</v>
      </c>
      <c r="M1" s="26">
        <v>13</v>
      </c>
      <c r="N1" s="26">
        <v>14</v>
      </c>
      <c r="O1" s="26">
        <v>15</v>
      </c>
      <c r="P1" s="26">
        <v>16</v>
      </c>
      <c r="Q1" s="26">
        <v>17</v>
      </c>
      <c r="R1" s="26">
        <v>18</v>
      </c>
      <c r="S1" s="26">
        <v>19</v>
      </c>
      <c r="T1" s="26">
        <v>20</v>
      </c>
      <c r="U1" s="26">
        <v>21</v>
      </c>
    </row>
    <row r="2" spans="1:22" x14ac:dyDescent="0.25">
      <c r="A2" s="19"/>
      <c r="B2" s="20"/>
      <c r="C2" s="20"/>
      <c r="D2" s="19"/>
      <c r="E2" s="20"/>
      <c r="F2" s="19"/>
      <c r="G2" s="23"/>
      <c r="H2" s="20"/>
      <c r="I2" s="21"/>
      <c r="J2" s="22"/>
      <c r="K2" s="3"/>
      <c r="L2" s="19"/>
      <c r="M2" s="19"/>
      <c r="N2" s="19"/>
      <c r="O2" s="19"/>
      <c r="P2" s="19"/>
      <c r="Q2" s="19"/>
      <c r="R2" s="19"/>
      <c r="S2" s="19"/>
      <c r="T2" s="19"/>
      <c r="U2" s="19"/>
      <c r="V2" s="3"/>
    </row>
    <row r="3" spans="1:22" ht="72" x14ac:dyDescent="0.25">
      <c r="A3" s="33" t="s">
        <v>0</v>
      </c>
      <c r="B3" s="33" t="s">
        <v>1</v>
      </c>
      <c r="C3" s="33" t="s">
        <v>2</v>
      </c>
      <c r="D3" s="33" t="s">
        <v>170</v>
      </c>
      <c r="E3" s="33" t="s">
        <v>5</v>
      </c>
      <c r="F3" s="33" t="s">
        <v>4</v>
      </c>
      <c r="G3" s="101" t="s">
        <v>171</v>
      </c>
      <c r="H3" s="102" t="s">
        <v>172</v>
      </c>
      <c r="I3" s="102" t="s">
        <v>173</v>
      </c>
      <c r="J3" s="103" t="s">
        <v>174</v>
      </c>
      <c r="K3" s="36" t="s">
        <v>175</v>
      </c>
      <c r="L3" s="87" t="s">
        <v>55</v>
      </c>
      <c r="M3" s="87" t="s">
        <v>78</v>
      </c>
      <c r="N3" s="87" t="s">
        <v>83</v>
      </c>
      <c r="O3" s="87" t="s">
        <v>87</v>
      </c>
      <c r="P3" s="87" t="s">
        <v>85</v>
      </c>
      <c r="Q3" s="87" t="s">
        <v>91</v>
      </c>
      <c r="R3" s="87" t="s">
        <v>94</v>
      </c>
      <c r="S3" s="87" t="s">
        <v>97</v>
      </c>
      <c r="T3" s="87" t="s">
        <v>100</v>
      </c>
      <c r="U3" s="87" t="s">
        <v>81</v>
      </c>
      <c r="V3" s="3"/>
    </row>
    <row r="4" spans="1:22" x14ac:dyDescent="0.25">
      <c r="A4" s="6" t="s">
        <v>115</v>
      </c>
      <c r="B4" s="7"/>
      <c r="C4" s="6"/>
      <c r="D4" s="6" t="s">
        <v>176</v>
      </c>
      <c r="E4" s="7"/>
      <c r="F4" s="67"/>
      <c r="G4" s="34" t="str">
        <f>IFERROR(IF(VLOOKUP(TableHandbook[[#This Row],[UDC]],TableAvailabilities,2,FALSE)&gt;0,"Y",""),"")</f>
        <v/>
      </c>
      <c r="H4" s="85" t="str">
        <f>IFERROR(IF(VLOOKUP(TableHandbook[[#This Row],[UDC]],TableAvailabilities,3,FALSE)&gt;0,"Y",""),"")</f>
        <v/>
      </c>
      <c r="I4" s="86" t="str">
        <f>IFERROR(IF(VLOOKUP(TableHandbook[[#This Row],[UDC]],TableAvailabilities,4,FALSE)&gt;0,"Y",""),"")</f>
        <v/>
      </c>
      <c r="J4" s="35" t="str">
        <f>IFERROR(IF(VLOOKUP(TableHandbook[[#This Row],[UDC]],TableAvailabilities,5,FALSE)&gt;0,"Y",""),"")</f>
        <v/>
      </c>
      <c r="K4" s="12"/>
      <c r="L4" s="88" t="str">
        <f>IFERROR(VLOOKUP(TableHandbook[[#This Row],[UDC]],TableBHINARCH[],7,FALSE),"")</f>
        <v/>
      </c>
      <c r="M4" s="88" t="str">
        <f>IFERROR(VLOOKUP(TableHandbook[[#This Row],[UDC]],TableSPUCANGAD[],7,FALSE),"")</f>
        <v/>
      </c>
      <c r="N4" s="88" t="str">
        <f>IFERROR(VLOOKUP(TableHandbook[[#This Row],[UDC]],TableSPUCCONMS[],7,FALSE),"")</f>
        <v/>
      </c>
      <c r="O4" s="88" t="str">
        <f>IFERROR(VLOOKUP(TableHandbook[[#This Row],[UDC]],TableSPUCDIGDE[],7,FALSE),"")</f>
        <v/>
      </c>
      <c r="P4" s="88" t="str">
        <f>IFERROR(VLOOKUP(TableHandbook[[#This Row],[UDC]],TableSPUCDSGNV[],7,FALSE),"")</f>
        <v/>
      </c>
      <c r="Q4" s="88" t="str">
        <f>IFERROR(VLOOKUP(TableHandbook[[#This Row],[UDC]],TableSPUCGRPDS[],7,FALSE),"")</f>
        <v/>
      </c>
      <c r="R4" s="88" t="str">
        <f>IFERROR(VLOOKUP(TableHandbook[[#This Row],[UDC]],TableSPUCPHOTO[],7,FALSE),"")</f>
        <v/>
      </c>
      <c r="S4" s="88" t="str">
        <f>IFERROR(VLOOKUP(TableHandbook[[#This Row],[UDC]],TableSPUCPRINP[],7,FALSE),"")</f>
        <v/>
      </c>
      <c r="T4" s="88" t="str">
        <f>IFERROR(VLOOKUP(TableHandbook[[#This Row],[UDC]],TableSPUCURDES[],7,FALSE),"")</f>
        <v/>
      </c>
      <c r="U4" s="88" t="str">
        <f>IFERROR(VLOOKUP(TableHandbook[[#This Row],[UDC]],TableSPUEARCHT[],7,FALSE),"")</f>
        <v/>
      </c>
      <c r="V4" s="3"/>
    </row>
    <row r="5" spans="1:22" x14ac:dyDescent="0.25">
      <c r="A5" s="6" t="s">
        <v>177</v>
      </c>
      <c r="B5" s="7"/>
      <c r="C5" s="6"/>
      <c r="D5" s="6" t="s">
        <v>178</v>
      </c>
      <c r="E5" s="7"/>
      <c r="F5" s="67"/>
      <c r="G5" s="34" t="str">
        <f>IFERROR(IF(VLOOKUP(TableHandbook[[#This Row],[UDC]],TableAvailabilities,2,FALSE)&gt;0,"Y",""),"")</f>
        <v/>
      </c>
      <c r="H5" s="85" t="str">
        <f>IFERROR(IF(VLOOKUP(TableHandbook[[#This Row],[UDC]],TableAvailabilities,3,FALSE)&gt;0,"Y",""),"")</f>
        <v/>
      </c>
      <c r="I5" s="86" t="str">
        <f>IFERROR(IF(VLOOKUP(TableHandbook[[#This Row],[UDC]],TableAvailabilities,4,FALSE)&gt;0,"Y",""),"")</f>
        <v/>
      </c>
      <c r="J5" s="35" t="str">
        <f>IFERROR(IF(VLOOKUP(TableHandbook[[#This Row],[UDC]],TableAvailabilities,5,FALSE)&gt;0,"Y",""),"")</f>
        <v/>
      </c>
      <c r="K5" s="12"/>
      <c r="L5" s="88" t="str">
        <f>IFERROR(VLOOKUP(TableHandbook[[#This Row],[UDC]],TableBHINARCH[],7,FALSE),"")</f>
        <v/>
      </c>
      <c r="M5" s="88" t="str">
        <f>IFERROR(VLOOKUP(TableHandbook[[#This Row],[UDC]],TableSPUCANGAD[],7,FALSE),"")</f>
        <v/>
      </c>
      <c r="N5" s="88" t="str">
        <f>IFERROR(VLOOKUP(TableHandbook[[#This Row],[UDC]],TableSPUCCONMS[],7,FALSE),"")</f>
        <v/>
      </c>
      <c r="O5" s="88" t="str">
        <f>IFERROR(VLOOKUP(TableHandbook[[#This Row],[UDC]],TableSPUCDIGDE[],7,FALSE),"")</f>
        <v/>
      </c>
      <c r="P5" s="88" t="str">
        <f>IFERROR(VLOOKUP(TableHandbook[[#This Row],[UDC]],TableSPUCDSGNV[],7,FALSE),"")</f>
        <v/>
      </c>
      <c r="Q5" s="88" t="str">
        <f>IFERROR(VLOOKUP(TableHandbook[[#This Row],[UDC]],TableSPUCGRPDS[],7,FALSE),"")</f>
        <v/>
      </c>
      <c r="R5" s="88" t="str">
        <f>IFERROR(VLOOKUP(TableHandbook[[#This Row],[UDC]],TableSPUCPHOTO[],7,FALSE),"")</f>
        <v/>
      </c>
      <c r="S5" s="88" t="str">
        <f>IFERROR(VLOOKUP(TableHandbook[[#This Row],[UDC]],TableSPUCPRINP[],7,FALSE),"")</f>
        <v/>
      </c>
      <c r="T5" s="88" t="str">
        <f>IFERROR(VLOOKUP(TableHandbook[[#This Row],[UDC]],TableSPUCURDES[],7,FALSE),"")</f>
        <v/>
      </c>
      <c r="U5" s="88" t="str">
        <f>IFERROR(VLOOKUP(TableHandbook[[#This Row],[UDC]],TableSPUEARCHT[],7,FALSE),"")</f>
        <v/>
      </c>
    </row>
    <row r="6" spans="1:22" x14ac:dyDescent="0.25">
      <c r="A6" s="6" t="s">
        <v>157</v>
      </c>
      <c r="B6" s="7">
        <v>0</v>
      </c>
      <c r="C6" s="6"/>
      <c r="D6" s="6" t="s">
        <v>179</v>
      </c>
      <c r="E6" s="7">
        <v>25</v>
      </c>
      <c r="F6" s="67"/>
      <c r="G6" s="47" t="str">
        <f>IFERROR(IF(VLOOKUP(TableHandbook[[#This Row],[UDC]],TableAvailabilities,2,FALSE)&gt;0,"Y",""),"")</f>
        <v/>
      </c>
      <c r="H6" s="48" t="str">
        <f>IFERROR(IF(VLOOKUP(TableHandbook[[#This Row],[UDC]],TableAvailabilities,3,FALSE)&gt;0,"Y",""),"")</f>
        <v/>
      </c>
      <c r="I6" s="49" t="str">
        <f>IFERROR(IF(VLOOKUP(TableHandbook[[#This Row],[UDC]],TableAvailabilities,4,FALSE)&gt;0,"Y",""),"")</f>
        <v/>
      </c>
      <c r="J6" s="50" t="str">
        <f>IFERROR(IF(VLOOKUP(TableHandbook[[#This Row],[UDC]],TableAvailabilities,5,FALSE)&gt;0,"Y",""),"")</f>
        <v/>
      </c>
      <c r="K6" s="12"/>
      <c r="L6" s="88" t="str">
        <f>IFERROR(VLOOKUP(TableHandbook[[#This Row],[UDC]],TableBHINARCH[],7,FALSE),"")</f>
        <v/>
      </c>
      <c r="M6" s="88" t="str">
        <f>IFERROR(VLOOKUP(TableHandbook[[#This Row],[UDC]],TableSPUCANGAD[],7,FALSE),"")</f>
        <v>AltCore</v>
      </c>
      <c r="N6" s="88" t="str">
        <f>IFERROR(VLOOKUP(TableHandbook[[#This Row],[UDC]],TableSPUCCONMS[],7,FALSE),"")</f>
        <v/>
      </c>
      <c r="O6" s="88" t="str">
        <f>IFERROR(VLOOKUP(TableHandbook[[#This Row],[UDC]],TableSPUCDIGDE[],7,FALSE),"")</f>
        <v/>
      </c>
      <c r="P6" s="88" t="str">
        <f>IFERROR(VLOOKUP(TableHandbook[[#This Row],[UDC]],TableSPUCDSGNV[],7,FALSE),"")</f>
        <v/>
      </c>
      <c r="Q6" s="88" t="str">
        <f>IFERROR(VLOOKUP(TableHandbook[[#This Row],[UDC]],TableSPUCGRPDS[],7,FALSE),"")</f>
        <v/>
      </c>
      <c r="R6" s="88" t="str">
        <f>IFERROR(VLOOKUP(TableHandbook[[#This Row],[UDC]],TableSPUCPHOTO[],7,FALSE),"")</f>
        <v/>
      </c>
      <c r="S6" s="88" t="str">
        <f>IFERROR(VLOOKUP(TableHandbook[[#This Row],[UDC]],TableSPUCPRINP[],7,FALSE),"")</f>
        <v/>
      </c>
      <c r="T6" s="88" t="str">
        <f>IFERROR(VLOOKUP(TableHandbook[[#This Row],[UDC]],TableSPUCURDES[],7,FALSE),"")</f>
        <v/>
      </c>
      <c r="U6" s="88" t="str">
        <f>IFERROR(VLOOKUP(TableHandbook[[#This Row],[UDC]],TableSPUEARCHT[],7,FALSE),"")</f>
        <v/>
      </c>
    </row>
    <row r="7" spans="1:22" x14ac:dyDescent="0.25">
      <c r="A7" s="6" t="s">
        <v>159</v>
      </c>
      <c r="B7" s="7">
        <v>0</v>
      </c>
      <c r="C7" s="6"/>
      <c r="D7" s="6" t="s">
        <v>180</v>
      </c>
      <c r="E7" s="7">
        <v>25</v>
      </c>
      <c r="F7" s="67"/>
      <c r="G7" s="47" t="str">
        <f>IFERROR(IF(VLOOKUP(TableHandbook[[#This Row],[UDC]],TableAvailabilities,2,FALSE)&gt;0,"Y",""),"")</f>
        <v/>
      </c>
      <c r="H7" s="48" t="str">
        <f>IFERROR(IF(VLOOKUP(TableHandbook[[#This Row],[UDC]],TableAvailabilities,3,FALSE)&gt;0,"Y",""),"")</f>
        <v/>
      </c>
      <c r="I7" s="49" t="str">
        <f>IFERROR(IF(VLOOKUP(TableHandbook[[#This Row],[UDC]],TableAvailabilities,4,FALSE)&gt;0,"Y",""),"")</f>
        <v/>
      </c>
      <c r="J7" s="50" t="str">
        <f>IFERROR(IF(VLOOKUP(TableHandbook[[#This Row],[UDC]],TableAvailabilities,5,FALSE)&gt;0,"Y",""),"")</f>
        <v/>
      </c>
      <c r="K7" s="12"/>
      <c r="L7" s="88" t="str">
        <f>IFERROR(VLOOKUP(TableHandbook[[#This Row],[UDC]],TableBHINARCH[],7,FALSE),"")</f>
        <v/>
      </c>
      <c r="M7" s="88" t="str">
        <f>IFERROR(VLOOKUP(TableHandbook[[#This Row],[UDC]],TableSPUCANGAD[],7,FALSE),"")</f>
        <v/>
      </c>
      <c r="N7" s="88" t="str">
        <f>IFERROR(VLOOKUP(TableHandbook[[#This Row],[UDC]],TableSPUCCONMS[],7,FALSE),"")</f>
        <v/>
      </c>
      <c r="O7" s="88" t="str">
        <f>IFERROR(VLOOKUP(TableHandbook[[#This Row],[UDC]],TableSPUCDIGDE[],7,FALSE),"")</f>
        <v/>
      </c>
      <c r="P7" s="88" t="str">
        <f>IFERROR(VLOOKUP(TableHandbook[[#This Row],[UDC]],TableSPUCDSGNV[],7,FALSE),"")</f>
        <v/>
      </c>
      <c r="Q7" s="88" t="str">
        <f>IFERROR(VLOOKUP(TableHandbook[[#This Row],[UDC]],TableSPUCGRPDS[],7,FALSE),"")</f>
        <v>Core</v>
      </c>
      <c r="R7" s="88" t="str">
        <f>IFERROR(VLOOKUP(TableHandbook[[#This Row],[UDC]],TableSPUCPHOTO[],7,FALSE),"")</f>
        <v/>
      </c>
      <c r="S7" s="88" t="str">
        <f>IFERROR(VLOOKUP(TableHandbook[[#This Row],[UDC]],TableSPUCPRINP[],7,FALSE),"")</f>
        <v/>
      </c>
      <c r="T7" s="88" t="str">
        <f>IFERROR(VLOOKUP(TableHandbook[[#This Row],[UDC]],TableSPUCURDES[],7,FALSE),"")</f>
        <v/>
      </c>
      <c r="U7" s="88" t="str">
        <f>IFERROR(VLOOKUP(TableHandbook[[#This Row],[UDC]],TableSPUEARCHT[],7,FALSE),"")</f>
        <v/>
      </c>
    </row>
    <row r="8" spans="1:22" x14ac:dyDescent="0.25">
      <c r="A8" s="6" t="s">
        <v>122</v>
      </c>
      <c r="B8" s="7">
        <v>2</v>
      </c>
      <c r="C8" s="6"/>
      <c r="D8" s="6" t="s">
        <v>181</v>
      </c>
      <c r="E8" s="7">
        <v>25</v>
      </c>
      <c r="F8" s="67" t="s">
        <v>182</v>
      </c>
      <c r="G8" s="47" t="str">
        <f>IFERROR(IF(VLOOKUP(TableHandbook[[#This Row],[UDC]],TableAvailabilities,2,FALSE)&gt;0,"Y",""),"")</f>
        <v>Y</v>
      </c>
      <c r="H8" s="48" t="str">
        <f>IFERROR(IF(VLOOKUP(TableHandbook[[#This Row],[UDC]],TableAvailabilities,3,FALSE)&gt;0,"Y",""),"")</f>
        <v/>
      </c>
      <c r="I8" s="49" t="str">
        <f>IFERROR(IF(VLOOKUP(TableHandbook[[#This Row],[UDC]],TableAvailabilities,4,FALSE)&gt;0,"Y",""),"")</f>
        <v/>
      </c>
      <c r="J8" s="50" t="str">
        <f>IFERROR(IF(VLOOKUP(TableHandbook[[#This Row],[UDC]],TableAvailabilities,5,FALSE)&gt;0,"Y",""),"")</f>
        <v/>
      </c>
      <c r="K8" s="12"/>
      <c r="L8" s="88" t="str">
        <f>IFERROR(VLOOKUP(TableHandbook[[#This Row],[UDC]],TableBHINARCH[],7,FALSE),"")</f>
        <v/>
      </c>
      <c r="M8" s="88" t="str">
        <f>IFERROR(VLOOKUP(TableHandbook[[#This Row],[UDC]],TableSPUCANGAD[],7,FALSE),"")</f>
        <v/>
      </c>
      <c r="N8" s="88" t="str">
        <f>IFERROR(VLOOKUP(TableHandbook[[#This Row],[UDC]],TableSPUCCONMS[],7,FALSE),"")</f>
        <v/>
      </c>
      <c r="O8" s="88" t="str">
        <f>IFERROR(VLOOKUP(TableHandbook[[#This Row],[UDC]],TableSPUCDIGDE[],7,FALSE),"")</f>
        <v/>
      </c>
      <c r="P8" s="88" t="str">
        <f>IFERROR(VLOOKUP(TableHandbook[[#This Row],[UDC]],TableSPUCDSGNV[],7,FALSE),"")</f>
        <v/>
      </c>
      <c r="Q8" s="88" t="str">
        <f>IFERROR(VLOOKUP(TableHandbook[[#This Row],[UDC]],TableSPUCGRPDS[],7,FALSE),"")</f>
        <v/>
      </c>
      <c r="R8" s="88" t="str">
        <f>IFERROR(VLOOKUP(TableHandbook[[#This Row],[UDC]],TableSPUCPHOTO[],7,FALSE),"")</f>
        <v/>
      </c>
      <c r="S8" s="88" t="str">
        <f>IFERROR(VLOOKUP(TableHandbook[[#This Row],[UDC]],TableSPUCPRINP[],7,FALSE),"")</f>
        <v/>
      </c>
      <c r="T8" s="88" t="str">
        <f>IFERROR(VLOOKUP(TableHandbook[[#This Row],[UDC]],TableSPUCURDES[],7,FALSE),"")</f>
        <v/>
      </c>
      <c r="U8" s="88" t="str">
        <f>IFERROR(VLOOKUP(TableHandbook[[#This Row],[UDC]],TableSPUEARCHT[],7,FALSE),"")</f>
        <v>Core</v>
      </c>
    </row>
    <row r="9" spans="1:22" x14ac:dyDescent="0.25">
      <c r="A9" s="6" t="s">
        <v>54</v>
      </c>
      <c r="B9" s="7">
        <v>3</v>
      </c>
      <c r="C9" s="6"/>
      <c r="D9" s="6" t="s">
        <v>183</v>
      </c>
      <c r="E9" s="7">
        <v>25</v>
      </c>
      <c r="F9" s="67" t="s">
        <v>184</v>
      </c>
      <c r="G9" s="47" t="str">
        <f>IFERROR(IF(VLOOKUP(TableHandbook[[#This Row],[UDC]],TableAvailabilities,2,FALSE)&gt;0,"Y",""),"")</f>
        <v/>
      </c>
      <c r="H9" s="48" t="str">
        <f>IFERROR(IF(VLOOKUP(TableHandbook[[#This Row],[UDC]],TableAvailabilities,3,FALSE)&gt;0,"Y",""),"")</f>
        <v/>
      </c>
      <c r="I9" s="49" t="str">
        <f>IFERROR(IF(VLOOKUP(TableHandbook[[#This Row],[UDC]],TableAvailabilities,4,FALSE)&gt;0,"Y",""),"")</f>
        <v>Y</v>
      </c>
      <c r="J9" s="50" t="str">
        <f>IFERROR(IF(VLOOKUP(TableHandbook[[#This Row],[UDC]],TableAvailabilities,5,FALSE)&gt;0,"Y",""),"")</f>
        <v/>
      </c>
      <c r="K9" s="12" t="s">
        <v>185</v>
      </c>
      <c r="L9" s="88" t="str">
        <f>IFERROR(VLOOKUP(TableHandbook[[#This Row],[UDC]],TableBHINARCH[],7,FALSE),"")</f>
        <v>Core</v>
      </c>
      <c r="M9" s="88" t="str">
        <f>IFERROR(VLOOKUP(TableHandbook[[#This Row],[UDC]],TableSPUCANGAD[],7,FALSE),"")</f>
        <v/>
      </c>
      <c r="N9" s="88" t="str">
        <f>IFERROR(VLOOKUP(TableHandbook[[#This Row],[UDC]],TableSPUCCONMS[],7,FALSE),"")</f>
        <v/>
      </c>
      <c r="O9" s="88" t="str">
        <f>IFERROR(VLOOKUP(TableHandbook[[#This Row],[UDC]],TableSPUCDIGDE[],7,FALSE),"")</f>
        <v/>
      </c>
      <c r="P9" s="88" t="str">
        <f>IFERROR(VLOOKUP(TableHandbook[[#This Row],[UDC]],TableSPUCDSGNV[],7,FALSE),"")</f>
        <v/>
      </c>
      <c r="Q9" s="88" t="str">
        <f>IFERROR(VLOOKUP(TableHandbook[[#This Row],[UDC]],TableSPUCGRPDS[],7,FALSE),"")</f>
        <v/>
      </c>
      <c r="R9" s="88" t="str">
        <f>IFERROR(VLOOKUP(TableHandbook[[#This Row],[UDC]],TableSPUCPHOTO[],7,FALSE),"")</f>
        <v/>
      </c>
      <c r="S9" s="88" t="str">
        <f>IFERROR(VLOOKUP(TableHandbook[[#This Row],[UDC]],TableSPUCPRINP[],7,FALSE),"")</f>
        <v/>
      </c>
      <c r="T9" s="88" t="str">
        <f>IFERROR(VLOOKUP(TableHandbook[[#This Row],[UDC]],TableSPUCURDES[],7,FALSE),"")</f>
        <v/>
      </c>
      <c r="U9" s="88" t="str">
        <f>IFERROR(VLOOKUP(TableHandbook[[#This Row],[UDC]],TableSPUEARCHT[],7,FALSE),"")</f>
        <v/>
      </c>
    </row>
    <row r="10" spans="1:22" x14ac:dyDescent="0.25">
      <c r="A10" s="6" t="s">
        <v>47</v>
      </c>
      <c r="B10" s="7">
        <v>3</v>
      </c>
      <c r="C10" s="6"/>
      <c r="D10" s="6" t="s">
        <v>186</v>
      </c>
      <c r="E10" s="7">
        <v>25</v>
      </c>
      <c r="F10" s="67" t="s">
        <v>182</v>
      </c>
      <c r="G10" s="47" t="str">
        <f>IFERROR(IF(VLOOKUP(TableHandbook[[#This Row],[UDC]],TableAvailabilities,2,FALSE)&gt;0,"Y",""),"")</f>
        <v/>
      </c>
      <c r="H10" s="48" t="str">
        <f>IFERROR(IF(VLOOKUP(TableHandbook[[#This Row],[UDC]],TableAvailabilities,3,FALSE)&gt;0,"Y",""),"")</f>
        <v/>
      </c>
      <c r="I10" s="49" t="str">
        <f>IFERROR(IF(VLOOKUP(TableHandbook[[#This Row],[UDC]],TableAvailabilities,4,FALSE)&gt;0,"Y",""),"")</f>
        <v>Y</v>
      </c>
      <c r="J10" s="50" t="str">
        <f>IFERROR(IF(VLOOKUP(TableHandbook[[#This Row],[UDC]],TableAvailabilities,5,FALSE)&gt;0,"Y",""),"")</f>
        <v/>
      </c>
      <c r="K10" s="12"/>
      <c r="L10" s="88" t="str">
        <f>IFERROR(VLOOKUP(TableHandbook[[#This Row],[UDC]],TableBHINARCH[],7,FALSE),"")</f>
        <v>Core</v>
      </c>
      <c r="M10" s="88" t="str">
        <f>IFERROR(VLOOKUP(TableHandbook[[#This Row],[UDC]],TableSPUCANGAD[],7,FALSE),"")</f>
        <v/>
      </c>
      <c r="N10" s="88" t="str">
        <f>IFERROR(VLOOKUP(TableHandbook[[#This Row],[UDC]],TableSPUCCONMS[],7,FALSE),"")</f>
        <v/>
      </c>
      <c r="O10" s="88" t="str">
        <f>IFERROR(VLOOKUP(TableHandbook[[#This Row],[UDC]],TableSPUCDIGDE[],7,FALSE),"")</f>
        <v/>
      </c>
      <c r="P10" s="88" t="str">
        <f>IFERROR(VLOOKUP(TableHandbook[[#This Row],[UDC]],TableSPUCDSGNV[],7,FALSE),"")</f>
        <v/>
      </c>
      <c r="Q10" s="88" t="str">
        <f>IFERROR(VLOOKUP(TableHandbook[[#This Row],[UDC]],TableSPUCGRPDS[],7,FALSE),"")</f>
        <v/>
      </c>
      <c r="R10" s="88" t="str">
        <f>IFERROR(VLOOKUP(TableHandbook[[#This Row],[UDC]],TableSPUCPHOTO[],7,FALSE),"")</f>
        <v/>
      </c>
      <c r="S10" s="88" t="str">
        <f>IFERROR(VLOOKUP(TableHandbook[[#This Row],[UDC]],TableSPUCPRINP[],7,FALSE),"")</f>
        <v/>
      </c>
      <c r="T10" s="88" t="str">
        <f>IFERROR(VLOOKUP(TableHandbook[[#This Row],[UDC]],TableSPUCURDES[],7,FALSE),"")</f>
        <v/>
      </c>
      <c r="U10" s="88" t="str">
        <f>IFERROR(VLOOKUP(TableHandbook[[#This Row],[UDC]],TableSPUEARCHT[],7,FALSE),"")</f>
        <v/>
      </c>
    </row>
    <row r="11" spans="1:22" x14ac:dyDescent="0.25">
      <c r="A11" s="6" t="s">
        <v>53</v>
      </c>
      <c r="B11" s="7">
        <v>3</v>
      </c>
      <c r="C11" s="6"/>
      <c r="D11" s="6" t="s">
        <v>187</v>
      </c>
      <c r="E11" s="7">
        <v>25</v>
      </c>
      <c r="F11" s="67" t="s">
        <v>182</v>
      </c>
      <c r="G11" s="47" t="str">
        <f>IFERROR(IF(VLOOKUP(TableHandbook[[#This Row],[UDC]],TableAvailabilities,2,FALSE)&gt;0,"Y",""),"")</f>
        <v>Y</v>
      </c>
      <c r="H11" s="48" t="str">
        <f>IFERROR(IF(VLOOKUP(TableHandbook[[#This Row],[UDC]],TableAvailabilities,3,FALSE)&gt;0,"Y",""),"")</f>
        <v/>
      </c>
      <c r="I11" s="49" t="str">
        <f>IFERROR(IF(VLOOKUP(TableHandbook[[#This Row],[UDC]],TableAvailabilities,4,FALSE)&gt;0,"Y",""),"")</f>
        <v/>
      </c>
      <c r="J11" s="50" t="str">
        <f>IFERROR(IF(VLOOKUP(TableHandbook[[#This Row],[UDC]],TableAvailabilities,5,FALSE)&gt;0,"Y",""),"")</f>
        <v/>
      </c>
      <c r="K11" s="12"/>
      <c r="L11" s="88" t="str">
        <f>IFERROR(VLOOKUP(TableHandbook[[#This Row],[UDC]],TableBHINARCH[],7,FALSE),"")</f>
        <v>Core</v>
      </c>
      <c r="M11" s="88" t="str">
        <f>IFERROR(VLOOKUP(TableHandbook[[#This Row],[UDC]],TableSPUCANGAD[],7,FALSE),"")</f>
        <v/>
      </c>
      <c r="N11" s="88" t="str">
        <f>IFERROR(VLOOKUP(TableHandbook[[#This Row],[UDC]],TableSPUCCONMS[],7,FALSE),"")</f>
        <v/>
      </c>
      <c r="O11" s="88" t="str">
        <f>IFERROR(VLOOKUP(TableHandbook[[#This Row],[UDC]],TableSPUCDIGDE[],7,FALSE),"")</f>
        <v/>
      </c>
      <c r="P11" s="88" t="str">
        <f>IFERROR(VLOOKUP(TableHandbook[[#This Row],[UDC]],TableSPUCDSGNV[],7,FALSE),"")</f>
        <v/>
      </c>
      <c r="Q11" s="88" t="str">
        <f>IFERROR(VLOOKUP(TableHandbook[[#This Row],[UDC]],TableSPUCGRPDS[],7,FALSE),"")</f>
        <v/>
      </c>
      <c r="R11" s="88" t="str">
        <f>IFERROR(VLOOKUP(TableHandbook[[#This Row],[UDC]],TableSPUCPHOTO[],7,FALSE),"")</f>
        <v/>
      </c>
      <c r="S11" s="88" t="str">
        <f>IFERROR(VLOOKUP(TableHandbook[[#This Row],[UDC]],TableSPUCPRINP[],7,FALSE),"")</f>
        <v/>
      </c>
      <c r="T11" s="88" t="str">
        <f>IFERROR(VLOOKUP(TableHandbook[[#This Row],[UDC]],TableSPUCURDES[],7,FALSE),"")</f>
        <v/>
      </c>
      <c r="U11" s="88" t="str">
        <f>IFERROR(VLOOKUP(TableHandbook[[#This Row],[UDC]],TableSPUEARCHT[],7,FALSE),"")</f>
        <v/>
      </c>
    </row>
    <row r="12" spans="1:22" x14ac:dyDescent="0.25">
      <c r="A12" s="6" t="s">
        <v>132</v>
      </c>
      <c r="B12" s="7">
        <v>2</v>
      </c>
      <c r="C12" s="6"/>
      <c r="D12" s="6" t="s">
        <v>188</v>
      </c>
      <c r="E12" s="7">
        <v>25</v>
      </c>
      <c r="F12" s="67" t="s">
        <v>182</v>
      </c>
      <c r="G12" s="47" t="str">
        <f>IFERROR(IF(VLOOKUP(TableHandbook[[#This Row],[UDC]],TableAvailabilities,2,FALSE)&gt;0,"Y",""),"")</f>
        <v/>
      </c>
      <c r="H12" s="48" t="str">
        <f>IFERROR(IF(VLOOKUP(TableHandbook[[#This Row],[UDC]],TableAvailabilities,3,FALSE)&gt;0,"Y",""),"")</f>
        <v/>
      </c>
      <c r="I12" s="49" t="str">
        <f>IFERROR(IF(VLOOKUP(TableHandbook[[#This Row],[UDC]],TableAvailabilities,4,FALSE)&gt;0,"Y",""),"")</f>
        <v>Y</v>
      </c>
      <c r="J12" s="50" t="str">
        <f>IFERROR(IF(VLOOKUP(TableHandbook[[#This Row],[UDC]],TableAvailabilities,5,FALSE)&gt;0,"Y",""),"")</f>
        <v/>
      </c>
      <c r="K12" s="12"/>
      <c r="L12" s="88" t="str">
        <f>IFERROR(VLOOKUP(TableHandbook[[#This Row],[UDC]],TableBHINARCH[],7,FALSE),"")</f>
        <v/>
      </c>
      <c r="M12" s="88" t="str">
        <f>IFERROR(VLOOKUP(TableHandbook[[#This Row],[UDC]],TableSPUCANGAD[],7,FALSE),"")</f>
        <v/>
      </c>
      <c r="N12" s="88" t="str">
        <f>IFERROR(VLOOKUP(TableHandbook[[#This Row],[UDC]],TableSPUCCONMS[],7,FALSE),"")</f>
        <v/>
      </c>
      <c r="O12" s="88" t="str">
        <f>IFERROR(VLOOKUP(TableHandbook[[#This Row],[UDC]],TableSPUCDIGDE[],7,FALSE),"")</f>
        <v/>
      </c>
      <c r="P12" s="88" t="str">
        <f>IFERROR(VLOOKUP(TableHandbook[[#This Row],[UDC]],TableSPUCDSGNV[],7,FALSE),"")</f>
        <v/>
      </c>
      <c r="Q12" s="88" t="str">
        <f>IFERROR(VLOOKUP(TableHandbook[[#This Row],[UDC]],TableSPUCGRPDS[],7,FALSE),"")</f>
        <v/>
      </c>
      <c r="R12" s="88" t="str">
        <f>IFERROR(VLOOKUP(TableHandbook[[#This Row],[UDC]],TableSPUCPHOTO[],7,FALSE),"")</f>
        <v/>
      </c>
      <c r="S12" s="88" t="str">
        <f>IFERROR(VLOOKUP(TableHandbook[[#This Row],[UDC]],TableSPUCPRINP[],7,FALSE),"")</f>
        <v/>
      </c>
      <c r="T12" s="88" t="str">
        <f>IFERROR(VLOOKUP(TableHandbook[[#This Row],[UDC]],TableSPUCURDES[],7,FALSE),"")</f>
        <v/>
      </c>
      <c r="U12" s="88" t="str">
        <f>IFERROR(VLOOKUP(TableHandbook[[#This Row],[UDC]],TableSPUEARCHT[],7,FALSE),"")</f>
        <v>Core</v>
      </c>
    </row>
    <row r="13" spans="1:22" x14ac:dyDescent="0.25">
      <c r="A13" s="6" t="s">
        <v>70</v>
      </c>
      <c r="B13" s="7">
        <v>3</v>
      </c>
      <c r="C13" s="6"/>
      <c r="D13" s="6" t="s">
        <v>189</v>
      </c>
      <c r="E13" s="7">
        <v>25</v>
      </c>
      <c r="F13" s="67" t="s">
        <v>190</v>
      </c>
      <c r="G13" s="47" t="str">
        <f>IFERROR(IF(VLOOKUP(TableHandbook[[#This Row],[UDC]],TableAvailabilities,2,FALSE)&gt;0,"Y",""),"")</f>
        <v/>
      </c>
      <c r="H13" s="48" t="str">
        <f>IFERROR(IF(VLOOKUP(TableHandbook[[#This Row],[UDC]],TableAvailabilities,3,FALSE)&gt;0,"Y",""),"")</f>
        <v/>
      </c>
      <c r="I13" s="49" t="str">
        <f>IFERROR(IF(VLOOKUP(TableHandbook[[#This Row],[UDC]],TableAvailabilities,4,FALSE)&gt;0,"Y",""),"")</f>
        <v>Y</v>
      </c>
      <c r="J13" s="50" t="str">
        <f>IFERROR(IF(VLOOKUP(TableHandbook[[#This Row],[UDC]],TableAvailabilities,5,FALSE)&gt;0,"Y",""),"")</f>
        <v/>
      </c>
      <c r="K13" s="12"/>
      <c r="L13" s="88" t="str">
        <f>IFERROR(VLOOKUP(TableHandbook[[#This Row],[UDC]],TableBHINARCH[],7,FALSE),"")</f>
        <v>Core</v>
      </c>
      <c r="M13" s="88" t="str">
        <f>IFERROR(VLOOKUP(TableHandbook[[#This Row],[UDC]],TableSPUCANGAD[],7,FALSE),"")</f>
        <v/>
      </c>
      <c r="N13" s="88" t="str">
        <f>IFERROR(VLOOKUP(TableHandbook[[#This Row],[UDC]],TableSPUCCONMS[],7,FALSE),"")</f>
        <v/>
      </c>
      <c r="O13" s="88" t="str">
        <f>IFERROR(VLOOKUP(TableHandbook[[#This Row],[UDC]],TableSPUCDIGDE[],7,FALSE),"")</f>
        <v/>
      </c>
      <c r="P13" s="88" t="str">
        <f>IFERROR(VLOOKUP(TableHandbook[[#This Row],[UDC]],TableSPUCDSGNV[],7,FALSE),"")</f>
        <v/>
      </c>
      <c r="Q13" s="88" t="str">
        <f>IFERROR(VLOOKUP(TableHandbook[[#This Row],[UDC]],TableSPUCGRPDS[],7,FALSE),"")</f>
        <v/>
      </c>
      <c r="R13" s="88" t="str">
        <f>IFERROR(VLOOKUP(TableHandbook[[#This Row],[UDC]],TableSPUCPHOTO[],7,FALSE),"")</f>
        <v/>
      </c>
      <c r="S13" s="88" t="str">
        <f>IFERROR(VLOOKUP(TableHandbook[[#This Row],[UDC]],TableSPUCPRINP[],7,FALSE),"")</f>
        <v/>
      </c>
      <c r="T13" s="88" t="str">
        <f>IFERROR(VLOOKUP(TableHandbook[[#This Row],[UDC]],TableSPUCURDES[],7,FALSE),"")</f>
        <v/>
      </c>
      <c r="U13" s="88" t="str">
        <f>IFERROR(VLOOKUP(TableHandbook[[#This Row],[UDC]],TableSPUEARCHT[],7,FALSE),"")</f>
        <v>Option</v>
      </c>
    </row>
    <row r="14" spans="1:22" ht="26.25" x14ac:dyDescent="0.25">
      <c r="A14" s="6" t="s">
        <v>71</v>
      </c>
      <c r="B14" s="7">
        <v>3</v>
      </c>
      <c r="C14" s="6"/>
      <c r="D14" s="6" t="s">
        <v>191</v>
      </c>
      <c r="E14" s="7">
        <v>25</v>
      </c>
      <c r="F14" s="67" t="s">
        <v>192</v>
      </c>
      <c r="G14" s="47" t="str">
        <f>IFERROR(IF(VLOOKUP(TableHandbook[[#This Row],[UDC]],TableAvailabilities,2,FALSE)&gt;0,"Y",""),"")</f>
        <v>Y</v>
      </c>
      <c r="H14" s="48" t="str">
        <f>IFERROR(IF(VLOOKUP(TableHandbook[[#This Row],[UDC]],TableAvailabilities,3,FALSE)&gt;0,"Y",""),"")</f>
        <v/>
      </c>
      <c r="I14" s="49" t="str">
        <f>IFERROR(IF(VLOOKUP(TableHandbook[[#This Row],[UDC]],TableAvailabilities,4,FALSE)&gt;0,"Y",""),"")</f>
        <v/>
      </c>
      <c r="J14" s="50" t="str">
        <f>IFERROR(IF(VLOOKUP(TableHandbook[[#This Row],[UDC]],TableAvailabilities,5,FALSE)&gt;0,"Y",""),"")</f>
        <v/>
      </c>
      <c r="K14" s="12"/>
      <c r="L14" s="88" t="str">
        <f>IFERROR(VLOOKUP(TableHandbook[[#This Row],[UDC]],TableBHINARCH[],7,FALSE),"")</f>
        <v>Core</v>
      </c>
      <c r="M14" s="88" t="str">
        <f>IFERROR(VLOOKUP(TableHandbook[[#This Row],[UDC]],TableSPUCANGAD[],7,FALSE),"")</f>
        <v/>
      </c>
      <c r="N14" s="88" t="str">
        <f>IFERROR(VLOOKUP(TableHandbook[[#This Row],[UDC]],TableSPUCCONMS[],7,FALSE),"")</f>
        <v/>
      </c>
      <c r="O14" s="88" t="str">
        <f>IFERROR(VLOOKUP(TableHandbook[[#This Row],[UDC]],TableSPUCDIGDE[],7,FALSE),"")</f>
        <v/>
      </c>
      <c r="P14" s="88" t="str">
        <f>IFERROR(VLOOKUP(TableHandbook[[#This Row],[UDC]],TableSPUCDSGNV[],7,FALSE),"")</f>
        <v/>
      </c>
      <c r="Q14" s="88" t="str">
        <f>IFERROR(VLOOKUP(TableHandbook[[#This Row],[UDC]],TableSPUCGRPDS[],7,FALSE),"")</f>
        <v/>
      </c>
      <c r="R14" s="88" t="str">
        <f>IFERROR(VLOOKUP(TableHandbook[[#This Row],[UDC]],TableSPUCPHOTO[],7,FALSE),"")</f>
        <v/>
      </c>
      <c r="S14" s="88" t="str">
        <f>IFERROR(VLOOKUP(TableHandbook[[#This Row],[UDC]],TableSPUCPRINP[],7,FALSE),"")</f>
        <v/>
      </c>
      <c r="T14" s="88" t="str">
        <f>IFERROR(VLOOKUP(TableHandbook[[#This Row],[UDC]],TableSPUCURDES[],7,FALSE),"")</f>
        <v/>
      </c>
      <c r="U14" s="88" t="str">
        <f>IFERROR(VLOOKUP(TableHandbook[[#This Row],[UDC]],TableSPUEARCHT[],7,FALSE),"")</f>
        <v/>
      </c>
    </row>
    <row r="15" spans="1:22" x14ac:dyDescent="0.25">
      <c r="A15" s="6" t="s">
        <v>142</v>
      </c>
      <c r="B15" s="7">
        <v>3</v>
      </c>
      <c r="C15" s="6"/>
      <c r="D15" s="6" t="s">
        <v>193</v>
      </c>
      <c r="E15" s="7">
        <v>25</v>
      </c>
      <c r="F15" s="67" t="s">
        <v>190</v>
      </c>
      <c r="G15" s="47" t="str">
        <f>IFERROR(IF(VLOOKUP(TableHandbook[[#This Row],[UDC]],TableAvailabilities,2,FALSE)&gt;0,"Y",""),"")</f>
        <v>Y</v>
      </c>
      <c r="H15" s="48" t="str">
        <f>IFERROR(IF(VLOOKUP(TableHandbook[[#This Row],[UDC]],TableAvailabilities,3,FALSE)&gt;0,"Y",""),"")</f>
        <v/>
      </c>
      <c r="I15" s="49" t="str">
        <f>IFERROR(IF(VLOOKUP(TableHandbook[[#This Row],[UDC]],TableAvailabilities,4,FALSE)&gt;0,"Y",""),"")</f>
        <v/>
      </c>
      <c r="J15" s="50" t="str">
        <f>IFERROR(IF(VLOOKUP(TableHandbook[[#This Row],[UDC]],TableAvailabilities,5,FALSE)&gt;0,"Y",""),"")</f>
        <v/>
      </c>
      <c r="K15" s="12"/>
      <c r="L15" s="88" t="str">
        <f>IFERROR(VLOOKUP(TableHandbook[[#This Row],[UDC]],TableBHINARCH[],7,FALSE),"")</f>
        <v/>
      </c>
      <c r="M15" s="88" t="str">
        <f>IFERROR(VLOOKUP(TableHandbook[[#This Row],[UDC]],TableSPUCANGAD[],7,FALSE),"")</f>
        <v/>
      </c>
      <c r="N15" s="88" t="str">
        <f>IFERROR(VLOOKUP(TableHandbook[[#This Row],[UDC]],TableSPUCCONMS[],7,FALSE),"")</f>
        <v/>
      </c>
      <c r="O15" s="88" t="str">
        <f>IFERROR(VLOOKUP(TableHandbook[[#This Row],[UDC]],TableSPUCDIGDE[],7,FALSE),"")</f>
        <v/>
      </c>
      <c r="P15" s="88" t="str">
        <f>IFERROR(VLOOKUP(TableHandbook[[#This Row],[UDC]],TableSPUCDSGNV[],7,FALSE),"")</f>
        <v/>
      </c>
      <c r="Q15" s="88" t="str">
        <f>IFERROR(VLOOKUP(TableHandbook[[#This Row],[UDC]],TableSPUCGRPDS[],7,FALSE),"")</f>
        <v/>
      </c>
      <c r="R15" s="88" t="str">
        <f>IFERROR(VLOOKUP(TableHandbook[[#This Row],[UDC]],TableSPUCPHOTO[],7,FALSE),"")</f>
        <v/>
      </c>
      <c r="S15" s="88" t="str">
        <f>IFERROR(VLOOKUP(TableHandbook[[#This Row],[UDC]],TableSPUCPRINP[],7,FALSE),"")</f>
        <v/>
      </c>
      <c r="T15" s="88" t="str">
        <f>IFERROR(VLOOKUP(TableHandbook[[#This Row],[UDC]],TableSPUCURDES[],7,FALSE),"")</f>
        <v/>
      </c>
      <c r="U15" s="88" t="str">
        <f>IFERROR(VLOOKUP(TableHandbook[[#This Row],[UDC]],TableSPUEARCHT[],7,FALSE),"")</f>
        <v>Core</v>
      </c>
    </row>
    <row r="16" spans="1:22" x14ac:dyDescent="0.25">
      <c r="A16" s="6" t="s">
        <v>95</v>
      </c>
      <c r="B16" s="7">
        <v>3</v>
      </c>
      <c r="C16" s="6"/>
      <c r="D16" s="6" t="s">
        <v>194</v>
      </c>
      <c r="E16" s="7">
        <v>25</v>
      </c>
      <c r="F16" s="104" t="s">
        <v>195</v>
      </c>
      <c r="G16" s="47" t="str">
        <f>IFERROR(IF(VLOOKUP(TableHandbook[[#This Row],[UDC]],TableAvailabilities,2,FALSE)&gt;0,"Y",""),"")</f>
        <v/>
      </c>
      <c r="H16" s="48" t="str">
        <f>IFERROR(IF(VLOOKUP(TableHandbook[[#This Row],[UDC]],TableAvailabilities,3,FALSE)&gt;0,"Y",""),"")</f>
        <v/>
      </c>
      <c r="I16" s="49" t="str">
        <f>IFERROR(IF(VLOOKUP(TableHandbook[[#This Row],[UDC]],TableAvailabilities,4,FALSE)&gt;0,"Y",""),"")</f>
        <v/>
      </c>
      <c r="J16" s="50" t="str">
        <f>IFERROR(IF(VLOOKUP(TableHandbook[[#This Row],[UDC]],TableAvailabilities,5,FALSE)&gt;0,"Y",""),"")</f>
        <v/>
      </c>
      <c r="K16" s="77"/>
      <c r="L16" s="88" t="str">
        <f>IFERROR(VLOOKUP(TableHandbook[[#This Row],[UDC]],TableBHINARCH[],7,FALSE),"")</f>
        <v>Core</v>
      </c>
      <c r="M16" s="88" t="str">
        <f>IFERROR(VLOOKUP(TableHandbook[[#This Row],[UDC]],TableSPUCANGAD[],7,FALSE),"")</f>
        <v/>
      </c>
      <c r="N16" s="88" t="str">
        <f>IFERROR(VLOOKUP(TableHandbook[[#This Row],[UDC]],TableSPUCCONMS[],7,FALSE),"")</f>
        <v/>
      </c>
      <c r="O16" s="88" t="str">
        <f>IFERROR(VLOOKUP(TableHandbook[[#This Row],[UDC]],TableSPUCDIGDE[],7,FALSE),"")</f>
        <v/>
      </c>
      <c r="P16" s="88" t="str">
        <f>IFERROR(VLOOKUP(TableHandbook[[#This Row],[UDC]],TableSPUCDSGNV[],7,FALSE),"")</f>
        <v/>
      </c>
      <c r="Q16" s="88" t="str">
        <f>IFERROR(VLOOKUP(TableHandbook[[#This Row],[UDC]],TableSPUCGRPDS[],7,FALSE),"")</f>
        <v/>
      </c>
      <c r="R16" s="88" t="str">
        <f>IFERROR(VLOOKUP(TableHandbook[[#This Row],[UDC]],TableSPUCPHOTO[],7,FALSE),"")</f>
        <v/>
      </c>
      <c r="S16" s="88" t="str">
        <f>IFERROR(VLOOKUP(TableHandbook[[#This Row],[UDC]],TableSPUCPRINP[],7,FALSE),"")</f>
        <v/>
      </c>
      <c r="T16" s="88" t="str">
        <f>IFERROR(VLOOKUP(TableHandbook[[#This Row],[UDC]],TableSPUCURDES[],7,FALSE),"")</f>
        <v/>
      </c>
      <c r="U16" s="88" t="str">
        <f>IFERROR(VLOOKUP(TableHandbook[[#This Row],[UDC]],TableSPUEARCHT[],7,FALSE),"")</f>
        <v/>
      </c>
    </row>
    <row r="17" spans="1:21" x14ac:dyDescent="0.25">
      <c r="A17" s="6" t="s">
        <v>152</v>
      </c>
      <c r="B17" s="7">
        <v>1</v>
      </c>
      <c r="C17" s="6"/>
      <c r="D17" s="6" t="s">
        <v>196</v>
      </c>
      <c r="E17" s="7">
        <v>25</v>
      </c>
      <c r="F17" s="67" t="s">
        <v>182</v>
      </c>
      <c r="G17" s="47" t="str">
        <f>IFERROR(IF(VLOOKUP(TableHandbook[[#This Row],[UDC]],TableAvailabilities,2,FALSE)&gt;0,"Y",""),"")</f>
        <v/>
      </c>
      <c r="H17" s="48" t="str">
        <f>IFERROR(IF(VLOOKUP(TableHandbook[[#This Row],[UDC]],TableAvailabilities,3,FALSE)&gt;0,"Y",""),"")</f>
        <v/>
      </c>
      <c r="I17" s="49" t="str">
        <f>IFERROR(IF(VLOOKUP(TableHandbook[[#This Row],[UDC]],TableAvailabilities,4,FALSE)&gt;0,"Y",""),"")</f>
        <v>Y</v>
      </c>
      <c r="J17" s="50" t="str">
        <f>IFERROR(IF(VLOOKUP(TableHandbook[[#This Row],[UDC]],TableAvailabilities,5,FALSE)&gt;0,"Y",""),"")</f>
        <v/>
      </c>
      <c r="K17" s="12"/>
      <c r="L17" s="88" t="str">
        <f>IFERROR(VLOOKUP(TableHandbook[[#This Row],[UDC]],TableBHINARCH[],7,FALSE),"")</f>
        <v/>
      </c>
      <c r="M17" s="88" t="str">
        <f>IFERROR(VLOOKUP(TableHandbook[[#This Row],[UDC]],TableSPUCANGAD[],7,FALSE),"")</f>
        <v/>
      </c>
      <c r="N17" s="88" t="str">
        <f>IFERROR(VLOOKUP(TableHandbook[[#This Row],[UDC]],TableSPUCCONMS[],7,FALSE),"")</f>
        <v>Core</v>
      </c>
      <c r="O17" s="88" t="str">
        <f>IFERROR(VLOOKUP(TableHandbook[[#This Row],[UDC]],TableSPUCDIGDE[],7,FALSE),"")</f>
        <v/>
      </c>
      <c r="P17" s="88" t="str">
        <f>IFERROR(VLOOKUP(TableHandbook[[#This Row],[UDC]],TableSPUCDSGNV[],7,FALSE),"")</f>
        <v/>
      </c>
      <c r="Q17" s="88" t="str">
        <f>IFERROR(VLOOKUP(TableHandbook[[#This Row],[UDC]],TableSPUCGRPDS[],7,FALSE),"")</f>
        <v/>
      </c>
      <c r="R17" s="88" t="str">
        <f>IFERROR(VLOOKUP(TableHandbook[[#This Row],[UDC]],TableSPUCPHOTO[],7,FALSE),"")</f>
        <v/>
      </c>
      <c r="S17" s="88" t="str">
        <f>IFERROR(VLOOKUP(TableHandbook[[#This Row],[UDC]],TableSPUCPRINP[],7,FALSE),"")</f>
        <v/>
      </c>
      <c r="T17" s="88" t="str">
        <f>IFERROR(VLOOKUP(TableHandbook[[#This Row],[UDC]],TableSPUCURDES[],7,FALSE),"")</f>
        <v/>
      </c>
      <c r="U17" s="88" t="str">
        <f>IFERROR(VLOOKUP(TableHandbook[[#This Row],[UDC]],TableSPUEARCHT[],7,FALSE),"")</f>
        <v/>
      </c>
    </row>
    <row r="18" spans="1:21" x14ac:dyDescent="0.25">
      <c r="A18" s="6" t="s">
        <v>123</v>
      </c>
      <c r="B18" s="7">
        <v>2</v>
      </c>
      <c r="C18" s="6"/>
      <c r="D18" s="6" t="s">
        <v>197</v>
      </c>
      <c r="E18" s="7">
        <v>25</v>
      </c>
      <c r="F18" s="67" t="s">
        <v>182</v>
      </c>
      <c r="G18" s="47" t="str">
        <f>IFERROR(IF(VLOOKUP(TableHandbook[[#This Row],[UDC]],TableAvailabilities,2,FALSE)&gt;0,"Y",""),"")</f>
        <v>Y</v>
      </c>
      <c r="H18" s="48" t="str">
        <f>IFERROR(IF(VLOOKUP(TableHandbook[[#This Row],[UDC]],TableAvailabilities,3,FALSE)&gt;0,"Y",""),"")</f>
        <v/>
      </c>
      <c r="I18" s="49" t="str">
        <f>IFERROR(IF(VLOOKUP(TableHandbook[[#This Row],[UDC]],TableAvailabilities,4,FALSE)&gt;0,"Y",""),"")</f>
        <v/>
      </c>
      <c r="J18" s="50" t="str">
        <f>IFERROR(IF(VLOOKUP(TableHandbook[[#This Row],[UDC]],TableAvailabilities,5,FALSE)&gt;0,"Y",""),"")</f>
        <v/>
      </c>
      <c r="K18" s="12"/>
      <c r="L18" s="88" t="str">
        <f>IFERROR(VLOOKUP(TableHandbook[[#This Row],[UDC]],TableBHINARCH[],7,FALSE),"")</f>
        <v/>
      </c>
      <c r="M18" s="88" t="str">
        <f>IFERROR(VLOOKUP(TableHandbook[[#This Row],[UDC]],TableSPUCANGAD[],7,FALSE),"")</f>
        <v/>
      </c>
      <c r="N18" s="88" t="str">
        <f>IFERROR(VLOOKUP(TableHandbook[[#This Row],[UDC]],TableSPUCCONMS[],7,FALSE),"")</f>
        <v>Core</v>
      </c>
      <c r="O18" s="88" t="str">
        <f>IFERROR(VLOOKUP(TableHandbook[[#This Row],[UDC]],TableSPUCDIGDE[],7,FALSE),"")</f>
        <v/>
      </c>
      <c r="P18" s="88" t="str">
        <f>IFERROR(VLOOKUP(TableHandbook[[#This Row],[UDC]],TableSPUCDSGNV[],7,FALSE),"")</f>
        <v/>
      </c>
      <c r="Q18" s="88" t="str">
        <f>IFERROR(VLOOKUP(TableHandbook[[#This Row],[UDC]],TableSPUCGRPDS[],7,FALSE),"")</f>
        <v/>
      </c>
      <c r="R18" s="88" t="str">
        <f>IFERROR(VLOOKUP(TableHandbook[[#This Row],[UDC]],TableSPUCPHOTO[],7,FALSE),"")</f>
        <v/>
      </c>
      <c r="S18" s="88" t="str">
        <f>IFERROR(VLOOKUP(TableHandbook[[#This Row],[UDC]],TableSPUCPRINP[],7,FALSE),"")</f>
        <v/>
      </c>
      <c r="T18" s="88" t="str">
        <f>IFERROR(VLOOKUP(TableHandbook[[#This Row],[UDC]],TableSPUCURDES[],7,FALSE),"")</f>
        <v/>
      </c>
      <c r="U18" s="88" t="str">
        <f>IFERROR(VLOOKUP(TableHandbook[[#This Row],[UDC]],TableSPUEARCHT[],7,FALSE),"")</f>
        <v/>
      </c>
    </row>
    <row r="19" spans="1:21" x14ac:dyDescent="0.25">
      <c r="A19" s="6" t="s">
        <v>133</v>
      </c>
      <c r="B19" s="7">
        <v>3</v>
      </c>
      <c r="C19" s="6"/>
      <c r="D19" s="6" t="s">
        <v>198</v>
      </c>
      <c r="E19" s="7">
        <v>25</v>
      </c>
      <c r="F19" s="67" t="s">
        <v>123</v>
      </c>
      <c r="G19" s="47" t="str">
        <f>IFERROR(IF(VLOOKUP(TableHandbook[[#This Row],[UDC]],TableAvailabilities,2,FALSE)&gt;0,"Y",""),"")</f>
        <v/>
      </c>
      <c r="H19" s="48" t="str">
        <f>IFERROR(IF(VLOOKUP(TableHandbook[[#This Row],[UDC]],TableAvailabilities,3,FALSE)&gt;0,"Y",""),"")</f>
        <v/>
      </c>
      <c r="I19" s="49" t="str">
        <f>IFERROR(IF(VLOOKUP(TableHandbook[[#This Row],[UDC]],TableAvailabilities,4,FALSE)&gt;0,"Y",""),"")</f>
        <v>Y</v>
      </c>
      <c r="J19" s="50" t="str">
        <f>IFERROR(IF(VLOOKUP(TableHandbook[[#This Row],[UDC]],TableAvailabilities,5,FALSE)&gt;0,"Y",""),"")</f>
        <v/>
      </c>
      <c r="K19" s="12"/>
      <c r="L19" s="88" t="str">
        <f>IFERROR(VLOOKUP(TableHandbook[[#This Row],[UDC]],TableBHINARCH[],7,FALSE),"")</f>
        <v/>
      </c>
      <c r="M19" s="88" t="str">
        <f>IFERROR(VLOOKUP(TableHandbook[[#This Row],[UDC]],TableSPUCANGAD[],7,FALSE),"")</f>
        <v/>
      </c>
      <c r="N19" s="88" t="str">
        <f>IFERROR(VLOOKUP(TableHandbook[[#This Row],[UDC]],TableSPUCCONMS[],7,FALSE),"")</f>
        <v>Core</v>
      </c>
      <c r="O19" s="88" t="str">
        <f>IFERROR(VLOOKUP(TableHandbook[[#This Row],[UDC]],TableSPUCDIGDE[],7,FALSE),"")</f>
        <v/>
      </c>
      <c r="P19" s="88" t="str">
        <f>IFERROR(VLOOKUP(TableHandbook[[#This Row],[UDC]],TableSPUCDSGNV[],7,FALSE),"")</f>
        <v/>
      </c>
      <c r="Q19" s="88" t="str">
        <f>IFERROR(VLOOKUP(TableHandbook[[#This Row],[UDC]],TableSPUCGRPDS[],7,FALSE),"")</f>
        <v/>
      </c>
      <c r="R19" s="88" t="str">
        <f>IFERROR(VLOOKUP(TableHandbook[[#This Row],[UDC]],TableSPUCPHOTO[],7,FALSE),"")</f>
        <v/>
      </c>
      <c r="S19" s="88" t="str">
        <f>IFERROR(VLOOKUP(TableHandbook[[#This Row],[UDC]],TableSPUCPRINP[],7,FALSE),"")</f>
        <v/>
      </c>
      <c r="T19" s="88" t="str">
        <f>IFERROR(VLOOKUP(TableHandbook[[#This Row],[UDC]],TableSPUCURDES[],7,FALSE),"")</f>
        <v/>
      </c>
      <c r="U19" s="88" t="str">
        <f>IFERROR(VLOOKUP(TableHandbook[[#This Row],[UDC]],TableSPUEARCHT[],7,FALSE),"")</f>
        <v/>
      </c>
    </row>
    <row r="20" spans="1:21" x14ac:dyDescent="0.25">
      <c r="A20" s="6" t="s">
        <v>143</v>
      </c>
      <c r="B20" s="7">
        <v>2</v>
      </c>
      <c r="C20" s="6"/>
      <c r="D20" s="6" t="s">
        <v>199</v>
      </c>
      <c r="E20" s="7">
        <v>25</v>
      </c>
      <c r="F20" s="67" t="s">
        <v>182</v>
      </c>
      <c r="G20" s="47" t="str">
        <f>IFERROR(IF(VLOOKUP(TableHandbook[[#This Row],[UDC]],TableAvailabilities,2,FALSE)&gt;0,"Y",""),"")</f>
        <v>Y</v>
      </c>
      <c r="H20" s="48" t="str">
        <f>IFERROR(IF(VLOOKUP(TableHandbook[[#This Row],[UDC]],TableAvailabilities,3,FALSE)&gt;0,"Y",""),"")</f>
        <v/>
      </c>
      <c r="I20" s="49" t="str">
        <f>IFERROR(IF(VLOOKUP(TableHandbook[[#This Row],[UDC]],TableAvailabilities,4,FALSE)&gt;0,"Y",""),"")</f>
        <v/>
      </c>
      <c r="J20" s="50" t="str">
        <f>IFERROR(IF(VLOOKUP(TableHandbook[[#This Row],[UDC]],TableAvailabilities,5,FALSE)&gt;0,"Y",""),"")</f>
        <v/>
      </c>
      <c r="K20" s="12"/>
      <c r="L20" s="88" t="str">
        <f>IFERROR(VLOOKUP(TableHandbook[[#This Row],[UDC]],TableBHINARCH[],7,FALSE),"")</f>
        <v/>
      </c>
      <c r="M20" s="88" t="str">
        <f>IFERROR(VLOOKUP(TableHandbook[[#This Row],[UDC]],TableSPUCANGAD[],7,FALSE),"")</f>
        <v/>
      </c>
      <c r="N20" s="88" t="str">
        <f>IFERROR(VLOOKUP(TableHandbook[[#This Row],[UDC]],TableSPUCCONMS[],7,FALSE),"")</f>
        <v>Core</v>
      </c>
      <c r="O20" s="88" t="str">
        <f>IFERROR(VLOOKUP(TableHandbook[[#This Row],[UDC]],TableSPUCDIGDE[],7,FALSE),"")</f>
        <v/>
      </c>
      <c r="P20" s="88" t="str">
        <f>IFERROR(VLOOKUP(TableHandbook[[#This Row],[UDC]],TableSPUCDSGNV[],7,FALSE),"")</f>
        <v/>
      </c>
      <c r="Q20" s="88" t="str">
        <f>IFERROR(VLOOKUP(TableHandbook[[#This Row],[UDC]],TableSPUCGRPDS[],7,FALSE),"")</f>
        <v/>
      </c>
      <c r="R20" s="88" t="str">
        <f>IFERROR(VLOOKUP(TableHandbook[[#This Row],[UDC]],TableSPUCPHOTO[],7,FALSE),"")</f>
        <v/>
      </c>
      <c r="S20" s="88" t="str">
        <f>IFERROR(VLOOKUP(TableHandbook[[#This Row],[UDC]],TableSPUCPRINP[],7,FALSE),"")</f>
        <v/>
      </c>
      <c r="T20" s="88" t="str">
        <f>IFERROR(VLOOKUP(TableHandbook[[#This Row],[UDC]],TableSPUCURDES[],7,FALSE),"")</f>
        <v/>
      </c>
      <c r="U20" s="88" t="str">
        <f>IFERROR(VLOOKUP(TableHandbook[[#This Row],[UDC]],TableSPUEARCHT[],7,FALSE),"")</f>
        <v/>
      </c>
    </row>
    <row r="21" spans="1:21" x14ac:dyDescent="0.25">
      <c r="A21" s="6" t="s">
        <v>42</v>
      </c>
      <c r="B21" s="7">
        <v>2</v>
      </c>
      <c r="C21" s="6"/>
      <c r="D21" s="6" t="s">
        <v>200</v>
      </c>
      <c r="E21" s="7">
        <v>25</v>
      </c>
      <c r="F21" s="67" t="s">
        <v>182</v>
      </c>
      <c r="G21" s="47" t="str">
        <f>IFERROR(IF(VLOOKUP(TableHandbook[[#This Row],[UDC]],TableAvailabilities,2,FALSE)&gt;0,"Y",""),"")</f>
        <v>Y</v>
      </c>
      <c r="H21" s="48" t="str">
        <f>IFERROR(IF(VLOOKUP(TableHandbook[[#This Row],[UDC]],TableAvailabilities,3,FALSE)&gt;0,"Y",""),"")</f>
        <v>Y</v>
      </c>
      <c r="I21" s="49" t="str">
        <f>IFERROR(IF(VLOOKUP(TableHandbook[[#This Row],[UDC]],TableAvailabilities,4,FALSE)&gt;0,"Y",""),"")</f>
        <v>Y</v>
      </c>
      <c r="J21" s="50" t="str">
        <f>IFERROR(IF(VLOOKUP(TableHandbook[[#This Row],[UDC]],TableAvailabilities,5,FALSE)&gt;0,"Y",""),"")</f>
        <v>Y</v>
      </c>
      <c r="K21" s="12"/>
      <c r="L21" s="88" t="str">
        <f>IFERROR(VLOOKUP(TableHandbook[[#This Row],[UDC]],TableBHINARCH[],7,FALSE),"")</f>
        <v>Core</v>
      </c>
      <c r="M21" s="88" t="str">
        <f>IFERROR(VLOOKUP(TableHandbook[[#This Row],[UDC]],TableSPUCANGAD[],7,FALSE),"")</f>
        <v/>
      </c>
      <c r="N21" s="88" t="str">
        <f>IFERROR(VLOOKUP(TableHandbook[[#This Row],[UDC]],TableSPUCCONMS[],7,FALSE),"")</f>
        <v/>
      </c>
      <c r="O21" s="88" t="str">
        <f>IFERROR(VLOOKUP(TableHandbook[[#This Row],[UDC]],TableSPUCDIGDE[],7,FALSE),"")</f>
        <v/>
      </c>
      <c r="P21" s="88" t="str">
        <f>IFERROR(VLOOKUP(TableHandbook[[#This Row],[UDC]],TableSPUCDSGNV[],7,FALSE),"")</f>
        <v/>
      </c>
      <c r="Q21" s="88" t="str">
        <f>IFERROR(VLOOKUP(TableHandbook[[#This Row],[UDC]],TableSPUCGRPDS[],7,FALSE),"")</f>
        <v/>
      </c>
      <c r="R21" s="88" t="str">
        <f>IFERROR(VLOOKUP(TableHandbook[[#This Row],[UDC]],TableSPUCPHOTO[],7,FALSE),"")</f>
        <v/>
      </c>
      <c r="S21" s="88" t="str">
        <f>IFERROR(VLOOKUP(TableHandbook[[#This Row],[UDC]],TableSPUCPRINP[],7,FALSE),"")</f>
        <v/>
      </c>
      <c r="T21" s="88" t="str">
        <f>IFERROR(VLOOKUP(TableHandbook[[#This Row],[UDC]],TableSPUCURDES[],7,FALSE),"")</f>
        <v/>
      </c>
      <c r="U21" s="88" t="str">
        <f>IFERROR(VLOOKUP(TableHandbook[[#This Row],[UDC]],TableSPUEARCHT[],7,FALSE),"")</f>
        <v/>
      </c>
    </row>
    <row r="22" spans="1:21" x14ac:dyDescent="0.25">
      <c r="A22" s="6" t="s">
        <v>121</v>
      </c>
      <c r="B22" s="7">
        <v>1</v>
      </c>
      <c r="C22" s="6"/>
      <c r="D22" s="6" t="s">
        <v>201</v>
      </c>
      <c r="E22" s="7">
        <v>25</v>
      </c>
      <c r="F22" s="67" t="s">
        <v>182</v>
      </c>
      <c r="G22" s="47" t="str">
        <f>IFERROR(IF(VLOOKUP(TableHandbook[[#This Row],[UDC]],TableAvailabilities,2,FALSE)&gt;0,"Y",""),"")</f>
        <v>Y</v>
      </c>
      <c r="H22" s="48" t="str">
        <f>IFERROR(IF(VLOOKUP(TableHandbook[[#This Row],[UDC]],TableAvailabilities,3,FALSE)&gt;0,"Y",""),"")</f>
        <v/>
      </c>
      <c r="I22" s="49" t="str">
        <f>IFERROR(IF(VLOOKUP(TableHandbook[[#This Row],[UDC]],TableAvailabilities,4,FALSE)&gt;0,"Y",""),"")</f>
        <v>Y</v>
      </c>
      <c r="J22" s="50" t="str">
        <f>IFERROR(IF(VLOOKUP(TableHandbook[[#This Row],[UDC]],TableAvailabilities,5,FALSE)&gt;0,"Y",""),"")</f>
        <v/>
      </c>
      <c r="K22" s="12"/>
      <c r="L22" s="88" t="str">
        <f>IFERROR(VLOOKUP(TableHandbook[[#This Row],[UDC]],TableBHINARCH[],7,FALSE),"")</f>
        <v/>
      </c>
      <c r="M22" s="88" t="str">
        <f>IFERROR(VLOOKUP(TableHandbook[[#This Row],[UDC]],TableSPUCANGAD[],7,FALSE),"")</f>
        <v>Core</v>
      </c>
      <c r="N22" s="88" t="str">
        <f>IFERROR(VLOOKUP(TableHandbook[[#This Row],[UDC]],TableSPUCCONMS[],7,FALSE),"")</f>
        <v/>
      </c>
      <c r="O22" s="88" t="str">
        <f>IFERROR(VLOOKUP(TableHandbook[[#This Row],[UDC]],TableSPUCDIGDE[],7,FALSE),"")</f>
        <v/>
      </c>
      <c r="P22" s="88" t="str">
        <f>IFERROR(VLOOKUP(TableHandbook[[#This Row],[UDC]],TableSPUCDSGNV[],7,FALSE),"")</f>
        <v/>
      </c>
      <c r="Q22" s="88" t="str">
        <f>IFERROR(VLOOKUP(TableHandbook[[#This Row],[UDC]],TableSPUCGRPDS[],7,FALSE),"")</f>
        <v/>
      </c>
      <c r="R22" s="88" t="str">
        <f>IFERROR(VLOOKUP(TableHandbook[[#This Row],[UDC]],TableSPUCPHOTO[],7,FALSE),"")</f>
        <v/>
      </c>
      <c r="S22" s="88" t="str">
        <f>IFERROR(VLOOKUP(TableHandbook[[#This Row],[UDC]],TableSPUCPRINP[],7,FALSE),"")</f>
        <v/>
      </c>
      <c r="T22" s="88" t="str">
        <f>IFERROR(VLOOKUP(TableHandbook[[#This Row],[UDC]],TableSPUCURDES[],7,FALSE),"")</f>
        <v/>
      </c>
      <c r="U22" s="88" t="str">
        <f>IFERROR(VLOOKUP(TableHandbook[[#This Row],[UDC]],TableSPUEARCHT[],7,FALSE),"")</f>
        <v/>
      </c>
    </row>
    <row r="23" spans="1:21" x14ac:dyDescent="0.25">
      <c r="A23" s="6" t="s">
        <v>125</v>
      </c>
      <c r="B23" s="7">
        <v>2</v>
      </c>
      <c r="C23" s="6"/>
      <c r="D23" s="6" t="s">
        <v>202</v>
      </c>
      <c r="E23" s="7">
        <v>25</v>
      </c>
      <c r="F23" s="67" t="s">
        <v>182</v>
      </c>
      <c r="G23" s="47" t="str">
        <f>IFERROR(IF(VLOOKUP(TableHandbook[[#This Row],[UDC]],TableAvailabilities,2,FALSE)&gt;0,"Y",""),"")</f>
        <v>Y</v>
      </c>
      <c r="H23" s="48" t="str">
        <f>IFERROR(IF(VLOOKUP(TableHandbook[[#This Row],[UDC]],TableAvailabilities,3,FALSE)&gt;0,"Y",""),"")</f>
        <v/>
      </c>
      <c r="I23" s="49" t="str">
        <f>IFERROR(IF(VLOOKUP(TableHandbook[[#This Row],[UDC]],TableAvailabilities,4,FALSE)&gt;0,"Y",""),"")</f>
        <v>Y</v>
      </c>
      <c r="J23" s="50" t="str">
        <f>IFERROR(IF(VLOOKUP(TableHandbook[[#This Row],[UDC]],TableAvailabilities,5,FALSE)&gt;0,"Y",""),"")</f>
        <v/>
      </c>
      <c r="K23" s="12"/>
      <c r="L23" s="88" t="str">
        <f>IFERROR(VLOOKUP(TableHandbook[[#This Row],[UDC]],TableBHINARCH[],7,FALSE),"")</f>
        <v/>
      </c>
      <c r="M23" s="88" t="str">
        <f>IFERROR(VLOOKUP(TableHandbook[[#This Row],[UDC]],TableSPUCANGAD[],7,FALSE),"")</f>
        <v/>
      </c>
      <c r="N23" s="88" t="str">
        <f>IFERROR(VLOOKUP(TableHandbook[[#This Row],[UDC]],TableSPUCCONMS[],7,FALSE),"")</f>
        <v/>
      </c>
      <c r="O23" s="88" t="str">
        <f>IFERROR(VLOOKUP(TableHandbook[[#This Row],[UDC]],TableSPUCDIGDE[],7,FALSE),"")</f>
        <v/>
      </c>
      <c r="P23" s="88" t="str">
        <f>IFERROR(VLOOKUP(TableHandbook[[#This Row],[UDC]],TableSPUCDSGNV[],7,FALSE),"")</f>
        <v>Core</v>
      </c>
      <c r="Q23" s="88" t="str">
        <f>IFERROR(VLOOKUP(TableHandbook[[#This Row],[UDC]],TableSPUCGRPDS[],7,FALSE),"")</f>
        <v/>
      </c>
      <c r="R23" s="88" t="str">
        <f>IFERROR(VLOOKUP(TableHandbook[[#This Row],[UDC]],TableSPUCPHOTO[],7,FALSE),"")</f>
        <v/>
      </c>
      <c r="S23" s="88" t="str">
        <f>IFERROR(VLOOKUP(TableHandbook[[#This Row],[UDC]],TableSPUCPRINP[],7,FALSE),"")</f>
        <v/>
      </c>
      <c r="T23" s="88" t="str">
        <f>IFERROR(VLOOKUP(TableHandbook[[#This Row],[UDC]],TableSPUCURDES[],7,FALSE),"")</f>
        <v/>
      </c>
      <c r="U23" s="88" t="str">
        <f>IFERROR(VLOOKUP(TableHandbook[[#This Row],[UDC]],TableSPUEARCHT[],7,FALSE),"")</f>
        <v/>
      </c>
    </row>
    <row r="24" spans="1:21" x14ac:dyDescent="0.25">
      <c r="A24" s="6" t="s">
        <v>126</v>
      </c>
      <c r="B24" s="7">
        <v>1</v>
      </c>
      <c r="C24" s="6"/>
      <c r="D24" s="6" t="s">
        <v>203</v>
      </c>
      <c r="E24" s="7">
        <v>25</v>
      </c>
      <c r="F24" s="67" t="s">
        <v>182</v>
      </c>
      <c r="G24" s="47" t="str">
        <f>IFERROR(IF(VLOOKUP(TableHandbook[[#This Row],[UDC]],TableAvailabilities,2,FALSE)&gt;0,"Y",""),"")</f>
        <v>Y</v>
      </c>
      <c r="H24" s="48" t="str">
        <f>IFERROR(IF(VLOOKUP(TableHandbook[[#This Row],[UDC]],TableAvailabilities,3,FALSE)&gt;0,"Y",""),"")</f>
        <v/>
      </c>
      <c r="I24" s="49" t="str">
        <f>IFERROR(IF(VLOOKUP(TableHandbook[[#This Row],[UDC]],TableAvailabilities,4,FALSE)&gt;0,"Y",""),"")</f>
        <v>Y</v>
      </c>
      <c r="J24" s="50" t="str">
        <f>IFERROR(IF(VLOOKUP(TableHandbook[[#This Row],[UDC]],TableAvailabilities,5,FALSE)&gt;0,"Y",""),"")</f>
        <v/>
      </c>
      <c r="K24" s="12"/>
      <c r="L24" s="88" t="str">
        <f>IFERROR(VLOOKUP(TableHandbook[[#This Row],[UDC]],TableBHINARCH[],7,FALSE),"")</f>
        <v/>
      </c>
      <c r="M24" s="88" t="str">
        <f>IFERROR(VLOOKUP(TableHandbook[[#This Row],[UDC]],TableSPUCANGAD[],7,FALSE),"")</f>
        <v/>
      </c>
      <c r="N24" s="88" t="str">
        <f>IFERROR(VLOOKUP(TableHandbook[[#This Row],[UDC]],TableSPUCCONMS[],7,FALSE),"")</f>
        <v/>
      </c>
      <c r="O24" s="88" t="str">
        <f>IFERROR(VLOOKUP(TableHandbook[[#This Row],[UDC]],TableSPUCDIGDE[],7,FALSE),"")</f>
        <v/>
      </c>
      <c r="P24" s="88" t="str">
        <f>IFERROR(VLOOKUP(TableHandbook[[#This Row],[UDC]],TableSPUCDSGNV[],7,FALSE),"")</f>
        <v/>
      </c>
      <c r="Q24" s="88" t="str">
        <f>IFERROR(VLOOKUP(TableHandbook[[#This Row],[UDC]],TableSPUCGRPDS[],7,FALSE),"")</f>
        <v>Core</v>
      </c>
      <c r="R24" s="88" t="str">
        <f>IFERROR(VLOOKUP(TableHandbook[[#This Row],[UDC]],TableSPUCPHOTO[],7,FALSE),"")</f>
        <v/>
      </c>
      <c r="S24" s="88" t="str">
        <f>IFERROR(VLOOKUP(TableHandbook[[#This Row],[UDC]],TableSPUCPRINP[],7,FALSE),"")</f>
        <v/>
      </c>
      <c r="T24" s="88" t="str">
        <f>IFERROR(VLOOKUP(TableHandbook[[#This Row],[UDC]],TableSPUCURDES[],7,FALSE),"")</f>
        <v/>
      </c>
      <c r="U24" s="88" t="str">
        <f>IFERROR(VLOOKUP(TableHandbook[[#This Row],[UDC]],TableSPUEARCHT[],7,FALSE),"")</f>
        <v/>
      </c>
    </row>
    <row r="25" spans="1:21" x14ac:dyDescent="0.25">
      <c r="A25" s="6" t="s">
        <v>124</v>
      </c>
      <c r="B25" s="7">
        <v>2</v>
      </c>
      <c r="C25" s="6"/>
      <c r="D25" s="6" t="s">
        <v>204</v>
      </c>
      <c r="E25" s="7">
        <v>25</v>
      </c>
      <c r="F25" s="67" t="s">
        <v>182</v>
      </c>
      <c r="G25" s="47" t="str">
        <f>IFERROR(IF(VLOOKUP(TableHandbook[[#This Row],[UDC]],TableAvailabilities,2,FALSE)&gt;0,"Y",""),"")</f>
        <v>Y</v>
      </c>
      <c r="H25" s="48" t="str">
        <f>IFERROR(IF(VLOOKUP(TableHandbook[[#This Row],[UDC]],TableAvailabilities,3,FALSE)&gt;0,"Y",""),"")</f>
        <v/>
      </c>
      <c r="I25" s="49" t="str">
        <f>IFERROR(IF(VLOOKUP(TableHandbook[[#This Row],[UDC]],TableAvailabilities,4,FALSE)&gt;0,"Y",""),"")</f>
        <v>Y</v>
      </c>
      <c r="J25" s="50" t="str">
        <f>IFERROR(IF(VLOOKUP(TableHandbook[[#This Row],[UDC]],TableAvailabilities,5,FALSE)&gt;0,"Y",""),"")</f>
        <v/>
      </c>
      <c r="K25" s="12"/>
      <c r="L25" s="88" t="str">
        <f>IFERROR(VLOOKUP(TableHandbook[[#This Row],[UDC]],TableBHINARCH[],7,FALSE),"")</f>
        <v/>
      </c>
      <c r="M25" s="88" t="str">
        <f>IFERROR(VLOOKUP(TableHandbook[[#This Row],[UDC]],TableSPUCANGAD[],7,FALSE),"")</f>
        <v/>
      </c>
      <c r="N25" s="88" t="str">
        <f>IFERROR(VLOOKUP(TableHandbook[[#This Row],[UDC]],TableSPUCCONMS[],7,FALSE),"")</f>
        <v/>
      </c>
      <c r="O25" s="88" t="str">
        <f>IFERROR(VLOOKUP(TableHandbook[[#This Row],[UDC]],TableSPUCDIGDE[],7,FALSE),"")</f>
        <v>Core</v>
      </c>
      <c r="P25" s="88" t="str">
        <f>IFERROR(VLOOKUP(TableHandbook[[#This Row],[UDC]],TableSPUCDSGNV[],7,FALSE),"")</f>
        <v/>
      </c>
      <c r="Q25" s="88" t="str">
        <f>IFERROR(VLOOKUP(TableHandbook[[#This Row],[UDC]],TableSPUCGRPDS[],7,FALSE),"")</f>
        <v/>
      </c>
      <c r="R25" s="88" t="str">
        <f>IFERROR(VLOOKUP(TableHandbook[[#This Row],[UDC]],TableSPUCPHOTO[],7,FALSE),"")</f>
        <v/>
      </c>
      <c r="S25" s="88" t="str">
        <f>IFERROR(VLOOKUP(TableHandbook[[#This Row],[UDC]],TableSPUCPRINP[],7,FALSE),"")</f>
        <v/>
      </c>
      <c r="T25" s="88" t="str">
        <f>IFERROR(VLOOKUP(TableHandbook[[#This Row],[UDC]],TableSPUCURDES[],7,FALSE),"")</f>
        <v/>
      </c>
      <c r="U25" s="88" t="str">
        <f>IFERROR(VLOOKUP(TableHandbook[[#This Row],[UDC]],TableSPUEARCHT[],7,FALSE),"")</f>
        <v/>
      </c>
    </row>
    <row r="26" spans="1:21" x14ac:dyDescent="0.25">
      <c r="A26" s="6" t="s">
        <v>135</v>
      </c>
      <c r="B26" s="7">
        <v>2</v>
      </c>
      <c r="C26" s="6"/>
      <c r="D26" s="6" t="s">
        <v>205</v>
      </c>
      <c r="E26" s="7">
        <v>25</v>
      </c>
      <c r="F26" s="67" t="s">
        <v>182</v>
      </c>
      <c r="G26" s="47" t="str">
        <f>IFERROR(IF(VLOOKUP(TableHandbook[[#This Row],[UDC]],TableAvailabilities,2,FALSE)&gt;0,"Y",""),"")</f>
        <v>Y</v>
      </c>
      <c r="H26" s="48" t="str">
        <f>IFERROR(IF(VLOOKUP(TableHandbook[[#This Row],[UDC]],TableAvailabilities,3,FALSE)&gt;0,"Y",""),"")</f>
        <v/>
      </c>
      <c r="I26" s="49" t="str">
        <f>IFERROR(IF(VLOOKUP(TableHandbook[[#This Row],[UDC]],TableAvailabilities,4,FALSE)&gt;0,"Y",""),"")</f>
        <v>Y</v>
      </c>
      <c r="J26" s="50" t="str">
        <f>IFERROR(IF(VLOOKUP(TableHandbook[[#This Row],[UDC]],TableAvailabilities,5,FALSE)&gt;0,"Y",""),"")</f>
        <v/>
      </c>
      <c r="K26" s="12"/>
      <c r="L26" s="88" t="str">
        <f>IFERROR(VLOOKUP(TableHandbook[[#This Row],[UDC]],TableBHINARCH[],7,FALSE),"")</f>
        <v/>
      </c>
      <c r="M26" s="88" t="str">
        <f>IFERROR(VLOOKUP(TableHandbook[[#This Row],[UDC]],TableSPUCANGAD[],7,FALSE),"")</f>
        <v/>
      </c>
      <c r="N26" s="88" t="str">
        <f>IFERROR(VLOOKUP(TableHandbook[[#This Row],[UDC]],TableSPUCCONMS[],7,FALSE),"")</f>
        <v/>
      </c>
      <c r="O26" s="88" t="str">
        <f>IFERROR(VLOOKUP(TableHandbook[[#This Row],[UDC]],TableSPUCDIGDE[],7,FALSE),"")</f>
        <v/>
      </c>
      <c r="P26" s="88" t="str">
        <f>IFERROR(VLOOKUP(TableHandbook[[#This Row],[UDC]],TableSPUCDSGNV[],7,FALSE),"")</f>
        <v>Core</v>
      </c>
      <c r="Q26" s="88" t="str">
        <f>IFERROR(VLOOKUP(TableHandbook[[#This Row],[UDC]],TableSPUCGRPDS[],7,FALSE),"")</f>
        <v/>
      </c>
      <c r="R26" s="88" t="str">
        <f>IFERROR(VLOOKUP(TableHandbook[[#This Row],[UDC]],TableSPUCPHOTO[],7,FALSE),"")</f>
        <v/>
      </c>
      <c r="S26" s="88" t="str">
        <f>IFERROR(VLOOKUP(TableHandbook[[#This Row],[UDC]],TableSPUCPRINP[],7,FALSE),"")</f>
        <v/>
      </c>
      <c r="T26" s="88" t="str">
        <f>IFERROR(VLOOKUP(TableHandbook[[#This Row],[UDC]],TableSPUCURDES[],7,FALSE),"")</f>
        <v/>
      </c>
      <c r="U26" s="88" t="str">
        <f>IFERROR(VLOOKUP(TableHandbook[[#This Row],[UDC]],TableSPUEARCHT[],7,FALSE),"")</f>
        <v/>
      </c>
    </row>
    <row r="27" spans="1:21" x14ac:dyDescent="0.25">
      <c r="A27" s="6" t="s">
        <v>131</v>
      </c>
      <c r="B27" s="7">
        <v>1</v>
      </c>
      <c r="C27" s="6"/>
      <c r="D27" s="6" t="s">
        <v>206</v>
      </c>
      <c r="E27" s="7">
        <v>25</v>
      </c>
      <c r="F27" s="67" t="s">
        <v>182</v>
      </c>
      <c r="G27" s="47" t="str">
        <f>IFERROR(IF(VLOOKUP(TableHandbook[[#This Row],[UDC]],TableAvailabilities,2,FALSE)&gt;0,"Y",""),"")</f>
        <v/>
      </c>
      <c r="H27" s="48" t="str">
        <f>IFERROR(IF(VLOOKUP(TableHandbook[[#This Row],[UDC]],TableAvailabilities,3,FALSE)&gt;0,"Y",""),"")</f>
        <v/>
      </c>
      <c r="I27" s="49" t="str">
        <f>IFERROR(IF(VLOOKUP(TableHandbook[[#This Row],[UDC]],TableAvailabilities,4,FALSE)&gt;0,"Y",""),"")</f>
        <v>Y</v>
      </c>
      <c r="J27" s="50" t="str">
        <f>IFERROR(IF(VLOOKUP(TableHandbook[[#This Row],[UDC]],TableAvailabilities,5,FALSE)&gt;0,"Y",""),"")</f>
        <v/>
      </c>
      <c r="K27" s="12"/>
      <c r="L27" s="88" t="str">
        <f>IFERROR(VLOOKUP(TableHandbook[[#This Row],[UDC]],TableBHINARCH[],7,FALSE),"")</f>
        <v/>
      </c>
      <c r="M27" s="88" t="str">
        <f>IFERROR(VLOOKUP(TableHandbook[[#This Row],[UDC]],TableSPUCANGAD[],7,FALSE),"")</f>
        <v>Core</v>
      </c>
      <c r="N27" s="88" t="str">
        <f>IFERROR(VLOOKUP(TableHandbook[[#This Row],[UDC]],TableSPUCCONMS[],7,FALSE),"")</f>
        <v/>
      </c>
      <c r="O27" s="88" t="str">
        <f>IFERROR(VLOOKUP(TableHandbook[[#This Row],[UDC]],TableSPUCDIGDE[],7,FALSE),"")</f>
        <v/>
      </c>
      <c r="P27" s="88" t="str">
        <f>IFERROR(VLOOKUP(TableHandbook[[#This Row],[UDC]],TableSPUCDSGNV[],7,FALSE),"")</f>
        <v/>
      </c>
      <c r="Q27" s="88" t="str">
        <f>IFERROR(VLOOKUP(TableHandbook[[#This Row],[UDC]],TableSPUCGRPDS[],7,FALSE),"")</f>
        <v/>
      </c>
      <c r="R27" s="88" t="str">
        <f>IFERROR(VLOOKUP(TableHandbook[[#This Row],[UDC]],TableSPUCPHOTO[],7,FALSE),"")</f>
        <v/>
      </c>
      <c r="S27" s="88" t="str">
        <f>IFERROR(VLOOKUP(TableHandbook[[#This Row],[UDC]],TableSPUCPRINP[],7,FALSE),"")</f>
        <v/>
      </c>
      <c r="T27" s="88" t="str">
        <f>IFERROR(VLOOKUP(TableHandbook[[#This Row],[UDC]],TableSPUCURDES[],7,FALSE),"")</f>
        <v/>
      </c>
      <c r="U27" s="88" t="str">
        <f>IFERROR(VLOOKUP(TableHandbook[[#This Row],[UDC]],TableSPUEARCHT[],7,FALSE),"")</f>
        <v/>
      </c>
    </row>
    <row r="28" spans="1:21" x14ac:dyDescent="0.25">
      <c r="A28" s="6" t="s">
        <v>136</v>
      </c>
      <c r="B28" s="7">
        <v>1</v>
      </c>
      <c r="C28" s="6"/>
      <c r="D28" s="6" t="s">
        <v>207</v>
      </c>
      <c r="E28" s="7">
        <v>25</v>
      </c>
      <c r="F28" s="67" t="s">
        <v>182</v>
      </c>
      <c r="G28" s="71" t="str">
        <f>IFERROR(IF(VLOOKUP(TableHandbook[[#This Row],[UDC]],TableAvailabilities,2,FALSE)&gt;0,"Y",""),"")</f>
        <v>Y</v>
      </c>
      <c r="H28" s="72" t="str">
        <f>IFERROR(IF(VLOOKUP(TableHandbook[[#This Row],[UDC]],TableAvailabilities,3,FALSE)&gt;0,"Y",""),"")</f>
        <v/>
      </c>
      <c r="I28" s="73" t="str">
        <f>IFERROR(IF(VLOOKUP(TableHandbook[[#This Row],[UDC]],TableAvailabilities,4,FALSE)&gt;0,"Y",""),"")</f>
        <v>Y</v>
      </c>
      <c r="J28" s="74" t="str">
        <f>IFERROR(IF(VLOOKUP(TableHandbook[[#This Row],[UDC]],TableAvailabilities,5,FALSE)&gt;0,"Y",""),"")</f>
        <v/>
      </c>
      <c r="K28" s="12"/>
      <c r="L28" s="88" t="str">
        <f>IFERROR(VLOOKUP(TableHandbook[[#This Row],[UDC]],TableBHINARCH[],7,FALSE),"")</f>
        <v/>
      </c>
      <c r="M28" s="88" t="str">
        <f>IFERROR(VLOOKUP(TableHandbook[[#This Row],[UDC]],TableSPUCANGAD[],7,FALSE),"")</f>
        <v/>
      </c>
      <c r="N28" s="88" t="str">
        <f>IFERROR(VLOOKUP(TableHandbook[[#This Row],[UDC]],TableSPUCCONMS[],7,FALSE),"")</f>
        <v/>
      </c>
      <c r="O28" s="88" t="str">
        <f>IFERROR(VLOOKUP(TableHandbook[[#This Row],[UDC]],TableSPUCDIGDE[],7,FALSE),"")</f>
        <v/>
      </c>
      <c r="P28" s="88" t="str">
        <f>IFERROR(VLOOKUP(TableHandbook[[#This Row],[UDC]],TableSPUCDSGNV[],7,FALSE),"")</f>
        <v/>
      </c>
      <c r="Q28" s="88" t="str">
        <f>IFERROR(VLOOKUP(TableHandbook[[#This Row],[UDC]],TableSPUCGRPDS[],7,FALSE),"")</f>
        <v>Core</v>
      </c>
      <c r="R28" s="88" t="str">
        <f>IFERROR(VLOOKUP(TableHandbook[[#This Row],[UDC]],TableSPUCPHOTO[],7,FALSE),"")</f>
        <v/>
      </c>
      <c r="S28" s="88" t="str">
        <f>IFERROR(VLOOKUP(TableHandbook[[#This Row],[UDC]],TableSPUCPRINP[],7,FALSE),"")</f>
        <v/>
      </c>
      <c r="T28" s="88" t="str">
        <f>IFERROR(VLOOKUP(TableHandbook[[#This Row],[UDC]],TableSPUCURDES[],7,FALSE),"")</f>
        <v/>
      </c>
      <c r="U28" s="88" t="str">
        <f>IFERROR(VLOOKUP(TableHandbook[[#This Row],[UDC]],TableSPUEARCHT[],7,FALSE),"")</f>
        <v/>
      </c>
    </row>
    <row r="29" spans="1:21" x14ac:dyDescent="0.25">
      <c r="A29" s="6" t="s">
        <v>75</v>
      </c>
      <c r="B29" s="7">
        <v>2</v>
      </c>
      <c r="C29" s="6"/>
      <c r="D29" s="6" t="s">
        <v>208</v>
      </c>
      <c r="E29" s="7">
        <v>25</v>
      </c>
      <c r="F29" s="67" t="s">
        <v>209</v>
      </c>
      <c r="G29" s="47" t="str">
        <f>IFERROR(IF(VLOOKUP(TableHandbook[[#This Row],[UDC]],TableAvailabilities,2,FALSE)&gt;0,"Y",""),"")</f>
        <v/>
      </c>
      <c r="H29" s="48" t="str">
        <f>IFERROR(IF(VLOOKUP(TableHandbook[[#This Row],[UDC]],TableAvailabilities,3,FALSE)&gt;0,"Y",""),"")</f>
        <v/>
      </c>
      <c r="I29" s="49" t="str">
        <f>IFERROR(IF(VLOOKUP(TableHandbook[[#This Row],[UDC]],TableAvailabilities,4,FALSE)&gt;0,"Y",""),"")</f>
        <v>Y</v>
      </c>
      <c r="J29" s="50" t="str">
        <f>IFERROR(IF(VLOOKUP(TableHandbook[[#This Row],[UDC]],TableAvailabilities,5,FALSE)&gt;0,"Y",""),"")</f>
        <v/>
      </c>
      <c r="K29" s="12"/>
      <c r="L29" s="88" t="str">
        <f>IFERROR(VLOOKUP(TableHandbook[[#This Row],[UDC]],TableBHINARCH[],7,FALSE),"")</f>
        <v>Core</v>
      </c>
      <c r="M29" s="88" t="str">
        <f>IFERROR(VLOOKUP(TableHandbook[[#This Row],[UDC]],TableSPUCANGAD[],7,FALSE),"")</f>
        <v/>
      </c>
      <c r="N29" s="88" t="str">
        <f>IFERROR(VLOOKUP(TableHandbook[[#This Row],[UDC]],TableSPUCCONMS[],7,FALSE),"")</f>
        <v/>
      </c>
      <c r="O29" s="88" t="str">
        <f>IFERROR(VLOOKUP(TableHandbook[[#This Row],[UDC]],TableSPUCDIGDE[],7,FALSE),"")</f>
        <v/>
      </c>
      <c r="P29" s="88" t="str">
        <f>IFERROR(VLOOKUP(TableHandbook[[#This Row],[UDC]],TableSPUCDSGNV[],7,FALSE),"")</f>
        <v/>
      </c>
      <c r="Q29" s="88" t="str">
        <f>IFERROR(VLOOKUP(TableHandbook[[#This Row],[UDC]],TableSPUCGRPDS[],7,FALSE),"")</f>
        <v/>
      </c>
      <c r="R29" s="88" t="str">
        <f>IFERROR(VLOOKUP(TableHandbook[[#This Row],[UDC]],TableSPUCPHOTO[],7,FALSE),"")</f>
        <v/>
      </c>
      <c r="S29" s="88" t="str">
        <f>IFERROR(VLOOKUP(TableHandbook[[#This Row],[UDC]],TableSPUCPRINP[],7,FALSE),"")</f>
        <v/>
      </c>
      <c r="T29" s="88" t="str">
        <f>IFERROR(VLOOKUP(TableHandbook[[#This Row],[UDC]],TableSPUCURDES[],7,FALSE),"")</f>
        <v/>
      </c>
      <c r="U29" s="88" t="str">
        <f>IFERROR(VLOOKUP(TableHandbook[[#This Row],[UDC]],TableSPUEARCHT[],7,FALSE),"")</f>
        <v/>
      </c>
    </row>
    <row r="30" spans="1:21" x14ac:dyDescent="0.25">
      <c r="A30" s="6" t="s">
        <v>146</v>
      </c>
      <c r="B30" s="7">
        <v>1</v>
      </c>
      <c r="C30" s="6"/>
      <c r="D30" s="6" t="s">
        <v>210</v>
      </c>
      <c r="E30" s="7">
        <v>25</v>
      </c>
      <c r="F30" s="67" t="s">
        <v>126</v>
      </c>
      <c r="G30" s="47" t="str">
        <f>IFERROR(IF(VLOOKUP(TableHandbook[[#This Row],[UDC]],TableAvailabilities,2,FALSE)&gt;0,"Y",""),"")</f>
        <v>Y</v>
      </c>
      <c r="H30" s="48" t="str">
        <f>IFERROR(IF(VLOOKUP(TableHandbook[[#This Row],[UDC]],TableAvailabilities,3,FALSE)&gt;0,"Y",""),"")</f>
        <v/>
      </c>
      <c r="I30" s="49" t="str">
        <f>IFERROR(IF(VLOOKUP(TableHandbook[[#This Row],[UDC]],TableAvailabilities,4,FALSE)&gt;0,"Y",""),"")</f>
        <v>Y</v>
      </c>
      <c r="J30" s="50" t="str">
        <f>IFERROR(IF(VLOOKUP(TableHandbook[[#This Row],[UDC]],TableAvailabilities,5,FALSE)&gt;0,"Y",""),"")</f>
        <v/>
      </c>
      <c r="K30" s="12"/>
      <c r="L30" s="88" t="str">
        <f>IFERROR(VLOOKUP(TableHandbook[[#This Row],[UDC]],TableBHINARCH[],7,FALSE),"")</f>
        <v/>
      </c>
      <c r="M30" s="88" t="str">
        <f>IFERROR(VLOOKUP(TableHandbook[[#This Row],[UDC]],TableSPUCANGAD[],7,FALSE),"")</f>
        <v/>
      </c>
      <c r="N30" s="88" t="str">
        <f>IFERROR(VLOOKUP(TableHandbook[[#This Row],[UDC]],TableSPUCCONMS[],7,FALSE),"")</f>
        <v/>
      </c>
      <c r="O30" s="88" t="str">
        <f>IFERROR(VLOOKUP(TableHandbook[[#This Row],[UDC]],TableSPUCDIGDE[],7,FALSE),"")</f>
        <v/>
      </c>
      <c r="P30" s="88" t="str">
        <f>IFERROR(VLOOKUP(TableHandbook[[#This Row],[UDC]],TableSPUCDSGNV[],7,FALSE),"")</f>
        <v/>
      </c>
      <c r="Q30" s="88" t="str">
        <f>IFERROR(VLOOKUP(TableHandbook[[#This Row],[UDC]],TableSPUCGRPDS[],7,FALSE),"")</f>
        <v>Core</v>
      </c>
      <c r="R30" s="88" t="str">
        <f>IFERROR(VLOOKUP(TableHandbook[[#This Row],[UDC]],TableSPUCPHOTO[],7,FALSE),"")</f>
        <v/>
      </c>
      <c r="S30" s="88" t="str">
        <f>IFERROR(VLOOKUP(TableHandbook[[#This Row],[UDC]],TableSPUCPRINP[],7,FALSE),"")</f>
        <v/>
      </c>
      <c r="T30" s="88" t="str">
        <f>IFERROR(VLOOKUP(TableHandbook[[#This Row],[UDC]],TableSPUCURDES[],7,FALSE),"")</f>
        <v/>
      </c>
      <c r="U30" s="88" t="str">
        <f>IFERROR(VLOOKUP(TableHandbook[[#This Row],[UDC]],TableSPUEARCHT[],7,FALSE),"")</f>
        <v/>
      </c>
    </row>
    <row r="31" spans="1:21" x14ac:dyDescent="0.25">
      <c r="A31" s="6" t="s">
        <v>145</v>
      </c>
      <c r="B31" s="7">
        <v>3</v>
      </c>
      <c r="C31" s="6"/>
      <c r="D31" s="6" t="s">
        <v>211</v>
      </c>
      <c r="E31" s="7">
        <v>25</v>
      </c>
      <c r="F31" s="67" t="s">
        <v>182</v>
      </c>
      <c r="G31" s="47" t="str">
        <f>IFERROR(IF(VLOOKUP(TableHandbook[[#This Row],[UDC]],TableAvailabilities,2,FALSE)&gt;0,"Y",""),"")</f>
        <v/>
      </c>
      <c r="H31" s="48" t="str">
        <f>IFERROR(IF(VLOOKUP(TableHandbook[[#This Row],[UDC]],TableAvailabilities,3,FALSE)&gt;0,"Y",""),"")</f>
        <v/>
      </c>
      <c r="I31" s="49" t="str">
        <f>IFERROR(IF(VLOOKUP(TableHandbook[[#This Row],[UDC]],TableAvailabilities,4,FALSE)&gt;0,"Y",""),"")</f>
        <v>Y</v>
      </c>
      <c r="J31" s="50" t="str">
        <f>IFERROR(IF(VLOOKUP(TableHandbook[[#This Row],[UDC]],TableAvailabilities,5,FALSE)&gt;0,"Y",""),"")</f>
        <v/>
      </c>
      <c r="K31" s="12"/>
      <c r="L31" s="88" t="str">
        <f>IFERROR(VLOOKUP(TableHandbook[[#This Row],[UDC]],TableBHINARCH[],7,FALSE),"")</f>
        <v/>
      </c>
      <c r="M31" s="88" t="str">
        <f>IFERROR(VLOOKUP(TableHandbook[[#This Row],[UDC]],TableSPUCANGAD[],7,FALSE),"")</f>
        <v/>
      </c>
      <c r="N31" s="88" t="str">
        <f>IFERROR(VLOOKUP(TableHandbook[[#This Row],[UDC]],TableSPUCCONMS[],7,FALSE),"")</f>
        <v/>
      </c>
      <c r="O31" s="88" t="str">
        <f>IFERROR(VLOOKUP(TableHandbook[[#This Row],[UDC]],TableSPUCDIGDE[],7,FALSE),"")</f>
        <v/>
      </c>
      <c r="P31" s="88" t="str">
        <f>IFERROR(VLOOKUP(TableHandbook[[#This Row],[UDC]],TableSPUCDSGNV[],7,FALSE),"")</f>
        <v>Core</v>
      </c>
      <c r="Q31" s="88" t="str">
        <f>IFERROR(VLOOKUP(TableHandbook[[#This Row],[UDC]],TableSPUCGRPDS[],7,FALSE),"")</f>
        <v>AltCore</v>
      </c>
      <c r="R31" s="88" t="str">
        <f>IFERROR(VLOOKUP(TableHandbook[[#This Row],[UDC]],TableSPUCPHOTO[],7,FALSE),"")</f>
        <v/>
      </c>
      <c r="S31" s="88" t="str">
        <f>IFERROR(VLOOKUP(TableHandbook[[#This Row],[UDC]],TableSPUCPRINP[],7,FALSE),"")</f>
        <v/>
      </c>
      <c r="T31" s="88" t="str">
        <f>IFERROR(VLOOKUP(TableHandbook[[#This Row],[UDC]],TableSPUCURDES[],7,FALSE),"")</f>
        <v/>
      </c>
      <c r="U31" s="88" t="str">
        <f>IFERROR(VLOOKUP(TableHandbook[[#This Row],[UDC]],TableSPUEARCHT[],7,FALSE),"")</f>
        <v/>
      </c>
    </row>
    <row r="32" spans="1:21" x14ac:dyDescent="0.25">
      <c r="A32" s="6" t="s">
        <v>134</v>
      </c>
      <c r="B32" s="7">
        <v>2</v>
      </c>
      <c r="C32" s="6"/>
      <c r="D32" s="6" t="s">
        <v>212</v>
      </c>
      <c r="E32" s="7">
        <v>25</v>
      </c>
      <c r="F32" s="67" t="s">
        <v>213</v>
      </c>
      <c r="G32" s="47" t="str">
        <f>IFERROR(IF(VLOOKUP(TableHandbook[[#This Row],[UDC]],TableAvailabilities,2,FALSE)&gt;0,"Y",""),"")</f>
        <v>Y</v>
      </c>
      <c r="H32" s="48" t="str">
        <f>IFERROR(IF(VLOOKUP(TableHandbook[[#This Row],[UDC]],TableAvailabilities,3,FALSE)&gt;0,"Y",""),"")</f>
        <v/>
      </c>
      <c r="I32" s="49" t="str">
        <f>IFERROR(IF(VLOOKUP(TableHandbook[[#This Row],[UDC]],TableAvailabilities,4,FALSE)&gt;0,"Y",""),"")</f>
        <v/>
      </c>
      <c r="J32" s="50" t="str">
        <f>IFERROR(IF(VLOOKUP(TableHandbook[[#This Row],[UDC]],TableAvailabilities,5,FALSE)&gt;0,"Y",""),"")</f>
        <v/>
      </c>
      <c r="K32" s="12"/>
      <c r="L32" s="88" t="str">
        <f>IFERROR(VLOOKUP(TableHandbook[[#This Row],[UDC]],TableBHINARCH[],7,FALSE),"")</f>
        <v/>
      </c>
      <c r="M32" s="88" t="str">
        <f>IFERROR(VLOOKUP(TableHandbook[[#This Row],[UDC]],TableSPUCANGAD[],7,FALSE),"")</f>
        <v/>
      </c>
      <c r="N32" s="88" t="str">
        <f>IFERROR(VLOOKUP(TableHandbook[[#This Row],[UDC]],TableSPUCCONMS[],7,FALSE),"")</f>
        <v/>
      </c>
      <c r="O32" s="88" t="str">
        <f>IFERROR(VLOOKUP(TableHandbook[[#This Row],[UDC]],TableSPUCDIGDE[],7,FALSE),"")</f>
        <v>Core</v>
      </c>
      <c r="P32" s="88" t="str">
        <f>IFERROR(VLOOKUP(TableHandbook[[#This Row],[UDC]],TableSPUCDSGNV[],7,FALSE),"")</f>
        <v/>
      </c>
      <c r="Q32" s="88" t="str">
        <f>IFERROR(VLOOKUP(TableHandbook[[#This Row],[UDC]],TableSPUCGRPDS[],7,FALSE),"")</f>
        <v/>
      </c>
      <c r="R32" s="88" t="str">
        <f>IFERROR(VLOOKUP(TableHandbook[[#This Row],[UDC]],TableSPUCPHOTO[],7,FALSE),"")</f>
        <v/>
      </c>
      <c r="S32" s="88" t="str">
        <f>IFERROR(VLOOKUP(TableHandbook[[#This Row],[UDC]],TableSPUCPRINP[],7,FALSE),"")</f>
        <v/>
      </c>
      <c r="T32" s="88" t="str">
        <f>IFERROR(VLOOKUP(TableHandbook[[#This Row],[UDC]],TableSPUCURDES[],7,FALSE),"")</f>
        <v/>
      </c>
      <c r="U32" s="88" t="str">
        <f>IFERROR(VLOOKUP(TableHandbook[[#This Row],[UDC]],TableSPUEARCHT[],7,FALSE),"")</f>
        <v/>
      </c>
    </row>
    <row r="33" spans="1:21" x14ac:dyDescent="0.25">
      <c r="A33" s="6" t="s">
        <v>144</v>
      </c>
      <c r="B33" s="7">
        <v>3</v>
      </c>
      <c r="C33" s="6"/>
      <c r="D33" s="6" t="s">
        <v>214</v>
      </c>
      <c r="E33" s="7">
        <v>25</v>
      </c>
      <c r="F33" s="67" t="s">
        <v>134</v>
      </c>
      <c r="G33" s="47" t="str">
        <f>IFERROR(IF(VLOOKUP(TableHandbook[[#This Row],[UDC]],TableAvailabilities,2,FALSE)&gt;0,"Y",""),"")</f>
        <v/>
      </c>
      <c r="H33" s="48" t="str">
        <f>IFERROR(IF(VLOOKUP(TableHandbook[[#This Row],[UDC]],TableAvailabilities,3,FALSE)&gt;0,"Y",""),"")</f>
        <v/>
      </c>
      <c r="I33" s="49" t="str">
        <f>IFERROR(IF(VLOOKUP(TableHandbook[[#This Row],[UDC]],TableAvailabilities,4,FALSE)&gt;0,"Y",""),"")</f>
        <v>Y</v>
      </c>
      <c r="J33" s="50" t="str">
        <f>IFERROR(IF(VLOOKUP(TableHandbook[[#This Row],[UDC]],TableAvailabilities,5,FALSE)&gt;0,"Y",""),"")</f>
        <v/>
      </c>
      <c r="K33" s="12"/>
      <c r="L33" s="88" t="str">
        <f>IFERROR(VLOOKUP(TableHandbook[[#This Row],[UDC]],TableBHINARCH[],7,FALSE),"")</f>
        <v/>
      </c>
      <c r="M33" s="88" t="str">
        <f>IFERROR(VLOOKUP(TableHandbook[[#This Row],[UDC]],TableSPUCANGAD[],7,FALSE),"")</f>
        <v/>
      </c>
      <c r="N33" s="88" t="str">
        <f>IFERROR(VLOOKUP(TableHandbook[[#This Row],[UDC]],TableSPUCCONMS[],7,FALSE),"")</f>
        <v/>
      </c>
      <c r="O33" s="88" t="str">
        <f>IFERROR(VLOOKUP(TableHandbook[[#This Row],[UDC]],TableSPUCDIGDE[],7,FALSE),"")</f>
        <v>Core</v>
      </c>
      <c r="P33" s="88" t="str">
        <f>IFERROR(VLOOKUP(TableHandbook[[#This Row],[UDC]],TableSPUCDSGNV[],7,FALSE),"")</f>
        <v/>
      </c>
      <c r="Q33" s="88" t="str">
        <f>IFERROR(VLOOKUP(TableHandbook[[#This Row],[UDC]],TableSPUCGRPDS[],7,FALSE),"")</f>
        <v/>
      </c>
      <c r="R33" s="88" t="str">
        <f>IFERROR(VLOOKUP(TableHandbook[[#This Row],[UDC]],TableSPUCPHOTO[],7,FALSE),"")</f>
        <v/>
      </c>
      <c r="S33" s="88" t="str">
        <f>IFERROR(VLOOKUP(TableHandbook[[#This Row],[UDC]],TableSPUCPRINP[],7,FALSE),"")</f>
        <v/>
      </c>
      <c r="T33" s="88" t="str">
        <f>IFERROR(VLOOKUP(TableHandbook[[#This Row],[UDC]],TableSPUCURDES[],7,FALSE),"")</f>
        <v/>
      </c>
      <c r="U33" s="88" t="str">
        <f>IFERROR(VLOOKUP(TableHandbook[[#This Row],[UDC]],TableSPUEARCHT[],7,FALSE),"")</f>
        <v/>
      </c>
    </row>
    <row r="34" spans="1:21" x14ac:dyDescent="0.25">
      <c r="A34" s="6" t="s">
        <v>137</v>
      </c>
      <c r="B34" s="7">
        <v>1</v>
      </c>
      <c r="C34" s="6"/>
      <c r="D34" s="6" t="s">
        <v>215</v>
      </c>
      <c r="E34" s="7">
        <v>25</v>
      </c>
      <c r="F34" s="67" t="s">
        <v>127</v>
      </c>
      <c r="G34" s="47" t="str">
        <f>IFERROR(IF(VLOOKUP(TableHandbook[[#This Row],[UDC]],TableAvailabilities,2,FALSE)&gt;0,"Y",""),"")</f>
        <v>Y</v>
      </c>
      <c r="H34" s="48" t="str">
        <f>IFERROR(IF(VLOOKUP(TableHandbook[[#This Row],[UDC]],TableAvailabilities,3,FALSE)&gt;0,"Y",""),"")</f>
        <v/>
      </c>
      <c r="I34" s="49" t="str">
        <f>IFERROR(IF(VLOOKUP(TableHandbook[[#This Row],[UDC]],TableAvailabilities,4,FALSE)&gt;0,"Y",""),"")</f>
        <v>Y</v>
      </c>
      <c r="J34" s="50" t="str">
        <f>IFERROR(IF(VLOOKUP(TableHandbook[[#This Row],[UDC]],TableAvailabilities,5,FALSE)&gt;0,"Y",""),"")</f>
        <v/>
      </c>
      <c r="K34" s="12"/>
      <c r="L34" s="88" t="str">
        <f>IFERROR(VLOOKUP(TableHandbook[[#This Row],[UDC]],TableBHINARCH[],7,FALSE),"")</f>
        <v/>
      </c>
      <c r="M34" s="88" t="str">
        <f>IFERROR(VLOOKUP(TableHandbook[[#This Row],[UDC]],TableSPUCANGAD[],7,FALSE),"")</f>
        <v/>
      </c>
      <c r="N34" s="88" t="str">
        <f>IFERROR(VLOOKUP(TableHandbook[[#This Row],[UDC]],TableSPUCCONMS[],7,FALSE),"")</f>
        <v/>
      </c>
      <c r="O34" s="88" t="str">
        <f>IFERROR(VLOOKUP(TableHandbook[[#This Row],[UDC]],TableSPUCDIGDE[],7,FALSE),"")</f>
        <v/>
      </c>
      <c r="P34" s="88" t="str">
        <f>IFERROR(VLOOKUP(TableHandbook[[#This Row],[UDC]],TableSPUCDSGNV[],7,FALSE),"")</f>
        <v/>
      </c>
      <c r="Q34" s="88" t="str">
        <f>IFERROR(VLOOKUP(TableHandbook[[#This Row],[UDC]],TableSPUCGRPDS[],7,FALSE),"")</f>
        <v/>
      </c>
      <c r="R34" s="88" t="str">
        <f>IFERROR(VLOOKUP(TableHandbook[[#This Row],[UDC]],TableSPUCPHOTO[],7,FALSE),"")</f>
        <v>Core</v>
      </c>
      <c r="S34" s="88" t="str">
        <f>IFERROR(VLOOKUP(TableHandbook[[#This Row],[UDC]],TableSPUCPRINP[],7,FALSE),"")</f>
        <v/>
      </c>
      <c r="T34" s="88" t="str">
        <f>IFERROR(VLOOKUP(TableHandbook[[#This Row],[UDC]],TableSPUCURDES[],7,FALSE),"")</f>
        <v/>
      </c>
      <c r="U34" s="88" t="str">
        <f>IFERROR(VLOOKUP(TableHandbook[[#This Row],[UDC]],TableSPUEARCHT[],7,FALSE),"")</f>
        <v/>
      </c>
    </row>
    <row r="35" spans="1:21" x14ac:dyDescent="0.25">
      <c r="A35" s="6" t="s">
        <v>165</v>
      </c>
      <c r="B35" s="7">
        <v>1</v>
      </c>
      <c r="C35" s="6"/>
      <c r="D35" s="6" t="s">
        <v>216</v>
      </c>
      <c r="E35" s="7">
        <v>25</v>
      </c>
      <c r="F35" s="68" t="s">
        <v>217</v>
      </c>
      <c r="G35" s="47" t="str">
        <f>IFERROR(IF(VLOOKUP(TableHandbook[[#This Row],[UDC]],TableAvailabilities,2,FALSE)&gt;0,"Y",""),"")</f>
        <v>Y</v>
      </c>
      <c r="H35" s="48" t="str">
        <f>IFERROR(IF(VLOOKUP(TableHandbook[[#This Row],[UDC]],TableAvailabilities,3,FALSE)&gt;0,"Y",""),"")</f>
        <v/>
      </c>
      <c r="I35" s="49" t="str">
        <f>IFERROR(IF(VLOOKUP(TableHandbook[[#This Row],[UDC]],TableAvailabilities,4,FALSE)&gt;0,"Y",""),"")</f>
        <v>Y</v>
      </c>
      <c r="J35" s="50" t="str">
        <f>IFERROR(IF(VLOOKUP(TableHandbook[[#This Row],[UDC]],TableAvailabilities,5,FALSE)&gt;0,"Y",""),"")</f>
        <v/>
      </c>
      <c r="K35" s="77" t="s">
        <v>218</v>
      </c>
      <c r="L35" s="88" t="str">
        <f>IFERROR(VLOOKUP(TableHandbook[[#This Row],[UDC]],TableBHINARCH[],7,FALSE),"")</f>
        <v/>
      </c>
      <c r="M35" s="88" t="str">
        <f>IFERROR(VLOOKUP(TableHandbook[[#This Row],[UDC]],TableSPUCANGAD[],7,FALSE),"")</f>
        <v/>
      </c>
      <c r="N35" s="88" t="str">
        <f>IFERROR(VLOOKUP(TableHandbook[[#This Row],[UDC]],TableSPUCCONMS[],7,FALSE),"")</f>
        <v/>
      </c>
      <c r="O35" s="88" t="str">
        <f>IFERROR(VLOOKUP(TableHandbook[[#This Row],[UDC]],TableSPUCDIGDE[],7,FALSE),"")</f>
        <v/>
      </c>
      <c r="P35" s="88" t="str">
        <f>IFERROR(VLOOKUP(TableHandbook[[#This Row],[UDC]],TableSPUCDSGNV[],7,FALSE),"")</f>
        <v/>
      </c>
      <c r="Q35" s="88" t="str">
        <f>IFERROR(VLOOKUP(TableHandbook[[#This Row],[UDC]],TableSPUCGRPDS[],7,FALSE),"")</f>
        <v>AltCore</v>
      </c>
      <c r="R35" s="88" t="str">
        <f>IFERROR(VLOOKUP(TableHandbook[[#This Row],[UDC]],TableSPUCPHOTO[],7,FALSE),"")</f>
        <v/>
      </c>
      <c r="S35" s="88" t="str">
        <f>IFERROR(VLOOKUP(TableHandbook[[#This Row],[UDC]],TableSPUCPRINP[],7,FALSE),"")</f>
        <v/>
      </c>
      <c r="T35" s="88" t="str">
        <f>IFERROR(VLOOKUP(TableHandbook[[#This Row],[UDC]],TableSPUCURDES[],7,FALSE),"")</f>
        <v/>
      </c>
      <c r="U35" s="88" t="str">
        <f>IFERROR(VLOOKUP(TableHandbook[[#This Row],[UDC]],TableSPUEARCHT[],7,FALSE),"")</f>
        <v/>
      </c>
    </row>
    <row r="36" spans="1:21" x14ac:dyDescent="0.25">
      <c r="A36" s="6" t="s">
        <v>127</v>
      </c>
      <c r="B36" s="7">
        <v>1</v>
      </c>
      <c r="C36" s="6"/>
      <c r="D36" s="6" t="s">
        <v>219</v>
      </c>
      <c r="E36" s="7">
        <v>25</v>
      </c>
      <c r="F36" s="67" t="s">
        <v>182</v>
      </c>
      <c r="G36" s="47" t="str">
        <f>IFERROR(IF(VLOOKUP(TableHandbook[[#This Row],[UDC]],TableAvailabilities,2,FALSE)&gt;0,"Y",""),"")</f>
        <v>Y</v>
      </c>
      <c r="H36" s="48" t="str">
        <f>IFERROR(IF(VLOOKUP(TableHandbook[[#This Row],[UDC]],TableAvailabilities,3,FALSE)&gt;0,"Y",""),"")</f>
        <v/>
      </c>
      <c r="I36" s="49" t="str">
        <f>IFERROR(IF(VLOOKUP(TableHandbook[[#This Row],[UDC]],TableAvailabilities,4,FALSE)&gt;0,"Y",""),"")</f>
        <v>Y</v>
      </c>
      <c r="J36" s="50" t="str">
        <f>IFERROR(IF(VLOOKUP(TableHandbook[[#This Row],[UDC]],TableAvailabilities,5,FALSE)&gt;0,"Y",""),"")</f>
        <v/>
      </c>
      <c r="K36" s="12"/>
      <c r="L36" s="88" t="str">
        <f>IFERROR(VLOOKUP(TableHandbook[[#This Row],[UDC]],TableBHINARCH[],7,FALSE),"")</f>
        <v/>
      </c>
      <c r="M36" s="88" t="str">
        <f>IFERROR(VLOOKUP(TableHandbook[[#This Row],[UDC]],TableSPUCANGAD[],7,FALSE),"")</f>
        <v/>
      </c>
      <c r="N36" s="88" t="str">
        <f>IFERROR(VLOOKUP(TableHandbook[[#This Row],[UDC]],TableSPUCCONMS[],7,FALSE),"")</f>
        <v/>
      </c>
      <c r="O36" s="88" t="str">
        <f>IFERROR(VLOOKUP(TableHandbook[[#This Row],[UDC]],TableSPUCDIGDE[],7,FALSE),"")</f>
        <v/>
      </c>
      <c r="P36" s="88" t="str">
        <f>IFERROR(VLOOKUP(TableHandbook[[#This Row],[UDC]],TableSPUCDSGNV[],7,FALSE),"")</f>
        <v>Core</v>
      </c>
      <c r="Q36" s="88" t="str">
        <f>IFERROR(VLOOKUP(TableHandbook[[#This Row],[UDC]],TableSPUCGRPDS[],7,FALSE),"")</f>
        <v/>
      </c>
      <c r="R36" s="88" t="str">
        <f>IFERROR(VLOOKUP(TableHandbook[[#This Row],[UDC]],TableSPUCPHOTO[],7,FALSE),"")</f>
        <v>Core</v>
      </c>
      <c r="S36" s="88" t="str">
        <f>IFERROR(VLOOKUP(TableHandbook[[#This Row],[UDC]],TableSPUCPRINP[],7,FALSE),"")</f>
        <v/>
      </c>
      <c r="T36" s="88" t="str">
        <f>IFERROR(VLOOKUP(TableHandbook[[#This Row],[UDC]],TableSPUCURDES[],7,FALSE),"")</f>
        <v/>
      </c>
      <c r="U36" s="88" t="str">
        <f>IFERROR(VLOOKUP(TableHandbook[[#This Row],[UDC]],TableSPUEARCHT[],7,FALSE),"")</f>
        <v/>
      </c>
    </row>
    <row r="37" spans="1:21" x14ac:dyDescent="0.25">
      <c r="A37" s="6" t="s">
        <v>141</v>
      </c>
      <c r="B37" s="7">
        <v>2</v>
      </c>
      <c r="C37" s="6"/>
      <c r="D37" s="6" t="s">
        <v>220</v>
      </c>
      <c r="E37" s="7">
        <v>25</v>
      </c>
      <c r="F37" s="67" t="s">
        <v>221</v>
      </c>
      <c r="G37" s="47" t="str">
        <f>IFERROR(IF(VLOOKUP(TableHandbook[[#This Row],[UDC]],TableAvailabilities,2,FALSE)&gt;0,"Y",""),"")</f>
        <v>Y</v>
      </c>
      <c r="H37" s="48" t="str">
        <f>IFERROR(IF(VLOOKUP(TableHandbook[[#This Row],[UDC]],TableAvailabilities,3,FALSE)&gt;0,"Y",""),"")</f>
        <v/>
      </c>
      <c r="I37" s="49" t="str">
        <f>IFERROR(IF(VLOOKUP(TableHandbook[[#This Row],[UDC]],TableAvailabilities,4,FALSE)&gt;0,"Y",""),"")</f>
        <v/>
      </c>
      <c r="J37" s="50" t="str">
        <f>IFERROR(IF(VLOOKUP(TableHandbook[[#This Row],[UDC]],TableAvailabilities,5,FALSE)&gt;0,"Y",""),"")</f>
        <v/>
      </c>
      <c r="K37" s="12"/>
      <c r="L37" s="88" t="str">
        <f>IFERROR(VLOOKUP(TableHandbook[[#This Row],[UDC]],TableBHINARCH[],7,FALSE),"")</f>
        <v/>
      </c>
      <c r="M37" s="88" t="str">
        <f>IFERROR(VLOOKUP(TableHandbook[[#This Row],[UDC]],TableSPUCANGAD[],7,FALSE),"")</f>
        <v>Core</v>
      </c>
      <c r="N37" s="88" t="str">
        <f>IFERROR(VLOOKUP(TableHandbook[[#This Row],[UDC]],TableSPUCCONMS[],7,FALSE),"")</f>
        <v/>
      </c>
      <c r="O37" s="88" t="str">
        <f>IFERROR(VLOOKUP(TableHandbook[[#This Row],[UDC]],TableSPUCDIGDE[],7,FALSE),"")</f>
        <v/>
      </c>
      <c r="P37" s="88" t="str">
        <f>IFERROR(VLOOKUP(TableHandbook[[#This Row],[UDC]],TableSPUCDSGNV[],7,FALSE),"")</f>
        <v/>
      </c>
      <c r="Q37" s="88" t="str">
        <f>IFERROR(VLOOKUP(TableHandbook[[#This Row],[UDC]],TableSPUCGRPDS[],7,FALSE),"")</f>
        <v/>
      </c>
      <c r="R37" s="88" t="str">
        <f>IFERROR(VLOOKUP(TableHandbook[[#This Row],[UDC]],TableSPUCPHOTO[],7,FALSE),"")</f>
        <v/>
      </c>
      <c r="S37" s="88" t="str">
        <f>IFERROR(VLOOKUP(TableHandbook[[#This Row],[UDC]],TableSPUCPRINP[],7,FALSE),"")</f>
        <v/>
      </c>
      <c r="T37" s="88" t="str">
        <f>IFERROR(VLOOKUP(TableHandbook[[#This Row],[UDC]],TableSPUCURDES[],7,FALSE),"")</f>
        <v/>
      </c>
      <c r="U37" s="88" t="str">
        <f>IFERROR(VLOOKUP(TableHandbook[[#This Row],[UDC]],TableSPUEARCHT[],7,FALSE),"")</f>
        <v/>
      </c>
    </row>
    <row r="38" spans="1:21" ht="26.25" x14ac:dyDescent="0.25">
      <c r="A38" s="6" t="s">
        <v>161</v>
      </c>
      <c r="B38" s="7">
        <v>2</v>
      </c>
      <c r="C38" s="6"/>
      <c r="D38" s="6" t="s">
        <v>222</v>
      </c>
      <c r="E38" s="7">
        <v>25</v>
      </c>
      <c r="F38" s="68" t="s">
        <v>223</v>
      </c>
      <c r="G38" s="47" t="str">
        <f>IFERROR(IF(VLOOKUP(TableHandbook[[#This Row],[UDC]],TableAvailabilities,2,FALSE)&gt;0,"Y",""),"")</f>
        <v/>
      </c>
      <c r="H38" s="48" t="str">
        <f>IFERROR(IF(VLOOKUP(TableHandbook[[#This Row],[UDC]],TableAvailabilities,3,FALSE)&gt;0,"Y",""),"")</f>
        <v/>
      </c>
      <c r="I38" s="49" t="str">
        <f>IFERROR(IF(VLOOKUP(TableHandbook[[#This Row],[UDC]],TableAvailabilities,4,FALSE)&gt;0,"Y",""),"")</f>
        <v>Y</v>
      </c>
      <c r="J38" s="50" t="str">
        <f>IFERROR(IF(VLOOKUP(TableHandbook[[#This Row],[UDC]],TableAvailabilities,5,FALSE)&gt;0,"Y",""),"")</f>
        <v/>
      </c>
      <c r="K38" s="77" t="s">
        <v>224</v>
      </c>
      <c r="L38" s="88" t="str">
        <f>IFERROR(VLOOKUP(TableHandbook[[#This Row],[UDC]],TableBHINARCH[],7,FALSE),"")</f>
        <v/>
      </c>
      <c r="M38" s="88" t="str">
        <f>IFERROR(VLOOKUP(TableHandbook[[#This Row],[UDC]],TableSPUCANGAD[],7,FALSE),"")</f>
        <v>AltCore</v>
      </c>
      <c r="N38" s="88" t="str">
        <f>IFERROR(VLOOKUP(TableHandbook[[#This Row],[UDC]],TableSPUCCONMS[],7,FALSE),"")</f>
        <v/>
      </c>
      <c r="O38" s="88" t="str">
        <f>IFERROR(VLOOKUP(TableHandbook[[#This Row],[UDC]],TableSPUCDIGDE[],7,FALSE),"")</f>
        <v/>
      </c>
      <c r="P38" s="88" t="str">
        <f>IFERROR(VLOOKUP(TableHandbook[[#This Row],[UDC]],TableSPUCDSGNV[],7,FALSE),"")</f>
        <v/>
      </c>
      <c r="Q38" s="88" t="str">
        <f>IFERROR(VLOOKUP(TableHandbook[[#This Row],[UDC]],TableSPUCGRPDS[],7,FALSE),"")</f>
        <v/>
      </c>
      <c r="R38" s="88" t="str">
        <f>IFERROR(VLOOKUP(TableHandbook[[#This Row],[UDC]],TableSPUCPHOTO[],7,FALSE),"")</f>
        <v/>
      </c>
      <c r="S38" s="88" t="str">
        <f>IFERROR(VLOOKUP(TableHandbook[[#This Row],[UDC]],TableSPUCPRINP[],7,FALSE),"")</f>
        <v/>
      </c>
      <c r="T38" s="88" t="str">
        <f>IFERROR(VLOOKUP(TableHandbook[[#This Row],[UDC]],TableSPUCURDES[],7,FALSE),"")</f>
        <v/>
      </c>
      <c r="U38" s="88" t="str">
        <f>IFERROR(VLOOKUP(TableHandbook[[#This Row],[UDC]],TableSPUEARCHT[],7,FALSE),"")</f>
        <v/>
      </c>
    </row>
    <row r="39" spans="1:21" x14ac:dyDescent="0.25">
      <c r="A39" s="6" t="s">
        <v>154</v>
      </c>
      <c r="B39" s="7">
        <v>1</v>
      </c>
      <c r="C39" s="6"/>
      <c r="D39" s="6" t="s">
        <v>225</v>
      </c>
      <c r="E39" s="7">
        <v>25</v>
      </c>
      <c r="F39" s="67" t="s">
        <v>182</v>
      </c>
      <c r="G39" s="47" t="str">
        <f>IFERROR(IF(VLOOKUP(TableHandbook[[#This Row],[UDC]],TableAvailabilities,2,FALSE)&gt;0,"Y",""),"")</f>
        <v>Y</v>
      </c>
      <c r="H39" s="48" t="str">
        <f>IFERROR(IF(VLOOKUP(TableHandbook[[#This Row],[UDC]],TableAvailabilities,3,FALSE)&gt;0,"Y",""),"")</f>
        <v/>
      </c>
      <c r="I39" s="49" t="str">
        <f>IFERROR(IF(VLOOKUP(TableHandbook[[#This Row],[UDC]],TableAvailabilities,4,FALSE)&gt;0,"Y",""),"")</f>
        <v>Y</v>
      </c>
      <c r="J39" s="50" t="str">
        <f>IFERROR(IF(VLOOKUP(TableHandbook[[#This Row],[UDC]],TableAvailabilities,5,FALSE)&gt;0,"Y",""),"")</f>
        <v/>
      </c>
      <c r="K39" s="12"/>
      <c r="L39" s="88" t="str">
        <f>IFERROR(VLOOKUP(TableHandbook[[#This Row],[UDC]],TableBHINARCH[],7,FALSE),"")</f>
        <v/>
      </c>
      <c r="M39" s="88" t="str">
        <f>IFERROR(VLOOKUP(TableHandbook[[#This Row],[UDC]],TableSPUCANGAD[],7,FALSE),"")</f>
        <v/>
      </c>
      <c r="N39" s="88" t="str">
        <f>IFERROR(VLOOKUP(TableHandbook[[#This Row],[UDC]],TableSPUCCONMS[],7,FALSE),"")</f>
        <v/>
      </c>
      <c r="O39" s="88" t="str">
        <f>IFERROR(VLOOKUP(TableHandbook[[#This Row],[UDC]],TableSPUCDIGDE[],7,FALSE),"")</f>
        <v/>
      </c>
      <c r="P39" s="88" t="str">
        <f>IFERROR(VLOOKUP(TableHandbook[[#This Row],[UDC]],TableSPUCDSGNV[],7,FALSE),"")</f>
        <v/>
      </c>
      <c r="Q39" s="88" t="str">
        <f>IFERROR(VLOOKUP(TableHandbook[[#This Row],[UDC]],TableSPUCGRPDS[],7,FALSE),"")</f>
        <v/>
      </c>
      <c r="R39" s="88" t="str">
        <f>IFERROR(VLOOKUP(TableHandbook[[#This Row],[UDC]],TableSPUCPHOTO[],7,FALSE),"")</f>
        <v>Core</v>
      </c>
      <c r="S39" s="88" t="str">
        <f>IFERROR(VLOOKUP(TableHandbook[[#This Row],[UDC]],TableSPUCPRINP[],7,FALSE),"")</f>
        <v/>
      </c>
      <c r="T39" s="88" t="str">
        <f>IFERROR(VLOOKUP(TableHandbook[[#This Row],[UDC]],TableSPUCURDES[],7,FALSE),"")</f>
        <v/>
      </c>
      <c r="U39" s="88" t="str">
        <f>IFERROR(VLOOKUP(TableHandbook[[#This Row],[UDC]],TableSPUEARCHT[],7,FALSE),"")</f>
        <v/>
      </c>
    </row>
    <row r="40" spans="1:21" x14ac:dyDescent="0.25">
      <c r="A40" s="6" t="s">
        <v>153</v>
      </c>
      <c r="B40" s="7">
        <v>3</v>
      </c>
      <c r="C40" s="6"/>
      <c r="D40" s="6" t="s">
        <v>226</v>
      </c>
      <c r="E40" s="7">
        <v>25</v>
      </c>
      <c r="F40" s="67" t="s">
        <v>213</v>
      </c>
      <c r="G40" s="47" t="str">
        <f>IFERROR(IF(VLOOKUP(TableHandbook[[#This Row],[UDC]],TableAvailabilities,2,FALSE)&gt;0,"Y",""),"")</f>
        <v>Y</v>
      </c>
      <c r="H40" s="48" t="str">
        <f>IFERROR(IF(VLOOKUP(TableHandbook[[#This Row],[UDC]],TableAvailabilities,3,FALSE)&gt;0,"Y",""),"")</f>
        <v/>
      </c>
      <c r="I40" s="49" t="str">
        <f>IFERROR(IF(VLOOKUP(TableHandbook[[#This Row],[UDC]],TableAvailabilities,4,FALSE)&gt;0,"Y",""),"")</f>
        <v/>
      </c>
      <c r="J40" s="50" t="str">
        <f>IFERROR(IF(VLOOKUP(TableHandbook[[#This Row],[UDC]],TableAvailabilities,5,FALSE)&gt;0,"Y",""),"")</f>
        <v/>
      </c>
      <c r="K40" s="12"/>
      <c r="L40" s="88" t="str">
        <f>IFERROR(VLOOKUP(TableHandbook[[#This Row],[UDC]],TableBHINARCH[],7,FALSE),"")</f>
        <v/>
      </c>
      <c r="M40" s="88" t="str">
        <f>IFERROR(VLOOKUP(TableHandbook[[#This Row],[UDC]],TableSPUCANGAD[],7,FALSE),"")</f>
        <v/>
      </c>
      <c r="N40" s="88" t="str">
        <f>IFERROR(VLOOKUP(TableHandbook[[#This Row],[UDC]],TableSPUCCONMS[],7,FALSE),"")</f>
        <v/>
      </c>
      <c r="O40" s="88" t="str">
        <f>IFERROR(VLOOKUP(TableHandbook[[#This Row],[UDC]],TableSPUCDIGDE[],7,FALSE),"")</f>
        <v>Core</v>
      </c>
      <c r="P40" s="88" t="str">
        <f>IFERROR(VLOOKUP(TableHandbook[[#This Row],[UDC]],TableSPUCDSGNV[],7,FALSE),"")</f>
        <v/>
      </c>
      <c r="Q40" s="88" t="str">
        <f>IFERROR(VLOOKUP(TableHandbook[[#This Row],[UDC]],TableSPUCGRPDS[],7,FALSE),"")</f>
        <v/>
      </c>
      <c r="R40" s="88" t="str">
        <f>IFERROR(VLOOKUP(TableHandbook[[#This Row],[UDC]],TableSPUCPHOTO[],7,FALSE),"")</f>
        <v/>
      </c>
      <c r="S40" s="88" t="str">
        <f>IFERROR(VLOOKUP(TableHandbook[[#This Row],[UDC]],TableSPUCPRINP[],7,FALSE),"")</f>
        <v/>
      </c>
      <c r="T40" s="88" t="str">
        <f>IFERROR(VLOOKUP(TableHandbook[[#This Row],[UDC]],TableSPUCURDES[],7,FALSE),"")</f>
        <v/>
      </c>
      <c r="U40" s="88" t="str">
        <f>IFERROR(VLOOKUP(TableHandbook[[#This Row],[UDC]],TableSPUEARCHT[],7,FALSE),"")</f>
        <v/>
      </c>
    </row>
    <row r="41" spans="1:21" x14ac:dyDescent="0.25">
      <c r="A41" s="6" t="s">
        <v>46</v>
      </c>
      <c r="B41" s="7">
        <v>4</v>
      </c>
      <c r="C41" s="6"/>
      <c r="D41" s="6" t="s">
        <v>227</v>
      </c>
      <c r="E41" s="7">
        <v>25</v>
      </c>
      <c r="F41" s="67" t="s">
        <v>182</v>
      </c>
      <c r="G41" s="47" t="str">
        <f>IFERROR(IF(VLOOKUP(TableHandbook[[#This Row],[UDC]],TableAvailabilities,2,FALSE)&gt;0,"Y",""),"")</f>
        <v>Y</v>
      </c>
      <c r="H41" s="48" t="str">
        <f>IFERROR(IF(VLOOKUP(TableHandbook[[#This Row],[UDC]],TableAvailabilities,3,FALSE)&gt;0,"Y",""),"")</f>
        <v/>
      </c>
      <c r="I41" s="49" t="str">
        <f>IFERROR(IF(VLOOKUP(TableHandbook[[#This Row],[UDC]],TableAvailabilities,4,FALSE)&gt;0,"Y",""),"")</f>
        <v/>
      </c>
      <c r="J41" s="50" t="str">
        <f>IFERROR(IF(VLOOKUP(TableHandbook[[#This Row],[UDC]],TableAvailabilities,5,FALSE)&gt;0,"Y",""),"")</f>
        <v/>
      </c>
      <c r="K41" s="12"/>
      <c r="L41" s="88" t="str">
        <f>IFERROR(VLOOKUP(TableHandbook[[#This Row],[UDC]],TableBHINARCH[],7,FALSE),"")</f>
        <v>Core</v>
      </c>
      <c r="M41" s="88" t="str">
        <f>IFERROR(VLOOKUP(TableHandbook[[#This Row],[UDC]],TableSPUCANGAD[],7,FALSE),"")</f>
        <v/>
      </c>
      <c r="N41" s="88" t="str">
        <f>IFERROR(VLOOKUP(TableHandbook[[#This Row],[UDC]],TableSPUCCONMS[],7,FALSE),"")</f>
        <v/>
      </c>
      <c r="O41" s="88" t="str">
        <f>IFERROR(VLOOKUP(TableHandbook[[#This Row],[UDC]],TableSPUCDIGDE[],7,FALSE),"")</f>
        <v/>
      </c>
      <c r="P41" s="88" t="str">
        <f>IFERROR(VLOOKUP(TableHandbook[[#This Row],[UDC]],TableSPUCDSGNV[],7,FALSE),"")</f>
        <v/>
      </c>
      <c r="Q41" s="88" t="str">
        <f>IFERROR(VLOOKUP(TableHandbook[[#This Row],[UDC]],TableSPUCGRPDS[],7,FALSE),"")</f>
        <v/>
      </c>
      <c r="R41" s="88" t="str">
        <f>IFERROR(VLOOKUP(TableHandbook[[#This Row],[UDC]],TableSPUCPHOTO[],7,FALSE),"")</f>
        <v/>
      </c>
      <c r="S41" s="88" t="str">
        <f>IFERROR(VLOOKUP(TableHandbook[[#This Row],[UDC]],TableSPUCPRINP[],7,FALSE),"")</f>
        <v/>
      </c>
      <c r="T41" s="88" t="str">
        <f>IFERROR(VLOOKUP(TableHandbook[[#This Row],[UDC]],TableSPUCURDES[],7,FALSE),"")</f>
        <v/>
      </c>
      <c r="U41" s="88" t="str">
        <f>IFERROR(VLOOKUP(TableHandbook[[#This Row],[UDC]],TableSPUEARCHT[],7,FALSE),"")</f>
        <v/>
      </c>
    </row>
    <row r="42" spans="1:21" x14ac:dyDescent="0.25">
      <c r="A42" s="6" t="s">
        <v>44</v>
      </c>
      <c r="B42" s="7">
        <v>1</v>
      </c>
      <c r="C42" s="6"/>
      <c r="D42" s="6" t="s">
        <v>228</v>
      </c>
      <c r="E42" s="7">
        <v>25</v>
      </c>
      <c r="F42" s="67" t="s">
        <v>182</v>
      </c>
      <c r="G42" s="47" t="str">
        <f>IFERROR(IF(VLOOKUP(TableHandbook[[#This Row],[UDC]],TableAvailabilities,2,FALSE)&gt;0,"Y",""),"")</f>
        <v/>
      </c>
      <c r="H42" s="48" t="str">
        <f>IFERROR(IF(VLOOKUP(TableHandbook[[#This Row],[UDC]],TableAvailabilities,3,FALSE)&gt;0,"Y",""),"")</f>
        <v/>
      </c>
      <c r="I42" s="49" t="str">
        <f>IFERROR(IF(VLOOKUP(TableHandbook[[#This Row],[UDC]],TableAvailabilities,4,FALSE)&gt;0,"Y",""),"")</f>
        <v>Y</v>
      </c>
      <c r="J42" s="50" t="str">
        <f>IFERROR(IF(VLOOKUP(TableHandbook[[#This Row],[UDC]],TableAvailabilities,5,FALSE)&gt;0,"Y",""),"")</f>
        <v/>
      </c>
      <c r="K42" s="12"/>
      <c r="L42" s="88" t="str">
        <f>IFERROR(VLOOKUP(TableHandbook[[#This Row],[UDC]],TableBHINARCH[],7,FALSE),"")</f>
        <v>Core</v>
      </c>
      <c r="M42" s="88" t="str">
        <f>IFERROR(VLOOKUP(TableHandbook[[#This Row],[UDC]],TableSPUCANGAD[],7,FALSE),"")</f>
        <v/>
      </c>
      <c r="N42" s="88" t="str">
        <f>IFERROR(VLOOKUP(TableHandbook[[#This Row],[UDC]],TableSPUCCONMS[],7,FALSE),"")</f>
        <v/>
      </c>
      <c r="O42" s="88" t="str">
        <f>IFERROR(VLOOKUP(TableHandbook[[#This Row],[UDC]],TableSPUCDIGDE[],7,FALSE),"")</f>
        <v/>
      </c>
      <c r="P42" s="88" t="str">
        <f>IFERROR(VLOOKUP(TableHandbook[[#This Row],[UDC]],TableSPUCDSGNV[],7,FALSE),"")</f>
        <v/>
      </c>
      <c r="Q42" s="88" t="str">
        <f>IFERROR(VLOOKUP(TableHandbook[[#This Row],[UDC]],TableSPUCGRPDS[],7,FALSE),"")</f>
        <v/>
      </c>
      <c r="R42" s="88" t="str">
        <f>IFERROR(VLOOKUP(TableHandbook[[#This Row],[UDC]],TableSPUCPHOTO[],7,FALSE),"")</f>
        <v/>
      </c>
      <c r="S42" s="88" t="str">
        <f>IFERROR(VLOOKUP(TableHandbook[[#This Row],[UDC]],TableSPUCPRINP[],7,FALSE),"")</f>
        <v/>
      </c>
      <c r="T42" s="88" t="str">
        <f>IFERROR(VLOOKUP(TableHandbook[[#This Row],[UDC]],TableSPUCURDES[],7,FALSE),"")</f>
        <v/>
      </c>
      <c r="U42" s="88" t="str">
        <f>IFERROR(VLOOKUP(TableHandbook[[#This Row],[UDC]],TableSPUEARCHT[],7,FALSE),"")</f>
        <v/>
      </c>
    </row>
    <row r="43" spans="1:21" x14ac:dyDescent="0.25">
      <c r="A43" s="6" t="s">
        <v>68</v>
      </c>
      <c r="B43" s="7">
        <v>3</v>
      </c>
      <c r="C43" s="6"/>
      <c r="D43" s="6" t="s">
        <v>229</v>
      </c>
      <c r="E43" s="7">
        <v>25</v>
      </c>
      <c r="F43" s="104" t="s">
        <v>230</v>
      </c>
      <c r="G43" s="47" t="str">
        <f>IFERROR(IF(VLOOKUP(TableHandbook[[#This Row],[UDC]],TableAvailabilities,2,FALSE)&gt;0,"Y",""),"")</f>
        <v>Y</v>
      </c>
      <c r="H43" s="48" t="str">
        <f>IFERROR(IF(VLOOKUP(TableHandbook[[#This Row],[UDC]],TableAvailabilities,3,FALSE)&gt;0,"Y",""),"")</f>
        <v/>
      </c>
      <c r="I43" s="49" t="str">
        <f>IFERROR(IF(VLOOKUP(TableHandbook[[#This Row],[UDC]],TableAvailabilities,4,FALSE)&gt;0,"Y",""),"")</f>
        <v/>
      </c>
      <c r="J43" s="50" t="str">
        <f>IFERROR(IF(VLOOKUP(TableHandbook[[#This Row],[UDC]],TableAvailabilities,5,FALSE)&gt;0,"Y",""),"")</f>
        <v/>
      </c>
      <c r="K43" s="12"/>
      <c r="L43" s="88" t="str">
        <f>IFERROR(VLOOKUP(TableHandbook[[#This Row],[UDC]],TableBHINARCH[],7,FALSE),"")</f>
        <v>Core</v>
      </c>
      <c r="M43" s="88" t="str">
        <f>IFERROR(VLOOKUP(TableHandbook[[#This Row],[UDC]],TableSPUCANGAD[],7,FALSE),"")</f>
        <v/>
      </c>
      <c r="N43" s="88" t="str">
        <f>IFERROR(VLOOKUP(TableHandbook[[#This Row],[UDC]],TableSPUCCONMS[],7,FALSE),"")</f>
        <v/>
      </c>
      <c r="O43" s="88" t="str">
        <f>IFERROR(VLOOKUP(TableHandbook[[#This Row],[UDC]],TableSPUCDIGDE[],7,FALSE),"")</f>
        <v/>
      </c>
      <c r="P43" s="88" t="str">
        <f>IFERROR(VLOOKUP(TableHandbook[[#This Row],[UDC]],TableSPUCDSGNV[],7,FALSE),"")</f>
        <v/>
      </c>
      <c r="Q43" s="88" t="str">
        <f>IFERROR(VLOOKUP(TableHandbook[[#This Row],[UDC]],TableSPUCGRPDS[],7,FALSE),"")</f>
        <v/>
      </c>
      <c r="R43" s="88" t="str">
        <f>IFERROR(VLOOKUP(TableHandbook[[#This Row],[UDC]],TableSPUCPHOTO[],7,FALSE),"")</f>
        <v/>
      </c>
      <c r="S43" s="88" t="str">
        <f>IFERROR(VLOOKUP(TableHandbook[[#This Row],[UDC]],TableSPUCPRINP[],7,FALSE),"")</f>
        <v/>
      </c>
      <c r="T43" s="88" t="str">
        <f>IFERROR(VLOOKUP(TableHandbook[[#This Row],[UDC]],TableSPUCURDES[],7,FALSE),"")</f>
        <v/>
      </c>
      <c r="U43" s="88" t="str">
        <f>IFERROR(VLOOKUP(TableHandbook[[#This Row],[UDC]],TableSPUEARCHT[],7,FALSE),"")</f>
        <v/>
      </c>
    </row>
    <row r="44" spans="1:21" x14ac:dyDescent="0.25">
      <c r="A44" s="6" t="s">
        <v>72</v>
      </c>
      <c r="B44" s="7">
        <v>4</v>
      </c>
      <c r="C44" s="6"/>
      <c r="D44" s="6" t="s">
        <v>231</v>
      </c>
      <c r="E44" s="7">
        <v>25</v>
      </c>
      <c r="F44" s="67" t="s">
        <v>46</v>
      </c>
      <c r="G44" s="47" t="str">
        <f>IFERROR(IF(VLOOKUP(TableHandbook[[#This Row],[UDC]],TableAvailabilities,2,FALSE)&gt;0,"Y",""),"")</f>
        <v/>
      </c>
      <c r="H44" s="48" t="str">
        <f>IFERROR(IF(VLOOKUP(TableHandbook[[#This Row],[UDC]],TableAvailabilities,3,FALSE)&gt;0,"Y",""),"")</f>
        <v/>
      </c>
      <c r="I44" s="49" t="str">
        <f>IFERROR(IF(VLOOKUP(TableHandbook[[#This Row],[UDC]],TableAvailabilities,4,FALSE)&gt;0,"Y",""),"")</f>
        <v>Y</v>
      </c>
      <c r="J44" s="50" t="str">
        <f>IFERROR(IF(VLOOKUP(TableHandbook[[#This Row],[UDC]],TableAvailabilities,5,FALSE)&gt;0,"Y",""),"")</f>
        <v/>
      </c>
      <c r="K44" s="12"/>
      <c r="L44" s="88" t="str">
        <f>IFERROR(VLOOKUP(TableHandbook[[#This Row],[UDC]],TableBHINARCH[],7,FALSE),"")</f>
        <v>Core</v>
      </c>
      <c r="M44" s="88" t="str">
        <f>IFERROR(VLOOKUP(TableHandbook[[#This Row],[UDC]],TableSPUCANGAD[],7,FALSE),"")</f>
        <v/>
      </c>
      <c r="N44" s="88" t="str">
        <f>IFERROR(VLOOKUP(TableHandbook[[#This Row],[UDC]],TableSPUCCONMS[],7,FALSE),"")</f>
        <v/>
      </c>
      <c r="O44" s="88" t="str">
        <f>IFERROR(VLOOKUP(TableHandbook[[#This Row],[UDC]],TableSPUCDIGDE[],7,FALSE),"")</f>
        <v/>
      </c>
      <c r="P44" s="88" t="str">
        <f>IFERROR(VLOOKUP(TableHandbook[[#This Row],[UDC]],TableSPUCDSGNV[],7,FALSE),"")</f>
        <v/>
      </c>
      <c r="Q44" s="88" t="str">
        <f>IFERROR(VLOOKUP(TableHandbook[[#This Row],[UDC]],TableSPUCGRPDS[],7,FALSE),"")</f>
        <v/>
      </c>
      <c r="R44" s="88" t="str">
        <f>IFERROR(VLOOKUP(TableHandbook[[#This Row],[UDC]],TableSPUCPHOTO[],7,FALSE),"")</f>
        <v/>
      </c>
      <c r="S44" s="88" t="str">
        <f>IFERROR(VLOOKUP(TableHandbook[[#This Row],[UDC]],TableSPUCPRINP[],7,FALSE),"")</f>
        <v/>
      </c>
      <c r="T44" s="88" t="str">
        <f>IFERROR(VLOOKUP(TableHandbook[[#This Row],[UDC]],TableSPUCURDES[],7,FALSE),"")</f>
        <v/>
      </c>
      <c r="U44" s="88" t="str">
        <f>IFERROR(VLOOKUP(TableHandbook[[#This Row],[UDC]],TableSPUEARCHT[],7,FALSE),"")</f>
        <v/>
      </c>
    </row>
    <row r="45" spans="1:21" x14ac:dyDescent="0.25">
      <c r="A45" s="6" t="s">
        <v>74</v>
      </c>
      <c r="B45" s="7">
        <v>1</v>
      </c>
      <c r="C45" s="6"/>
      <c r="D45" s="6" t="s">
        <v>232</v>
      </c>
      <c r="E45" s="7">
        <v>25</v>
      </c>
      <c r="F45" s="67" t="s">
        <v>182</v>
      </c>
      <c r="G45" s="47" t="str">
        <f>IFERROR(IF(VLOOKUP(TableHandbook[[#This Row],[UDC]],TableAvailabilities,2,FALSE)&gt;0,"Y",""),"")</f>
        <v>Y</v>
      </c>
      <c r="H45" s="48" t="str">
        <f>IFERROR(IF(VLOOKUP(TableHandbook[[#This Row],[UDC]],TableAvailabilities,3,FALSE)&gt;0,"Y",""),"")</f>
        <v/>
      </c>
      <c r="I45" s="49" t="str">
        <f>IFERROR(IF(VLOOKUP(TableHandbook[[#This Row],[UDC]],TableAvailabilities,4,FALSE)&gt;0,"Y",""),"")</f>
        <v/>
      </c>
      <c r="J45" s="50" t="str">
        <f>IFERROR(IF(VLOOKUP(TableHandbook[[#This Row],[UDC]],TableAvailabilities,5,FALSE)&gt;0,"Y",""),"")</f>
        <v/>
      </c>
      <c r="K45" s="12"/>
      <c r="L45" s="88" t="str">
        <f>IFERROR(VLOOKUP(TableHandbook[[#This Row],[UDC]],TableBHINARCH[],7,FALSE),"")</f>
        <v>Core</v>
      </c>
      <c r="M45" s="88" t="str">
        <f>IFERROR(VLOOKUP(TableHandbook[[#This Row],[UDC]],TableSPUCANGAD[],7,FALSE),"")</f>
        <v/>
      </c>
      <c r="N45" s="88" t="str">
        <f>IFERROR(VLOOKUP(TableHandbook[[#This Row],[UDC]],TableSPUCCONMS[],7,FALSE),"")</f>
        <v/>
      </c>
      <c r="O45" s="88" t="str">
        <f>IFERROR(VLOOKUP(TableHandbook[[#This Row],[UDC]],TableSPUCDIGDE[],7,FALSE),"")</f>
        <v/>
      </c>
      <c r="P45" s="88" t="str">
        <f>IFERROR(VLOOKUP(TableHandbook[[#This Row],[UDC]],TableSPUCDSGNV[],7,FALSE),"")</f>
        <v/>
      </c>
      <c r="Q45" s="88" t="str">
        <f>IFERROR(VLOOKUP(TableHandbook[[#This Row],[UDC]],TableSPUCGRPDS[],7,FALSE),"")</f>
        <v/>
      </c>
      <c r="R45" s="88" t="str">
        <f>IFERROR(VLOOKUP(TableHandbook[[#This Row],[UDC]],TableSPUCPHOTO[],7,FALSE),"")</f>
        <v/>
      </c>
      <c r="S45" s="88" t="str">
        <f>IFERROR(VLOOKUP(TableHandbook[[#This Row],[UDC]],TableSPUCPRINP[],7,FALSE),"")</f>
        <v/>
      </c>
      <c r="T45" s="88" t="str">
        <f>IFERROR(VLOOKUP(TableHandbook[[#This Row],[UDC]],TableSPUCURDES[],7,FALSE),"")</f>
        <v/>
      </c>
      <c r="U45" s="88" t="str">
        <f>IFERROR(VLOOKUP(TableHandbook[[#This Row],[UDC]],TableSPUEARCHT[],7,FALSE),"")</f>
        <v/>
      </c>
    </row>
    <row r="46" spans="1:21" x14ac:dyDescent="0.25">
      <c r="A46" s="6" t="s">
        <v>92</v>
      </c>
      <c r="B46" s="7">
        <v>1</v>
      </c>
      <c r="C46" s="6"/>
      <c r="D46" s="6" t="s">
        <v>233</v>
      </c>
      <c r="E46" s="7">
        <v>25</v>
      </c>
      <c r="F46" s="67" t="s">
        <v>182</v>
      </c>
      <c r="G46" s="47" t="str">
        <f>IFERROR(IF(VLOOKUP(TableHandbook[[#This Row],[UDC]],TableAvailabilities,2,FALSE)&gt;0,"Y",""),"")</f>
        <v/>
      </c>
      <c r="H46" s="48" t="str">
        <f>IFERROR(IF(VLOOKUP(TableHandbook[[#This Row],[UDC]],TableAvailabilities,3,FALSE)&gt;0,"Y",""),"")</f>
        <v/>
      </c>
      <c r="I46" s="49" t="str">
        <f>IFERROR(IF(VLOOKUP(TableHandbook[[#This Row],[UDC]],TableAvailabilities,4,FALSE)&gt;0,"Y",""),"")</f>
        <v/>
      </c>
      <c r="J46" s="50" t="str">
        <f>IFERROR(IF(VLOOKUP(TableHandbook[[#This Row],[UDC]],TableAvailabilities,5,FALSE)&gt;0,"Y",""),"")</f>
        <v/>
      </c>
      <c r="K46" s="12"/>
      <c r="L46" s="88" t="str">
        <f>IFERROR(VLOOKUP(TableHandbook[[#This Row],[UDC]],TableBHINARCH[],7,FALSE),"")</f>
        <v>Core</v>
      </c>
      <c r="M46" s="88" t="str">
        <f>IFERROR(VLOOKUP(TableHandbook[[#This Row],[UDC]],TableSPUCANGAD[],7,FALSE),"")</f>
        <v/>
      </c>
      <c r="N46" s="88" t="str">
        <f>IFERROR(VLOOKUP(TableHandbook[[#This Row],[UDC]],TableSPUCCONMS[],7,FALSE),"")</f>
        <v/>
      </c>
      <c r="O46" s="88" t="str">
        <f>IFERROR(VLOOKUP(TableHandbook[[#This Row],[UDC]],TableSPUCDIGDE[],7,FALSE),"")</f>
        <v/>
      </c>
      <c r="P46" s="88" t="str">
        <f>IFERROR(VLOOKUP(TableHandbook[[#This Row],[UDC]],TableSPUCDSGNV[],7,FALSE),"")</f>
        <v/>
      </c>
      <c r="Q46" s="88" t="str">
        <f>IFERROR(VLOOKUP(TableHandbook[[#This Row],[UDC]],TableSPUCGRPDS[],7,FALSE),"")</f>
        <v/>
      </c>
      <c r="R46" s="88" t="str">
        <f>IFERROR(VLOOKUP(TableHandbook[[#This Row],[UDC]],TableSPUCPHOTO[],7,FALSE),"")</f>
        <v/>
      </c>
      <c r="S46" s="88" t="str">
        <f>IFERROR(VLOOKUP(TableHandbook[[#This Row],[UDC]],TableSPUCPRINP[],7,FALSE),"")</f>
        <v/>
      </c>
      <c r="T46" s="88" t="str">
        <f>IFERROR(VLOOKUP(TableHandbook[[#This Row],[UDC]],TableSPUCURDES[],7,FALSE),"")</f>
        <v/>
      </c>
      <c r="U46" s="88" t="str">
        <f>IFERROR(VLOOKUP(TableHandbook[[#This Row],[UDC]],TableSPUEARCHT[],7,FALSE),"")</f>
        <v/>
      </c>
    </row>
    <row r="47" spans="1:21" x14ac:dyDescent="0.25">
      <c r="A47" s="6" t="s">
        <v>104</v>
      </c>
      <c r="B47" s="7">
        <v>4</v>
      </c>
      <c r="C47" s="6"/>
      <c r="D47" s="6" t="s">
        <v>234</v>
      </c>
      <c r="E47" s="7">
        <v>25</v>
      </c>
      <c r="F47" s="67" t="s">
        <v>235</v>
      </c>
      <c r="G47" s="47" t="str">
        <f>IFERROR(IF(VLOOKUP(TableHandbook[[#This Row],[UDC]],TableAvailabilities,2,FALSE)&gt;0,"Y",""),"")</f>
        <v/>
      </c>
      <c r="H47" s="48" t="str">
        <f>IFERROR(IF(VLOOKUP(TableHandbook[[#This Row],[UDC]],TableAvailabilities,3,FALSE)&gt;0,"Y",""),"")</f>
        <v/>
      </c>
      <c r="I47" s="49" t="str">
        <f>IFERROR(IF(VLOOKUP(TableHandbook[[#This Row],[UDC]],TableAvailabilities,4,FALSE)&gt;0,"Y",""),"")</f>
        <v/>
      </c>
      <c r="J47" s="50" t="str">
        <f>IFERROR(IF(VLOOKUP(TableHandbook[[#This Row],[UDC]],TableAvailabilities,5,FALSE)&gt;0,"Y",""),"")</f>
        <v/>
      </c>
      <c r="K47" s="12"/>
      <c r="L47" s="88" t="str">
        <f>IFERROR(VLOOKUP(TableHandbook[[#This Row],[UDC]],TableBHINARCH[],7,FALSE),"")</f>
        <v>Core</v>
      </c>
      <c r="M47" s="88" t="str">
        <f>IFERROR(VLOOKUP(TableHandbook[[#This Row],[UDC]],TableSPUCANGAD[],7,FALSE),"")</f>
        <v/>
      </c>
      <c r="N47" s="88" t="str">
        <f>IFERROR(VLOOKUP(TableHandbook[[#This Row],[UDC]],TableSPUCCONMS[],7,FALSE),"")</f>
        <v/>
      </c>
      <c r="O47" s="88" t="str">
        <f>IFERROR(VLOOKUP(TableHandbook[[#This Row],[UDC]],TableSPUCDIGDE[],7,FALSE),"")</f>
        <v/>
      </c>
      <c r="P47" s="88" t="str">
        <f>IFERROR(VLOOKUP(TableHandbook[[#This Row],[UDC]],TableSPUCDSGNV[],7,FALSE),"")</f>
        <v/>
      </c>
      <c r="Q47" s="88" t="str">
        <f>IFERROR(VLOOKUP(TableHandbook[[#This Row],[UDC]],TableSPUCGRPDS[],7,FALSE),"")</f>
        <v/>
      </c>
      <c r="R47" s="88" t="str">
        <f>IFERROR(VLOOKUP(TableHandbook[[#This Row],[UDC]],TableSPUCPHOTO[],7,FALSE),"")</f>
        <v/>
      </c>
      <c r="S47" s="88" t="str">
        <f>IFERROR(VLOOKUP(TableHandbook[[#This Row],[UDC]],TableSPUCPRINP[],7,FALSE),"")</f>
        <v/>
      </c>
      <c r="T47" s="88" t="str">
        <f>IFERROR(VLOOKUP(TableHandbook[[#This Row],[UDC]],TableSPUCURDES[],7,FALSE),"")</f>
        <v/>
      </c>
      <c r="U47" s="88" t="str">
        <f>IFERROR(VLOOKUP(TableHandbook[[#This Row],[UDC]],TableSPUEARCHT[],7,FALSE),"")</f>
        <v/>
      </c>
    </row>
    <row r="48" spans="1:21" x14ac:dyDescent="0.25">
      <c r="A48" s="6" t="s">
        <v>105</v>
      </c>
      <c r="B48" s="7">
        <v>4</v>
      </c>
      <c r="C48" s="6"/>
      <c r="D48" s="6" t="s">
        <v>236</v>
      </c>
      <c r="E48" s="7">
        <v>25</v>
      </c>
      <c r="F48" s="67" t="s">
        <v>235</v>
      </c>
      <c r="G48" s="47" t="str">
        <f>IFERROR(IF(VLOOKUP(TableHandbook[[#This Row],[UDC]],TableAvailabilities,2,FALSE)&gt;0,"Y",""),"")</f>
        <v/>
      </c>
      <c r="H48" s="48" t="str">
        <f>IFERROR(IF(VLOOKUP(TableHandbook[[#This Row],[UDC]],TableAvailabilities,3,FALSE)&gt;0,"Y",""),"")</f>
        <v/>
      </c>
      <c r="I48" s="49" t="str">
        <f>IFERROR(IF(VLOOKUP(TableHandbook[[#This Row],[UDC]],TableAvailabilities,4,FALSE)&gt;0,"Y",""),"")</f>
        <v/>
      </c>
      <c r="J48" s="50" t="str">
        <f>IFERROR(IF(VLOOKUP(TableHandbook[[#This Row],[UDC]],TableAvailabilities,5,FALSE)&gt;0,"Y",""),"")</f>
        <v/>
      </c>
      <c r="K48" s="12"/>
      <c r="L48" s="88" t="str">
        <f>IFERROR(VLOOKUP(TableHandbook[[#This Row],[UDC]],TableBHINARCH[],7,FALSE),"")</f>
        <v>Core</v>
      </c>
      <c r="M48" s="88" t="str">
        <f>IFERROR(VLOOKUP(TableHandbook[[#This Row],[UDC]],TableSPUCANGAD[],7,FALSE),"")</f>
        <v/>
      </c>
      <c r="N48" s="88" t="str">
        <f>IFERROR(VLOOKUP(TableHandbook[[#This Row],[UDC]],TableSPUCCONMS[],7,FALSE),"")</f>
        <v/>
      </c>
      <c r="O48" s="88" t="str">
        <f>IFERROR(VLOOKUP(TableHandbook[[#This Row],[UDC]],TableSPUCDIGDE[],7,FALSE),"")</f>
        <v/>
      </c>
      <c r="P48" s="88" t="str">
        <f>IFERROR(VLOOKUP(TableHandbook[[#This Row],[UDC]],TableSPUCDSGNV[],7,FALSE),"")</f>
        <v/>
      </c>
      <c r="Q48" s="88" t="str">
        <f>IFERROR(VLOOKUP(TableHandbook[[#This Row],[UDC]],TableSPUCGRPDS[],7,FALSE),"")</f>
        <v/>
      </c>
      <c r="R48" s="88" t="str">
        <f>IFERROR(VLOOKUP(TableHandbook[[#This Row],[UDC]],TableSPUCPHOTO[],7,FALSE),"")</f>
        <v/>
      </c>
      <c r="S48" s="88" t="str">
        <f>IFERROR(VLOOKUP(TableHandbook[[#This Row],[UDC]],TableSPUCPRINP[],7,FALSE),"")</f>
        <v/>
      </c>
      <c r="T48" s="88" t="str">
        <f>IFERROR(VLOOKUP(TableHandbook[[#This Row],[UDC]],TableSPUCURDES[],7,FALSE),"")</f>
        <v/>
      </c>
      <c r="U48" s="88" t="str">
        <f>IFERROR(VLOOKUP(TableHandbook[[#This Row],[UDC]],TableSPUEARCHT[],7,FALSE),"")</f>
        <v/>
      </c>
    </row>
    <row r="49" spans="1:21" x14ac:dyDescent="0.25">
      <c r="A49" s="6" t="s">
        <v>98</v>
      </c>
      <c r="B49" s="7">
        <v>1</v>
      </c>
      <c r="C49" s="6"/>
      <c r="D49" s="6" t="s">
        <v>237</v>
      </c>
      <c r="E49" s="7">
        <v>25</v>
      </c>
      <c r="F49" s="67" t="s">
        <v>182</v>
      </c>
      <c r="G49" s="47" t="str">
        <f>IFERROR(IF(VLOOKUP(TableHandbook[[#This Row],[UDC]],TableAvailabilities,2,FALSE)&gt;0,"Y",""),"")</f>
        <v/>
      </c>
      <c r="H49" s="48" t="str">
        <f>IFERROR(IF(VLOOKUP(TableHandbook[[#This Row],[UDC]],TableAvailabilities,3,FALSE)&gt;0,"Y",""),"")</f>
        <v/>
      </c>
      <c r="I49" s="49" t="str">
        <f>IFERROR(IF(VLOOKUP(TableHandbook[[#This Row],[UDC]],TableAvailabilities,4,FALSE)&gt;0,"Y",""),"")</f>
        <v/>
      </c>
      <c r="J49" s="50" t="str">
        <f>IFERROR(IF(VLOOKUP(TableHandbook[[#This Row],[UDC]],TableAvailabilities,5,FALSE)&gt;0,"Y",""),"")</f>
        <v/>
      </c>
      <c r="K49" s="12" t="s">
        <v>238</v>
      </c>
      <c r="L49" s="88" t="str">
        <f>IFERROR(VLOOKUP(TableHandbook[[#This Row],[UDC]],TableBHINARCH[],7,FALSE),"")</f>
        <v>Core</v>
      </c>
      <c r="M49" s="88" t="str">
        <f>IFERROR(VLOOKUP(TableHandbook[[#This Row],[UDC]],TableSPUCANGAD[],7,FALSE),"")</f>
        <v/>
      </c>
      <c r="N49" s="88" t="str">
        <f>IFERROR(VLOOKUP(TableHandbook[[#This Row],[UDC]],TableSPUCCONMS[],7,FALSE),"")</f>
        <v/>
      </c>
      <c r="O49" s="88" t="str">
        <f>IFERROR(VLOOKUP(TableHandbook[[#This Row],[UDC]],TableSPUCDIGDE[],7,FALSE),"")</f>
        <v/>
      </c>
      <c r="P49" s="88" t="str">
        <f>IFERROR(VLOOKUP(TableHandbook[[#This Row],[UDC]],TableSPUCDSGNV[],7,FALSE),"")</f>
        <v/>
      </c>
      <c r="Q49" s="88" t="str">
        <f>IFERROR(VLOOKUP(TableHandbook[[#This Row],[UDC]],TableSPUCGRPDS[],7,FALSE),"")</f>
        <v/>
      </c>
      <c r="R49" s="88" t="str">
        <f>IFERROR(VLOOKUP(TableHandbook[[#This Row],[UDC]],TableSPUCPHOTO[],7,FALSE),"")</f>
        <v/>
      </c>
      <c r="S49" s="88" t="str">
        <f>IFERROR(VLOOKUP(TableHandbook[[#This Row],[UDC]],TableSPUCPRINP[],7,FALSE),"")</f>
        <v/>
      </c>
      <c r="T49" s="88" t="str">
        <f>IFERROR(VLOOKUP(TableHandbook[[#This Row],[UDC]],TableSPUCURDES[],7,FALSE),"")</f>
        <v/>
      </c>
      <c r="U49" s="88" t="str">
        <f>IFERROR(VLOOKUP(TableHandbook[[#This Row],[UDC]],TableSPUEARCHT[],7,FALSE),"")</f>
        <v/>
      </c>
    </row>
    <row r="50" spans="1:21" x14ac:dyDescent="0.25">
      <c r="A50" s="6" t="s">
        <v>101</v>
      </c>
      <c r="B50" s="91">
        <v>1</v>
      </c>
      <c r="C50" s="5"/>
      <c r="D50" s="5" t="s">
        <v>239</v>
      </c>
      <c r="E50" s="7">
        <v>25</v>
      </c>
      <c r="F50" s="67" t="s">
        <v>240</v>
      </c>
      <c r="G50" s="47" t="str">
        <f>IFERROR(IF(VLOOKUP(TableHandbook[[#This Row],[UDC]],TableAvailabilities,2,FALSE)&gt;0,"Y",""),"")</f>
        <v/>
      </c>
      <c r="H50" s="48" t="str">
        <f>IFERROR(IF(VLOOKUP(TableHandbook[[#This Row],[UDC]],TableAvailabilities,3,FALSE)&gt;0,"Y",""),"")</f>
        <v/>
      </c>
      <c r="I50" s="49" t="str">
        <f>IFERROR(IF(VLOOKUP(TableHandbook[[#This Row],[UDC]],TableAvailabilities,4,FALSE)&gt;0,"Y",""),"")</f>
        <v/>
      </c>
      <c r="J50" s="50" t="str">
        <f>IFERROR(IF(VLOOKUP(TableHandbook[[#This Row],[UDC]],TableAvailabilities,5,FALSE)&gt;0,"Y",""),"")</f>
        <v/>
      </c>
      <c r="K50" s="12" t="s">
        <v>241</v>
      </c>
      <c r="L50" s="88" t="str">
        <f>IFERROR(VLOOKUP(TableHandbook[[#This Row],[UDC]],TableBHINARCH[],7,FALSE),"")</f>
        <v>Core</v>
      </c>
      <c r="M50" s="88" t="str">
        <f>IFERROR(VLOOKUP(TableHandbook[[#This Row],[UDC]],TableSPUCANGAD[],7,FALSE),"")</f>
        <v/>
      </c>
      <c r="N50" s="88" t="str">
        <f>IFERROR(VLOOKUP(TableHandbook[[#This Row],[UDC]],TableSPUCCONMS[],7,FALSE),"")</f>
        <v/>
      </c>
      <c r="O50" s="88" t="str">
        <f>IFERROR(VLOOKUP(TableHandbook[[#This Row],[UDC]],TableSPUCDIGDE[],7,FALSE),"")</f>
        <v/>
      </c>
      <c r="P50" s="88" t="str">
        <f>IFERROR(VLOOKUP(TableHandbook[[#This Row],[UDC]],TableSPUCDSGNV[],7,FALSE),"")</f>
        <v/>
      </c>
      <c r="Q50" s="88" t="str">
        <f>IFERROR(VLOOKUP(TableHandbook[[#This Row],[UDC]],TableSPUCGRPDS[],7,FALSE),"")</f>
        <v/>
      </c>
      <c r="R50" s="88" t="str">
        <f>IFERROR(VLOOKUP(TableHandbook[[#This Row],[UDC]],TableSPUCPHOTO[],7,FALSE),"")</f>
        <v/>
      </c>
      <c r="S50" s="88" t="str">
        <f>IFERROR(VLOOKUP(TableHandbook[[#This Row],[UDC]],TableSPUCPRINP[],7,FALSE),"")</f>
        <v/>
      </c>
      <c r="T50" s="88" t="str">
        <f>IFERROR(VLOOKUP(TableHandbook[[#This Row],[UDC]],TableSPUCURDES[],7,FALSE),"")</f>
        <v/>
      </c>
      <c r="U50" s="88" t="str">
        <f>IFERROR(VLOOKUP(TableHandbook[[#This Row],[UDC]],TableSPUEARCHT[],7,FALSE),"")</f>
        <v/>
      </c>
    </row>
    <row r="51" spans="1:21" x14ac:dyDescent="0.25">
      <c r="A51" s="6" t="s">
        <v>103</v>
      </c>
      <c r="B51" s="91">
        <v>1</v>
      </c>
      <c r="C51" s="5"/>
      <c r="D51" s="5" t="s">
        <v>242</v>
      </c>
      <c r="E51" s="7">
        <v>25</v>
      </c>
      <c r="F51" s="67" t="s">
        <v>240</v>
      </c>
      <c r="G51" s="47" t="str">
        <f>IFERROR(IF(VLOOKUP(TableHandbook[[#This Row],[UDC]],TableAvailabilities,2,FALSE)&gt;0,"Y",""),"")</f>
        <v/>
      </c>
      <c r="H51" s="48" t="str">
        <f>IFERROR(IF(VLOOKUP(TableHandbook[[#This Row],[UDC]],TableAvailabilities,3,FALSE)&gt;0,"Y",""),"")</f>
        <v/>
      </c>
      <c r="I51" s="49" t="str">
        <f>IFERROR(IF(VLOOKUP(TableHandbook[[#This Row],[UDC]],TableAvailabilities,4,FALSE)&gt;0,"Y",""),"")</f>
        <v/>
      </c>
      <c r="J51" s="50" t="str">
        <f>IFERROR(IF(VLOOKUP(TableHandbook[[#This Row],[UDC]],TableAvailabilities,5,FALSE)&gt;0,"Y",""),"")</f>
        <v/>
      </c>
      <c r="K51" s="12" t="s">
        <v>238</v>
      </c>
      <c r="L51" s="88" t="str">
        <f>IFERROR(VLOOKUP(TableHandbook[[#This Row],[UDC]],TableBHINARCH[],7,FALSE),"")</f>
        <v>Core</v>
      </c>
      <c r="M51" s="88" t="str">
        <f>IFERROR(VLOOKUP(TableHandbook[[#This Row],[UDC]],TableSPUCANGAD[],7,FALSE),"")</f>
        <v/>
      </c>
      <c r="N51" s="88" t="str">
        <f>IFERROR(VLOOKUP(TableHandbook[[#This Row],[UDC]],TableSPUCCONMS[],7,FALSE),"")</f>
        <v/>
      </c>
      <c r="O51" s="88" t="str">
        <f>IFERROR(VLOOKUP(TableHandbook[[#This Row],[UDC]],TableSPUCDIGDE[],7,FALSE),"")</f>
        <v/>
      </c>
      <c r="P51" s="88" t="str">
        <f>IFERROR(VLOOKUP(TableHandbook[[#This Row],[UDC]],TableSPUCDSGNV[],7,FALSE),"")</f>
        <v/>
      </c>
      <c r="Q51" s="88" t="str">
        <f>IFERROR(VLOOKUP(TableHandbook[[#This Row],[UDC]],TableSPUCGRPDS[],7,FALSE),"")</f>
        <v/>
      </c>
      <c r="R51" s="88" t="str">
        <f>IFERROR(VLOOKUP(TableHandbook[[#This Row],[UDC]],TableSPUCPHOTO[],7,FALSE),"")</f>
        <v/>
      </c>
      <c r="S51" s="88" t="str">
        <f>IFERROR(VLOOKUP(TableHandbook[[#This Row],[UDC]],TableSPUCPRINP[],7,FALSE),"")</f>
        <v/>
      </c>
      <c r="T51" s="88" t="str">
        <f>IFERROR(VLOOKUP(TableHandbook[[#This Row],[UDC]],TableSPUCURDES[],7,FALSE),"")</f>
        <v/>
      </c>
      <c r="U51" s="88" t="str">
        <f>IFERROR(VLOOKUP(TableHandbook[[#This Row],[UDC]],TableSPUEARCHT[],7,FALSE),"")</f>
        <v/>
      </c>
    </row>
    <row r="52" spans="1:21" x14ac:dyDescent="0.25">
      <c r="A52" s="6" t="s">
        <v>107</v>
      </c>
      <c r="B52" s="91">
        <v>1</v>
      </c>
      <c r="C52" s="5"/>
      <c r="D52" s="5" t="s">
        <v>243</v>
      </c>
      <c r="E52" s="7">
        <v>25</v>
      </c>
      <c r="F52" s="67" t="s">
        <v>244</v>
      </c>
      <c r="G52" s="47" t="str">
        <f>IFERROR(IF(VLOOKUP(TableHandbook[[#This Row],[UDC]],TableAvailabilities,2,FALSE)&gt;0,"Y",""),"")</f>
        <v/>
      </c>
      <c r="H52" s="48" t="str">
        <f>IFERROR(IF(VLOOKUP(TableHandbook[[#This Row],[UDC]],TableAvailabilities,3,FALSE)&gt;0,"Y",""),"")</f>
        <v/>
      </c>
      <c r="I52" s="49" t="str">
        <f>IFERROR(IF(VLOOKUP(TableHandbook[[#This Row],[UDC]],TableAvailabilities,4,FALSE)&gt;0,"Y",""),"")</f>
        <v/>
      </c>
      <c r="J52" s="50" t="str">
        <f>IFERROR(IF(VLOOKUP(TableHandbook[[#This Row],[UDC]],TableAvailabilities,5,FALSE)&gt;0,"Y",""),"")</f>
        <v/>
      </c>
      <c r="K52" s="12" t="s">
        <v>241</v>
      </c>
      <c r="L52" s="88" t="str">
        <f>IFERROR(VLOOKUP(TableHandbook[[#This Row],[UDC]],TableBHINARCH[],7,FALSE),"")</f>
        <v>Core</v>
      </c>
      <c r="M52" s="88" t="str">
        <f>IFERROR(VLOOKUP(TableHandbook[[#This Row],[UDC]],TableSPUCANGAD[],7,FALSE),"")</f>
        <v/>
      </c>
      <c r="N52" s="88" t="str">
        <f>IFERROR(VLOOKUP(TableHandbook[[#This Row],[UDC]],TableSPUCCONMS[],7,FALSE),"")</f>
        <v/>
      </c>
      <c r="O52" s="88" t="str">
        <f>IFERROR(VLOOKUP(TableHandbook[[#This Row],[UDC]],TableSPUCDIGDE[],7,FALSE),"")</f>
        <v/>
      </c>
      <c r="P52" s="88" t="str">
        <f>IFERROR(VLOOKUP(TableHandbook[[#This Row],[UDC]],TableSPUCDSGNV[],7,FALSE),"")</f>
        <v/>
      </c>
      <c r="Q52" s="88" t="str">
        <f>IFERROR(VLOOKUP(TableHandbook[[#This Row],[UDC]],TableSPUCGRPDS[],7,FALSE),"")</f>
        <v/>
      </c>
      <c r="R52" s="88" t="str">
        <f>IFERROR(VLOOKUP(TableHandbook[[#This Row],[UDC]],TableSPUCPHOTO[],7,FALSE),"")</f>
        <v/>
      </c>
      <c r="S52" s="88" t="str">
        <f>IFERROR(VLOOKUP(TableHandbook[[#This Row],[UDC]],TableSPUCPRINP[],7,FALSE),"")</f>
        <v/>
      </c>
      <c r="T52" s="88" t="str">
        <f>IFERROR(VLOOKUP(TableHandbook[[#This Row],[UDC]],TableSPUCURDES[],7,FALSE),"")</f>
        <v/>
      </c>
      <c r="U52" s="88" t="str">
        <f>IFERROR(VLOOKUP(TableHandbook[[#This Row],[UDC]],TableSPUEARCHT[],7,FALSE),"")</f>
        <v/>
      </c>
    </row>
    <row r="53" spans="1:21" x14ac:dyDescent="0.25">
      <c r="A53" s="6" t="s">
        <v>109</v>
      </c>
      <c r="B53" s="91">
        <v>1</v>
      </c>
      <c r="C53" s="5"/>
      <c r="D53" s="5" t="s">
        <v>245</v>
      </c>
      <c r="E53" s="7">
        <v>25</v>
      </c>
      <c r="F53" s="67" t="s">
        <v>95</v>
      </c>
      <c r="G53" s="47" t="str">
        <f>IFERROR(IF(VLOOKUP(TableHandbook[[#This Row],[UDC]],TableAvailabilities,2,FALSE)&gt;0,"Y",""),"")</f>
        <v/>
      </c>
      <c r="H53" s="48" t="str">
        <f>IFERROR(IF(VLOOKUP(TableHandbook[[#This Row],[UDC]],TableAvailabilities,3,FALSE)&gt;0,"Y",""),"")</f>
        <v/>
      </c>
      <c r="I53" s="49" t="str">
        <f>IFERROR(IF(VLOOKUP(TableHandbook[[#This Row],[UDC]],TableAvailabilities,4,FALSE)&gt;0,"Y",""),"")</f>
        <v/>
      </c>
      <c r="J53" s="50" t="str">
        <f>IFERROR(IF(VLOOKUP(TableHandbook[[#This Row],[UDC]],TableAvailabilities,5,FALSE)&gt;0,"Y",""),"")</f>
        <v/>
      </c>
      <c r="K53" s="12" t="s">
        <v>238</v>
      </c>
      <c r="L53" s="88" t="str">
        <f>IFERROR(VLOOKUP(TableHandbook[[#This Row],[UDC]],TableBHINARCH[],7,FALSE),"")</f>
        <v>Core</v>
      </c>
      <c r="M53" s="88" t="str">
        <f>IFERROR(VLOOKUP(TableHandbook[[#This Row],[UDC]],TableSPUCANGAD[],7,FALSE),"")</f>
        <v/>
      </c>
      <c r="N53" s="88" t="str">
        <f>IFERROR(VLOOKUP(TableHandbook[[#This Row],[UDC]],TableSPUCCONMS[],7,FALSE),"")</f>
        <v/>
      </c>
      <c r="O53" s="88" t="str">
        <f>IFERROR(VLOOKUP(TableHandbook[[#This Row],[UDC]],TableSPUCDIGDE[],7,FALSE),"")</f>
        <v/>
      </c>
      <c r="P53" s="88" t="str">
        <f>IFERROR(VLOOKUP(TableHandbook[[#This Row],[UDC]],TableSPUCDSGNV[],7,FALSE),"")</f>
        <v/>
      </c>
      <c r="Q53" s="88" t="str">
        <f>IFERROR(VLOOKUP(TableHandbook[[#This Row],[UDC]],TableSPUCGRPDS[],7,FALSE),"")</f>
        <v/>
      </c>
      <c r="R53" s="88" t="str">
        <f>IFERROR(VLOOKUP(TableHandbook[[#This Row],[UDC]],TableSPUCPHOTO[],7,FALSE),"")</f>
        <v/>
      </c>
      <c r="S53" s="88" t="str">
        <f>IFERROR(VLOOKUP(TableHandbook[[#This Row],[UDC]],TableSPUCPRINP[],7,FALSE),"")</f>
        <v/>
      </c>
      <c r="T53" s="88" t="str">
        <f>IFERROR(VLOOKUP(TableHandbook[[#This Row],[UDC]],TableSPUCURDES[],7,FALSE),"")</f>
        <v/>
      </c>
      <c r="U53" s="88" t="str">
        <f>IFERROR(VLOOKUP(TableHandbook[[#This Row],[UDC]],TableSPUEARCHT[],7,FALSE),"")</f>
        <v/>
      </c>
    </row>
    <row r="54" spans="1:21" x14ac:dyDescent="0.25">
      <c r="A54" s="6" t="s">
        <v>110</v>
      </c>
      <c r="B54" s="91">
        <v>1</v>
      </c>
      <c r="C54" s="5"/>
      <c r="D54" s="5" t="s">
        <v>246</v>
      </c>
      <c r="E54" s="7">
        <v>25</v>
      </c>
      <c r="F54" s="67" t="s">
        <v>182</v>
      </c>
      <c r="G54" s="47" t="str">
        <f>IFERROR(IF(VLOOKUP(TableHandbook[[#This Row],[UDC]],TableAvailabilities,2,FALSE)&gt;0,"Y",""),"")</f>
        <v/>
      </c>
      <c r="H54" s="48" t="str">
        <f>IFERROR(IF(VLOOKUP(TableHandbook[[#This Row],[UDC]],TableAvailabilities,3,FALSE)&gt;0,"Y",""),"")</f>
        <v/>
      </c>
      <c r="I54" s="49" t="str">
        <f>IFERROR(IF(VLOOKUP(TableHandbook[[#This Row],[UDC]],TableAvailabilities,4,FALSE)&gt;0,"Y",""),"")</f>
        <v/>
      </c>
      <c r="J54" s="50" t="str">
        <f>IFERROR(IF(VLOOKUP(TableHandbook[[#This Row],[UDC]],TableAvailabilities,5,FALSE)&gt;0,"Y",""),"")</f>
        <v/>
      </c>
      <c r="K54" s="12" t="s">
        <v>241</v>
      </c>
      <c r="L54" s="88" t="str">
        <f>IFERROR(VLOOKUP(TableHandbook[[#This Row],[UDC]],TableBHINARCH[],7,FALSE),"")</f>
        <v>Core</v>
      </c>
      <c r="M54" s="88" t="str">
        <f>IFERROR(VLOOKUP(TableHandbook[[#This Row],[UDC]],TableSPUCANGAD[],7,FALSE),"")</f>
        <v/>
      </c>
      <c r="N54" s="88" t="str">
        <f>IFERROR(VLOOKUP(TableHandbook[[#This Row],[UDC]],TableSPUCCONMS[],7,FALSE),"")</f>
        <v/>
      </c>
      <c r="O54" s="88" t="str">
        <f>IFERROR(VLOOKUP(TableHandbook[[#This Row],[UDC]],TableSPUCDIGDE[],7,FALSE),"")</f>
        <v/>
      </c>
      <c r="P54" s="88" t="str">
        <f>IFERROR(VLOOKUP(TableHandbook[[#This Row],[UDC]],TableSPUCDSGNV[],7,FALSE),"")</f>
        <v/>
      </c>
      <c r="Q54" s="88" t="str">
        <f>IFERROR(VLOOKUP(TableHandbook[[#This Row],[UDC]],TableSPUCGRPDS[],7,FALSE),"")</f>
        <v/>
      </c>
      <c r="R54" s="88" t="str">
        <f>IFERROR(VLOOKUP(TableHandbook[[#This Row],[UDC]],TableSPUCPHOTO[],7,FALSE),"")</f>
        <v/>
      </c>
      <c r="S54" s="88" t="str">
        <f>IFERROR(VLOOKUP(TableHandbook[[#This Row],[UDC]],TableSPUCPRINP[],7,FALSE),"")</f>
        <v/>
      </c>
      <c r="T54" s="88" t="str">
        <f>IFERROR(VLOOKUP(TableHandbook[[#This Row],[UDC]],TableSPUCURDES[],7,FALSE),"")</f>
        <v/>
      </c>
      <c r="U54" s="88" t="str">
        <f>IFERROR(VLOOKUP(TableHandbook[[#This Row],[UDC]],TableSPUEARCHT[],7,FALSE),"")</f>
        <v/>
      </c>
    </row>
    <row r="55" spans="1:21" x14ac:dyDescent="0.25">
      <c r="A55" s="6" t="s">
        <v>112</v>
      </c>
      <c r="B55" s="91">
        <v>1</v>
      </c>
      <c r="C55" s="5"/>
      <c r="D55" s="5" t="s">
        <v>247</v>
      </c>
      <c r="E55" s="7">
        <v>25</v>
      </c>
      <c r="F55" s="67" t="s">
        <v>244</v>
      </c>
      <c r="G55" s="47" t="str">
        <f>IFERROR(IF(VLOOKUP(TableHandbook[[#This Row],[UDC]],TableAvailabilities,2,FALSE)&gt;0,"Y",""),"")</f>
        <v/>
      </c>
      <c r="H55" s="48" t="str">
        <f>IFERROR(IF(VLOOKUP(TableHandbook[[#This Row],[UDC]],TableAvailabilities,3,FALSE)&gt;0,"Y",""),"")</f>
        <v/>
      </c>
      <c r="I55" s="49" t="str">
        <f>IFERROR(IF(VLOOKUP(TableHandbook[[#This Row],[UDC]],TableAvailabilities,4,FALSE)&gt;0,"Y",""),"")</f>
        <v/>
      </c>
      <c r="J55" s="50" t="str">
        <f>IFERROR(IF(VLOOKUP(TableHandbook[[#This Row],[UDC]],TableAvailabilities,5,FALSE)&gt;0,"Y",""),"")</f>
        <v/>
      </c>
      <c r="K55" s="12" t="s">
        <v>238</v>
      </c>
      <c r="L55" s="88" t="str">
        <f>IFERROR(VLOOKUP(TableHandbook[[#This Row],[UDC]],TableBHINARCH[],7,FALSE),"")</f>
        <v>Core</v>
      </c>
      <c r="M55" s="88" t="str">
        <f>IFERROR(VLOOKUP(TableHandbook[[#This Row],[UDC]],TableSPUCANGAD[],7,FALSE),"")</f>
        <v/>
      </c>
      <c r="N55" s="88" t="str">
        <f>IFERROR(VLOOKUP(TableHandbook[[#This Row],[UDC]],TableSPUCCONMS[],7,FALSE),"")</f>
        <v/>
      </c>
      <c r="O55" s="88" t="str">
        <f>IFERROR(VLOOKUP(TableHandbook[[#This Row],[UDC]],TableSPUCDIGDE[],7,FALSE),"")</f>
        <v/>
      </c>
      <c r="P55" s="88" t="str">
        <f>IFERROR(VLOOKUP(TableHandbook[[#This Row],[UDC]],TableSPUCDSGNV[],7,FALSE),"")</f>
        <v/>
      </c>
      <c r="Q55" s="88" t="str">
        <f>IFERROR(VLOOKUP(TableHandbook[[#This Row],[UDC]],TableSPUCGRPDS[],7,FALSE),"")</f>
        <v/>
      </c>
      <c r="R55" s="88" t="str">
        <f>IFERROR(VLOOKUP(TableHandbook[[#This Row],[UDC]],TableSPUCPHOTO[],7,FALSE),"")</f>
        <v/>
      </c>
      <c r="S55" s="88" t="str">
        <f>IFERROR(VLOOKUP(TableHandbook[[#This Row],[UDC]],TableSPUCPRINP[],7,FALSE),"")</f>
        <v/>
      </c>
      <c r="T55" s="88" t="str">
        <f>IFERROR(VLOOKUP(TableHandbook[[#This Row],[UDC]],TableSPUCURDES[],7,FALSE),"")</f>
        <v/>
      </c>
      <c r="U55" s="88" t="str">
        <f>IFERROR(VLOOKUP(TableHandbook[[#This Row],[UDC]],TableSPUEARCHT[],7,FALSE),"")</f>
        <v/>
      </c>
    </row>
    <row r="56" spans="1:21" ht="26.25" x14ac:dyDescent="0.25">
      <c r="A56" s="6" t="s">
        <v>113</v>
      </c>
      <c r="B56" s="91">
        <v>1</v>
      </c>
      <c r="C56" s="5"/>
      <c r="D56" s="5" t="s">
        <v>248</v>
      </c>
      <c r="E56" s="7">
        <v>50</v>
      </c>
      <c r="F56" s="67" t="s">
        <v>249</v>
      </c>
      <c r="G56" s="47" t="str">
        <f>IFERROR(IF(VLOOKUP(TableHandbook[[#This Row],[UDC]],TableAvailabilities,2,FALSE)&gt;0,"Y",""),"")</f>
        <v/>
      </c>
      <c r="H56" s="48" t="str">
        <f>IFERROR(IF(VLOOKUP(TableHandbook[[#This Row],[UDC]],TableAvailabilities,3,FALSE)&gt;0,"Y",""),"")</f>
        <v/>
      </c>
      <c r="I56" s="49" t="str">
        <f>IFERROR(IF(VLOOKUP(TableHandbook[[#This Row],[UDC]],TableAvailabilities,4,FALSE)&gt;0,"Y",""),"")</f>
        <v/>
      </c>
      <c r="J56" s="50" t="str">
        <f>IFERROR(IF(VLOOKUP(TableHandbook[[#This Row],[UDC]],TableAvailabilities,5,FALSE)&gt;0,"Y",""),"")</f>
        <v/>
      </c>
      <c r="K56" s="12" t="s">
        <v>250</v>
      </c>
      <c r="L56" s="88" t="str">
        <f>IFERROR(VLOOKUP(TableHandbook[[#This Row],[UDC]],TableBHINARCH[],7,FALSE),"")</f>
        <v>Core</v>
      </c>
      <c r="M56" s="88" t="str">
        <f>IFERROR(VLOOKUP(TableHandbook[[#This Row],[UDC]],TableSPUCANGAD[],7,FALSE),"")</f>
        <v/>
      </c>
      <c r="N56" s="88" t="str">
        <f>IFERROR(VLOOKUP(TableHandbook[[#This Row],[UDC]],TableSPUCCONMS[],7,FALSE),"")</f>
        <v/>
      </c>
      <c r="O56" s="88" t="str">
        <f>IFERROR(VLOOKUP(TableHandbook[[#This Row],[UDC]],TableSPUCDIGDE[],7,FALSE),"")</f>
        <v/>
      </c>
      <c r="P56" s="88" t="str">
        <f>IFERROR(VLOOKUP(TableHandbook[[#This Row],[UDC]],TableSPUCDSGNV[],7,FALSE),"")</f>
        <v/>
      </c>
      <c r="Q56" s="88" t="str">
        <f>IFERROR(VLOOKUP(TableHandbook[[#This Row],[UDC]],TableSPUCGRPDS[],7,FALSE),"")</f>
        <v/>
      </c>
      <c r="R56" s="88" t="str">
        <f>IFERROR(VLOOKUP(TableHandbook[[#This Row],[UDC]],TableSPUCPHOTO[],7,FALSE),"")</f>
        <v/>
      </c>
      <c r="S56" s="88" t="str">
        <f>IFERROR(VLOOKUP(TableHandbook[[#This Row],[UDC]],TableSPUCPRINP[],7,FALSE),"")</f>
        <v/>
      </c>
      <c r="T56" s="88" t="str">
        <f>IFERROR(VLOOKUP(TableHandbook[[#This Row],[UDC]],TableSPUCURDES[],7,FALSE),"")</f>
        <v/>
      </c>
      <c r="U56" s="88" t="str">
        <f>IFERROR(VLOOKUP(TableHandbook[[#This Row],[UDC]],TableSPUEARCHT[],7,FALSE),"")</f>
        <v/>
      </c>
    </row>
    <row r="57" spans="1:21" x14ac:dyDescent="0.25">
      <c r="A57" s="6" t="s">
        <v>116</v>
      </c>
      <c r="B57" s="91">
        <v>1</v>
      </c>
      <c r="C57" s="5"/>
      <c r="D57" s="5" t="s">
        <v>251</v>
      </c>
      <c r="E57" s="7">
        <v>50</v>
      </c>
      <c r="F57" s="67" t="s">
        <v>252</v>
      </c>
      <c r="G57" s="47" t="str">
        <f>IFERROR(IF(VLOOKUP(TableHandbook[[#This Row],[UDC]],TableAvailabilities,2,FALSE)&gt;0,"Y",""),"")</f>
        <v/>
      </c>
      <c r="H57" s="48" t="str">
        <f>IFERROR(IF(VLOOKUP(TableHandbook[[#This Row],[UDC]],TableAvailabilities,3,FALSE)&gt;0,"Y",""),"")</f>
        <v/>
      </c>
      <c r="I57" s="49" t="str">
        <f>IFERROR(IF(VLOOKUP(TableHandbook[[#This Row],[UDC]],TableAvailabilities,4,FALSE)&gt;0,"Y",""),"")</f>
        <v/>
      </c>
      <c r="J57" s="50" t="str">
        <f>IFERROR(IF(VLOOKUP(TableHandbook[[#This Row],[UDC]],TableAvailabilities,5,FALSE)&gt;0,"Y",""),"")</f>
        <v/>
      </c>
      <c r="K57" s="77" t="s">
        <v>253</v>
      </c>
      <c r="L57" s="88" t="str">
        <f>IFERROR(VLOOKUP(TableHandbook[[#This Row],[UDC]],TableBHINARCH[],7,FALSE),"")</f>
        <v>Core</v>
      </c>
      <c r="M57" s="88" t="str">
        <f>IFERROR(VLOOKUP(TableHandbook[[#This Row],[UDC]],TableSPUCANGAD[],7,FALSE),"")</f>
        <v/>
      </c>
      <c r="N57" s="88" t="str">
        <f>IFERROR(VLOOKUP(TableHandbook[[#This Row],[UDC]],TableSPUCCONMS[],7,FALSE),"")</f>
        <v/>
      </c>
      <c r="O57" s="88" t="str">
        <f>IFERROR(VLOOKUP(TableHandbook[[#This Row],[UDC]],TableSPUCDIGDE[],7,FALSE),"")</f>
        <v/>
      </c>
      <c r="P57" s="88" t="str">
        <f>IFERROR(VLOOKUP(TableHandbook[[#This Row],[UDC]],TableSPUCDSGNV[],7,FALSE),"")</f>
        <v/>
      </c>
      <c r="Q57" s="88" t="str">
        <f>IFERROR(VLOOKUP(TableHandbook[[#This Row],[UDC]],TableSPUCGRPDS[],7,FALSE),"")</f>
        <v/>
      </c>
      <c r="R57" s="88" t="str">
        <f>IFERROR(VLOOKUP(TableHandbook[[#This Row],[UDC]],TableSPUCPHOTO[],7,FALSE),"")</f>
        <v/>
      </c>
      <c r="S57" s="88" t="str">
        <f>IFERROR(VLOOKUP(TableHandbook[[#This Row],[UDC]],TableSPUCPRINP[],7,FALSE),"")</f>
        <v/>
      </c>
      <c r="T57" s="88" t="str">
        <f>IFERROR(VLOOKUP(TableHandbook[[#This Row],[UDC]],TableSPUCURDES[],7,FALSE),"")</f>
        <v/>
      </c>
      <c r="U57" s="88" t="str">
        <f>IFERROR(VLOOKUP(TableHandbook[[#This Row],[UDC]],TableSPUEARCHT[],7,FALSE),"")</f>
        <v/>
      </c>
    </row>
    <row r="58" spans="1:21" x14ac:dyDescent="0.25">
      <c r="A58" s="6" t="s">
        <v>158</v>
      </c>
      <c r="B58" s="7">
        <v>0</v>
      </c>
      <c r="C58" s="6"/>
      <c r="D58" s="6" t="s">
        <v>254</v>
      </c>
      <c r="E58" s="7"/>
      <c r="F58" s="67"/>
      <c r="G58" s="47" t="str">
        <f>IFERROR(IF(VLOOKUP(TableHandbook[[#This Row],[UDC]],TableAvailabilities,2,FALSE)&gt;0,"Y",""),"")</f>
        <v/>
      </c>
      <c r="H58" s="48" t="str">
        <f>IFERROR(IF(VLOOKUP(TableHandbook[[#This Row],[UDC]],TableAvailabilities,3,FALSE)&gt;0,"Y",""),"")</f>
        <v/>
      </c>
      <c r="I58" s="49" t="str">
        <f>IFERROR(IF(VLOOKUP(TableHandbook[[#This Row],[UDC]],TableAvailabilities,4,FALSE)&gt;0,"Y",""),"")</f>
        <v/>
      </c>
      <c r="J58" s="50" t="str">
        <f>IFERROR(IF(VLOOKUP(TableHandbook[[#This Row],[UDC]],TableAvailabilities,5,FALSE)&gt;0,"Y",""),"")</f>
        <v/>
      </c>
      <c r="K58" s="12"/>
      <c r="L58" s="88" t="str">
        <f>IFERROR(VLOOKUP(TableHandbook[[#This Row],[UDC]],TableBHINARCH[],7,FALSE),"")</f>
        <v/>
      </c>
      <c r="M58" s="88" t="str">
        <f>IFERROR(VLOOKUP(TableHandbook[[#This Row],[UDC]],TableSPUCANGAD[],7,FALSE),"")</f>
        <v/>
      </c>
      <c r="N58" s="88" t="str">
        <f>IFERROR(VLOOKUP(TableHandbook[[#This Row],[UDC]],TableSPUCCONMS[],7,FALSE),"")</f>
        <v/>
      </c>
      <c r="O58" s="88" t="str">
        <f>IFERROR(VLOOKUP(TableHandbook[[#This Row],[UDC]],TableSPUCDIGDE[],7,FALSE),"")</f>
        <v/>
      </c>
      <c r="P58" s="88" t="str">
        <f>IFERROR(VLOOKUP(TableHandbook[[#This Row],[UDC]],TableSPUCDSGNV[],7,FALSE),"")</f>
        <v/>
      </c>
      <c r="Q58" s="88" t="str">
        <f>IFERROR(VLOOKUP(TableHandbook[[#This Row],[UDC]],TableSPUCGRPDS[],7,FALSE),"")</f>
        <v/>
      </c>
      <c r="R58" s="88" t="str">
        <f>IFERROR(VLOOKUP(TableHandbook[[#This Row],[UDC]],TableSPUCPHOTO[],7,FALSE),"")</f>
        <v/>
      </c>
      <c r="S58" s="88" t="str">
        <f>IFERROR(VLOOKUP(TableHandbook[[#This Row],[UDC]],TableSPUCPRINP[],7,FALSE),"")</f>
        <v/>
      </c>
      <c r="T58" s="88" t="str">
        <f>IFERROR(VLOOKUP(TableHandbook[[#This Row],[UDC]],TableSPUCURDES[],7,FALSE),"")</f>
        <v/>
      </c>
      <c r="U58" s="88" t="str">
        <f>IFERROR(VLOOKUP(TableHandbook[[#This Row],[UDC]],TableSPUEARCHT[],7,FALSE),"")</f>
        <v>Option</v>
      </c>
    </row>
    <row r="59" spans="1:21" x14ac:dyDescent="0.25">
      <c r="A59" s="6" t="s">
        <v>59</v>
      </c>
      <c r="B59" s="7"/>
      <c r="C59" s="6"/>
      <c r="D59" s="6" t="s">
        <v>255</v>
      </c>
      <c r="E59" s="7">
        <v>25</v>
      </c>
      <c r="F59" s="67" t="s">
        <v>256</v>
      </c>
      <c r="G59" s="47" t="str">
        <f>IFERROR(IF(VLOOKUP(TableHandbook[[#This Row],[UDC]],TableAvailabilities,2,FALSE)&gt;0,"Y",""),"")</f>
        <v/>
      </c>
      <c r="H59" s="48" t="str">
        <f>IFERROR(IF(VLOOKUP(TableHandbook[[#This Row],[UDC]],TableAvailabilities,3,FALSE)&gt;0,"Y",""),"")</f>
        <v/>
      </c>
      <c r="I59" s="49" t="str">
        <f>IFERROR(IF(VLOOKUP(TableHandbook[[#This Row],[UDC]],TableAvailabilities,4,FALSE)&gt;0,"Y",""),"")</f>
        <v/>
      </c>
      <c r="J59" s="50" t="str">
        <f>IFERROR(IF(VLOOKUP(TableHandbook[[#This Row],[UDC]],TableAvailabilities,5,FALSE)&gt;0,"Y",""),"")</f>
        <v/>
      </c>
      <c r="K59" s="12"/>
      <c r="L59" s="88" t="str">
        <f>IFERROR(VLOOKUP(TableHandbook[[#This Row],[UDC]],TableBHINARCH[],7,FALSE),"")</f>
        <v/>
      </c>
      <c r="M59" s="88" t="str">
        <f>IFERROR(VLOOKUP(TableHandbook[[#This Row],[UDC]],TableSPUCANGAD[],7,FALSE),"")</f>
        <v/>
      </c>
      <c r="N59" s="88" t="str">
        <f>IFERROR(VLOOKUP(TableHandbook[[#This Row],[UDC]],TableSPUCCONMS[],7,FALSE),"")</f>
        <v/>
      </c>
      <c r="O59" s="88" t="str">
        <f>IFERROR(VLOOKUP(TableHandbook[[#This Row],[UDC]],TableSPUCDIGDE[],7,FALSE),"")</f>
        <v/>
      </c>
      <c r="P59" s="88" t="str">
        <f>IFERROR(VLOOKUP(TableHandbook[[#This Row],[UDC]],TableSPUCDSGNV[],7,FALSE),"")</f>
        <v/>
      </c>
      <c r="Q59" s="88" t="str">
        <f>IFERROR(VLOOKUP(TableHandbook[[#This Row],[UDC]],TableSPUCGRPDS[],7,FALSE),"")</f>
        <v/>
      </c>
      <c r="R59" s="88" t="str">
        <f>IFERROR(VLOOKUP(TableHandbook[[#This Row],[UDC]],TableSPUCPHOTO[],7,FALSE),"")</f>
        <v/>
      </c>
      <c r="S59" s="88" t="str">
        <f>IFERROR(VLOOKUP(TableHandbook[[#This Row],[UDC]],TableSPUCPRINP[],7,FALSE),"")</f>
        <v/>
      </c>
      <c r="T59" s="88" t="str">
        <f>IFERROR(VLOOKUP(TableHandbook[[#This Row],[UDC]],TableSPUCURDES[],7,FALSE),"")</f>
        <v/>
      </c>
      <c r="U59" s="88" t="str">
        <f>IFERROR(VLOOKUP(TableHandbook[[#This Row],[UDC]],TableSPUEARCHT[],7,FALSE),"")</f>
        <v/>
      </c>
    </row>
    <row r="60" spans="1:21" x14ac:dyDescent="0.25">
      <c r="A60" s="6" t="s">
        <v>257</v>
      </c>
      <c r="B60" s="7">
        <v>0</v>
      </c>
      <c r="C60" s="6"/>
      <c r="D60" s="6" t="s">
        <v>258</v>
      </c>
      <c r="E60" s="7">
        <v>100</v>
      </c>
      <c r="F60" s="67"/>
      <c r="G60" s="47" t="str">
        <f>IFERROR(IF(VLOOKUP(TableHandbook[[#This Row],[UDC]],TableAvailabilities,2,FALSE)&gt;0,"Y",""),"")</f>
        <v/>
      </c>
      <c r="H60" s="48" t="str">
        <f>IFERROR(IF(VLOOKUP(TableHandbook[[#This Row],[UDC]],TableAvailabilities,3,FALSE)&gt;0,"Y",""),"")</f>
        <v/>
      </c>
      <c r="I60" s="49" t="str">
        <f>IFERROR(IF(VLOOKUP(TableHandbook[[#This Row],[UDC]],TableAvailabilities,4,FALSE)&gt;0,"Y",""),"")</f>
        <v/>
      </c>
      <c r="J60" s="50" t="str">
        <f>IFERROR(IF(VLOOKUP(TableHandbook[[#This Row],[UDC]],TableAvailabilities,5,FALSE)&gt;0,"Y",""),"")</f>
        <v/>
      </c>
      <c r="K60" s="12"/>
      <c r="L60" s="88" t="str">
        <f>IFERROR(VLOOKUP(TableHandbook[[#This Row],[UDC]],TableBHINARCH[],7,FALSE),"")</f>
        <v>Option</v>
      </c>
      <c r="M60" s="88" t="str">
        <f>IFERROR(VLOOKUP(TableHandbook[[#This Row],[UDC]],TableSPUCANGAD[],7,FALSE),"")</f>
        <v/>
      </c>
      <c r="N60" s="88" t="str">
        <f>IFERROR(VLOOKUP(TableHandbook[[#This Row],[UDC]],TableSPUCCONMS[],7,FALSE),"")</f>
        <v/>
      </c>
      <c r="O60" s="88" t="str">
        <f>IFERROR(VLOOKUP(TableHandbook[[#This Row],[UDC]],TableSPUCDIGDE[],7,FALSE),"")</f>
        <v/>
      </c>
      <c r="P60" s="88" t="str">
        <f>IFERROR(VLOOKUP(TableHandbook[[#This Row],[UDC]],TableSPUCDSGNV[],7,FALSE),"")</f>
        <v/>
      </c>
      <c r="Q60" s="88" t="str">
        <f>IFERROR(VLOOKUP(TableHandbook[[#This Row],[UDC]],TableSPUCGRPDS[],7,FALSE),"")</f>
        <v/>
      </c>
      <c r="R60" s="88" t="str">
        <f>IFERROR(VLOOKUP(TableHandbook[[#This Row],[UDC]],TableSPUCPHOTO[],7,FALSE),"")</f>
        <v/>
      </c>
      <c r="S60" s="88" t="str">
        <f>IFERROR(VLOOKUP(TableHandbook[[#This Row],[UDC]],TableSPUCPRINP[],7,FALSE),"")</f>
        <v/>
      </c>
      <c r="T60" s="88" t="str">
        <f>IFERROR(VLOOKUP(TableHandbook[[#This Row],[UDC]],TableSPUCURDES[],7,FALSE),"")</f>
        <v/>
      </c>
      <c r="U60" s="88" t="str">
        <f>IFERROR(VLOOKUP(TableHandbook[[#This Row],[UDC]],TableSPUEARCHT[],7,FALSE),"")</f>
        <v/>
      </c>
    </row>
    <row r="61" spans="1:21" x14ac:dyDescent="0.25">
      <c r="A61" s="6" t="s">
        <v>78</v>
      </c>
      <c r="B61" s="7">
        <v>1</v>
      </c>
      <c r="C61" s="6"/>
      <c r="D61" s="6" t="s">
        <v>77</v>
      </c>
      <c r="E61" s="7">
        <v>100</v>
      </c>
      <c r="F61" s="67"/>
      <c r="G61" s="47" t="str">
        <f>IFERROR(IF(VLOOKUP(TableHandbook[[#This Row],[UDC]],TableAvailabilities,2,FALSE)&gt;0,"Y",""),"")</f>
        <v/>
      </c>
      <c r="H61" s="48" t="str">
        <f>IFERROR(IF(VLOOKUP(TableHandbook[[#This Row],[UDC]],TableAvailabilities,3,FALSE)&gt;0,"Y",""),"")</f>
        <v/>
      </c>
      <c r="I61" s="49" t="str">
        <f>IFERROR(IF(VLOOKUP(TableHandbook[[#This Row],[UDC]],TableAvailabilities,4,FALSE)&gt;0,"Y",""),"")</f>
        <v/>
      </c>
      <c r="J61" s="50" t="str">
        <f>IFERROR(IF(VLOOKUP(TableHandbook[[#This Row],[UDC]],TableAvailabilities,5,FALSE)&gt;0,"Y",""),"")</f>
        <v/>
      </c>
      <c r="K61" s="12"/>
      <c r="L61" s="88" t="str">
        <f>IFERROR(VLOOKUP(TableHandbook[[#This Row],[UDC]],TableBHINARCH[],7,FALSE),"")</f>
        <v>Option</v>
      </c>
      <c r="M61" s="88" t="str">
        <f>IFERROR(VLOOKUP(TableHandbook[[#This Row],[UDC]],TableSPUCANGAD[],7,FALSE),"")</f>
        <v/>
      </c>
      <c r="N61" s="88" t="str">
        <f>IFERROR(VLOOKUP(TableHandbook[[#This Row],[UDC]],TableSPUCCONMS[],7,FALSE),"")</f>
        <v/>
      </c>
      <c r="O61" s="88" t="str">
        <f>IFERROR(VLOOKUP(TableHandbook[[#This Row],[UDC]],TableSPUCDIGDE[],7,FALSE),"")</f>
        <v/>
      </c>
      <c r="P61" s="88" t="str">
        <f>IFERROR(VLOOKUP(TableHandbook[[#This Row],[UDC]],TableSPUCDSGNV[],7,FALSE),"")</f>
        <v/>
      </c>
      <c r="Q61" s="88" t="str">
        <f>IFERROR(VLOOKUP(TableHandbook[[#This Row],[UDC]],TableSPUCGRPDS[],7,FALSE),"")</f>
        <v/>
      </c>
      <c r="R61" s="88" t="str">
        <f>IFERROR(VLOOKUP(TableHandbook[[#This Row],[UDC]],TableSPUCPHOTO[],7,FALSE),"")</f>
        <v/>
      </c>
      <c r="S61" s="88" t="str">
        <f>IFERROR(VLOOKUP(TableHandbook[[#This Row],[UDC]],TableSPUCPRINP[],7,FALSE),"")</f>
        <v/>
      </c>
      <c r="T61" s="88" t="str">
        <f>IFERROR(VLOOKUP(TableHandbook[[#This Row],[UDC]],TableSPUCURDES[],7,FALSE),"")</f>
        <v/>
      </c>
      <c r="U61" s="88" t="str">
        <f>IFERROR(VLOOKUP(TableHandbook[[#This Row],[UDC]],TableSPUEARCHT[],7,FALSE),"")</f>
        <v/>
      </c>
    </row>
    <row r="62" spans="1:21" x14ac:dyDescent="0.25">
      <c r="A62" s="6" t="s">
        <v>83</v>
      </c>
      <c r="B62" s="7">
        <v>1</v>
      </c>
      <c r="C62" s="6"/>
      <c r="D62" s="6" t="s">
        <v>82</v>
      </c>
      <c r="E62" s="7">
        <v>100</v>
      </c>
      <c r="F62" s="67"/>
      <c r="G62" s="47" t="str">
        <f>IFERROR(IF(VLOOKUP(TableHandbook[[#This Row],[UDC]],TableAvailabilities,2,FALSE)&gt;0,"Y",""),"")</f>
        <v/>
      </c>
      <c r="H62" s="48" t="str">
        <f>IFERROR(IF(VLOOKUP(TableHandbook[[#This Row],[UDC]],TableAvailabilities,3,FALSE)&gt;0,"Y",""),"")</f>
        <v/>
      </c>
      <c r="I62" s="49" t="str">
        <f>IFERROR(IF(VLOOKUP(TableHandbook[[#This Row],[UDC]],TableAvailabilities,4,FALSE)&gt;0,"Y",""),"")</f>
        <v/>
      </c>
      <c r="J62" s="50" t="str">
        <f>IFERROR(IF(VLOOKUP(TableHandbook[[#This Row],[UDC]],TableAvailabilities,5,FALSE)&gt;0,"Y",""),"")</f>
        <v/>
      </c>
      <c r="K62" s="12"/>
      <c r="L62" s="88" t="str">
        <f>IFERROR(VLOOKUP(TableHandbook[[#This Row],[UDC]],TableBHINARCH[],7,FALSE),"")</f>
        <v>Option</v>
      </c>
      <c r="M62" s="88" t="str">
        <f>IFERROR(VLOOKUP(TableHandbook[[#This Row],[UDC]],TableSPUCANGAD[],7,FALSE),"")</f>
        <v/>
      </c>
      <c r="N62" s="88" t="str">
        <f>IFERROR(VLOOKUP(TableHandbook[[#This Row],[UDC]],TableSPUCCONMS[],7,FALSE),"")</f>
        <v/>
      </c>
      <c r="O62" s="88" t="str">
        <f>IFERROR(VLOOKUP(TableHandbook[[#This Row],[UDC]],TableSPUCDIGDE[],7,FALSE),"")</f>
        <v/>
      </c>
      <c r="P62" s="88" t="str">
        <f>IFERROR(VLOOKUP(TableHandbook[[#This Row],[UDC]],TableSPUCDSGNV[],7,FALSE),"")</f>
        <v/>
      </c>
      <c r="Q62" s="88" t="str">
        <f>IFERROR(VLOOKUP(TableHandbook[[#This Row],[UDC]],TableSPUCGRPDS[],7,FALSE),"")</f>
        <v/>
      </c>
      <c r="R62" s="88" t="str">
        <f>IFERROR(VLOOKUP(TableHandbook[[#This Row],[UDC]],TableSPUCPHOTO[],7,FALSE),"")</f>
        <v/>
      </c>
      <c r="S62" s="88" t="str">
        <f>IFERROR(VLOOKUP(TableHandbook[[#This Row],[UDC]],TableSPUCPRINP[],7,FALSE),"")</f>
        <v/>
      </c>
      <c r="T62" s="88" t="str">
        <f>IFERROR(VLOOKUP(TableHandbook[[#This Row],[UDC]],TableSPUCURDES[],7,FALSE),"")</f>
        <v/>
      </c>
      <c r="U62" s="88" t="str">
        <f>IFERROR(VLOOKUP(TableHandbook[[#This Row],[UDC]],TableSPUEARCHT[],7,FALSE),"")</f>
        <v/>
      </c>
    </row>
    <row r="63" spans="1:21" x14ac:dyDescent="0.25">
      <c r="A63" s="6" t="s">
        <v>87</v>
      </c>
      <c r="B63" s="7">
        <v>1</v>
      </c>
      <c r="C63" s="6"/>
      <c r="D63" s="6" t="s">
        <v>86</v>
      </c>
      <c r="E63" s="7">
        <v>100</v>
      </c>
      <c r="F63" s="67"/>
      <c r="G63" s="47" t="str">
        <f>IFERROR(IF(VLOOKUP(TableHandbook[[#This Row],[UDC]],TableAvailabilities,2,FALSE)&gt;0,"Y",""),"")</f>
        <v/>
      </c>
      <c r="H63" s="48" t="str">
        <f>IFERROR(IF(VLOOKUP(TableHandbook[[#This Row],[UDC]],TableAvailabilities,3,FALSE)&gt;0,"Y",""),"")</f>
        <v/>
      </c>
      <c r="I63" s="49" t="str">
        <f>IFERROR(IF(VLOOKUP(TableHandbook[[#This Row],[UDC]],TableAvailabilities,4,FALSE)&gt;0,"Y",""),"")</f>
        <v/>
      </c>
      <c r="J63" s="50" t="str">
        <f>IFERROR(IF(VLOOKUP(TableHandbook[[#This Row],[UDC]],TableAvailabilities,5,FALSE)&gt;0,"Y",""),"")</f>
        <v/>
      </c>
      <c r="K63" s="12"/>
      <c r="L63" s="88" t="str">
        <f>IFERROR(VLOOKUP(TableHandbook[[#This Row],[UDC]],TableBHINARCH[],7,FALSE),"")</f>
        <v>Option</v>
      </c>
      <c r="M63" s="88" t="str">
        <f>IFERROR(VLOOKUP(TableHandbook[[#This Row],[UDC]],TableSPUCANGAD[],7,FALSE),"")</f>
        <v/>
      </c>
      <c r="N63" s="88" t="str">
        <f>IFERROR(VLOOKUP(TableHandbook[[#This Row],[UDC]],TableSPUCCONMS[],7,FALSE),"")</f>
        <v/>
      </c>
      <c r="O63" s="88" t="str">
        <f>IFERROR(VLOOKUP(TableHandbook[[#This Row],[UDC]],TableSPUCDIGDE[],7,FALSE),"")</f>
        <v/>
      </c>
      <c r="P63" s="88" t="str">
        <f>IFERROR(VLOOKUP(TableHandbook[[#This Row],[UDC]],TableSPUCDSGNV[],7,FALSE),"")</f>
        <v/>
      </c>
      <c r="Q63" s="88" t="str">
        <f>IFERROR(VLOOKUP(TableHandbook[[#This Row],[UDC]],TableSPUCGRPDS[],7,FALSE),"")</f>
        <v/>
      </c>
      <c r="R63" s="88" t="str">
        <f>IFERROR(VLOOKUP(TableHandbook[[#This Row],[UDC]],TableSPUCPHOTO[],7,FALSE),"")</f>
        <v/>
      </c>
      <c r="S63" s="88" t="str">
        <f>IFERROR(VLOOKUP(TableHandbook[[#This Row],[UDC]],TableSPUCPRINP[],7,FALSE),"")</f>
        <v/>
      </c>
      <c r="T63" s="88" t="str">
        <f>IFERROR(VLOOKUP(TableHandbook[[#This Row],[UDC]],TableSPUCURDES[],7,FALSE),"")</f>
        <v/>
      </c>
      <c r="U63" s="88" t="str">
        <f>IFERROR(VLOOKUP(TableHandbook[[#This Row],[UDC]],TableSPUEARCHT[],7,FALSE),"")</f>
        <v/>
      </c>
    </row>
    <row r="64" spans="1:21" x14ac:dyDescent="0.25">
      <c r="A64" s="6" t="s">
        <v>85</v>
      </c>
      <c r="B64" s="7">
        <v>1</v>
      </c>
      <c r="C64" s="6"/>
      <c r="D64" s="6" t="s">
        <v>84</v>
      </c>
      <c r="E64" s="7">
        <v>100</v>
      </c>
      <c r="F64" s="67"/>
      <c r="G64" s="47" t="str">
        <f>IFERROR(IF(VLOOKUP(TableHandbook[[#This Row],[UDC]],TableAvailabilities,2,FALSE)&gt;0,"Y",""),"")</f>
        <v/>
      </c>
      <c r="H64" s="48" t="str">
        <f>IFERROR(IF(VLOOKUP(TableHandbook[[#This Row],[UDC]],TableAvailabilities,3,FALSE)&gt;0,"Y",""),"")</f>
        <v/>
      </c>
      <c r="I64" s="49" t="str">
        <f>IFERROR(IF(VLOOKUP(TableHandbook[[#This Row],[UDC]],TableAvailabilities,4,FALSE)&gt;0,"Y",""),"")</f>
        <v/>
      </c>
      <c r="J64" s="50" t="str">
        <f>IFERROR(IF(VLOOKUP(TableHandbook[[#This Row],[UDC]],TableAvailabilities,5,FALSE)&gt;0,"Y",""),"")</f>
        <v/>
      </c>
      <c r="K64" s="12"/>
      <c r="L64" s="88" t="str">
        <f>IFERROR(VLOOKUP(TableHandbook[[#This Row],[UDC]],TableBHINARCH[],7,FALSE),"")</f>
        <v>Option</v>
      </c>
      <c r="M64" s="88" t="str">
        <f>IFERROR(VLOOKUP(TableHandbook[[#This Row],[UDC]],TableSPUCANGAD[],7,FALSE),"")</f>
        <v/>
      </c>
      <c r="N64" s="88" t="str">
        <f>IFERROR(VLOOKUP(TableHandbook[[#This Row],[UDC]],TableSPUCCONMS[],7,FALSE),"")</f>
        <v/>
      </c>
      <c r="O64" s="88" t="str">
        <f>IFERROR(VLOOKUP(TableHandbook[[#This Row],[UDC]],TableSPUCDIGDE[],7,FALSE),"")</f>
        <v/>
      </c>
      <c r="P64" s="88" t="str">
        <f>IFERROR(VLOOKUP(TableHandbook[[#This Row],[UDC]],TableSPUCDSGNV[],7,FALSE),"")</f>
        <v/>
      </c>
      <c r="Q64" s="88" t="str">
        <f>IFERROR(VLOOKUP(TableHandbook[[#This Row],[UDC]],TableSPUCGRPDS[],7,FALSE),"")</f>
        <v/>
      </c>
      <c r="R64" s="88" t="str">
        <f>IFERROR(VLOOKUP(TableHandbook[[#This Row],[UDC]],TableSPUCPHOTO[],7,FALSE),"")</f>
        <v/>
      </c>
      <c r="S64" s="88" t="str">
        <f>IFERROR(VLOOKUP(TableHandbook[[#This Row],[UDC]],TableSPUCPRINP[],7,FALSE),"")</f>
        <v/>
      </c>
      <c r="T64" s="88" t="str">
        <f>IFERROR(VLOOKUP(TableHandbook[[#This Row],[UDC]],TableSPUCURDES[],7,FALSE),"")</f>
        <v/>
      </c>
      <c r="U64" s="88" t="str">
        <f>IFERROR(VLOOKUP(TableHandbook[[#This Row],[UDC]],TableSPUEARCHT[],7,FALSE),"")</f>
        <v/>
      </c>
    </row>
    <row r="65" spans="1:21" x14ac:dyDescent="0.25">
      <c r="A65" s="6" t="s">
        <v>91</v>
      </c>
      <c r="B65" s="7">
        <v>1</v>
      </c>
      <c r="C65" s="6"/>
      <c r="D65" s="6" t="s">
        <v>14</v>
      </c>
      <c r="E65" s="7">
        <v>100</v>
      </c>
      <c r="F65" s="67"/>
      <c r="G65" s="47" t="str">
        <f>IFERROR(IF(VLOOKUP(TableHandbook[[#This Row],[UDC]],TableAvailabilities,2,FALSE)&gt;0,"Y",""),"")</f>
        <v/>
      </c>
      <c r="H65" s="48" t="str">
        <f>IFERROR(IF(VLOOKUP(TableHandbook[[#This Row],[UDC]],TableAvailabilities,3,FALSE)&gt;0,"Y",""),"")</f>
        <v/>
      </c>
      <c r="I65" s="49" t="str">
        <f>IFERROR(IF(VLOOKUP(TableHandbook[[#This Row],[UDC]],TableAvailabilities,4,FALSE)&gt;0,"Y",""),"")</f>
        <v/>
      </c>
      <c r="J65" s="50" t="str">
        <f>IFERROR(IF(VLOOKUP(TableHandbook[[#This Row],[UDC]],TableAvailabilities,5,FALSE)&gt;0,"Y",""),"")</f>
        <v/>
      </c>
      <c r="K65" s="12"/>
      <c r="L65" s="88" t="str">
        <f>IFERROR(VLOOKUP(TableHandbook[[#This Row],[UDC]],TableBHINARCH[],7,FALSE),"")</f>
        <v>Option</v>
      </c>
      <c r="M65" s="88" t="str">
        <f>IFERROR(VLOOKUP(TableHandbook[[#This Row],[UDC]],TableSPUCANGAD[],7,FALSE),"")</f>
        <v/>
      </c>
      <c r="N65" s="88" t="str">
        <f>IFERROR(VLOOKUP(TableHandbook[[#This Row],[UDC]],TableSPUCCONMS[],7,FALSE),"")</f>
        <v/>
      </c>
      <c r="O65" s="88" t="str">
        <f>IFERROR(VLOOKUP(TableHandbook[[#This Row],[UDC]],TableSPUCDIGDE[],7,FALSE),"")</f>
        <v/>
      </c>
      <c r="P65" s="88" t="str">
        <f>IFERROR(VLOOKUP(TableHandbook[[#This Row],[UDC]],TableSPUCDSGNV[],7,FALSE),"")</f>
        <v/>
      </c>
      <c r="Q65" s="88" t="str">
        <f>IFERROR(VLOOKUP(TableHandbook[[#This Row],[UDC]],TableSPUCGRPDS[],7,FALSE),"")</f>
        <v/>
      </c>
      <c r="R65" s="88" t="str">
        <f>IFERROR(VLOOKUP(TableHandbook[[#This Row],[UDC]],TableSPUCPHOTO[],7,FALSE),"")</f>
        <v/>
      </c>
      <c r="S65" s="88" t="str">
        <f>IFERROR(VLOOKUP(TableHandbook[[#This Row],[UDC]],TableSPUCPRINP[],7,FALSE),"")</f>
        <v/>
      </c>
      <c r="T65" s="88" t="str">
        <f>IFERROR(VLOOKUP(TableHandbook[[#This Row],[UDC]],TableSPUCURDES[],7,FALSE),"")</f>
        <v/>
      </c>
      <c r="U65" s="88" t="str">
        <f>IFERROR(VLOOKUP(TableHandbook[[#This Row],[UDC]],TableSPUEARCHT[],7,FALSE),"")</f>
        <v/>
      </c>
    </row>
    <row r="66" spans="1:21" x14ac:dyDescent="0.25">
      <c r="A66" s="6" t="s">
        <v>94</v>
      </c>
      <c r="B66" s="7">
        <v>1</v>
      </c>
      <c r="C66" s="6"/>
      <c r="D66" s="6" t="s">
        <v>93</v>
      </c>
      <c r="E66" s="7">
        <v>100</v>
      </c>
      <c r="F66" s="67"/>
      <c r="G66" s="47" t="str">
        <f>IFERROR(IF(VLOOKUP(TableHandbook[[#This Row],[UDC]],TableAvailabilities,2,FALSE)&gt;0,"Y",""),"")</f>
        <v/>
      </c>
      <c r="H66" s="48" t="str">
        <f>IFERROR(IF(VLOOKUP(TableHandbook[[#This Row],[UDC]],TableAvailabilities,3,FALSE)&gt;0,"Y",""),"")</f>
        <v/>
      </c>
      <c r="I66" s="49" t="str">
        <f>IFERROR(IF(VLOOKUP(TableHandbook[[#This Row],[UDC]],TableAvailabilities,4,FALSE)&gt;0,"Y",""),"")</f>
        <v/>
      </c>
      <c r="J66" s="50" t="str">
        <f>IFERROR(IF(VLOOKUP(TableHandbook[[#This Row],[UDC]],TableAvailabilities,5,FALSE)&gt;0,"Y",""),"")</f>
        <v/>
      </c>
      <c r="K66" s="12"/>
      <c r="L66" s="88" t="str">
        <f>IFERROR(VLOOKUP(TableHandbook[[#This Row],[UDC]],TableBHINARCH[],7,FALSE),"")</f>
        <v>Option</v>
      </c>
      <c r="M66" s="88" t="str">
        <f>IFERROR(VLOOKUP(TableHandbook[[#This Row],[UDC]],TableSPUCANGAD[],7,FALSE),"")</f>
        <v/>
      </c>
      <c r="N66" s="88" t="str">
        <f>IFERROR(VLOOKUP(TableHandbook[[#This Row],[UDC]],TableSPUCCONMS[],7,FALSE),"")</f>
        <v/>
      </c>
      <c r="O66" s="88" t="str">
        <f>IFERROR(VLOOKUP(TableHandbook[[#This Row],[UDC]],TableSPUCDIGDE[],7,FALSE),"")</f>
        <v/>
      </c>
      <c r="P66" s="88" t="str">
        <f>IFERROR(VLOOKUP(TableHandbook[[#This Row],[UDC]],TableSPUCDSGNV[],7,FALSE),"")</f>
        <v/>
      </c>
      <c r="Q66" s="88" t="str">
        <f>IFERROR(VLOOKUP(TableHandbook[[#This Row],[UDC]],TableSPUCGRPDS[],7,FALSE),"")</f>
        <v/>
      </c>
      <c r="R66" s="88" t="str">
        <f>IFERROR(VLOOKUP(TableHandbook[[#This Row],[UDC]],TableSPUCPHOTO[],7,FALSE),"")</f>
        <v/>
      </c>
      <c r="S66" s="88" t="str">
        <f>IFERROR(VLOOKUP(TableHandbook[[#This Row],[UDC]],TableSPUCPRINP[],7,FALSE),"")</f>
        <v/>
      </c>
      <c r="T66" s="88" t="str">
        <f>IFERROR(VLOOKUP(TableHandbook[[#This Row],[UDC]],TableSPUCURDES[],7,FALSE),"")</f>
        <v/>
      </c>
      <c r="U66" s="88" t="str">
        <f>IFERROR(VLOOKUP(TableHandbook[[#This Row],[UDC]],TableSPUEARCHT[],7,FALSE),"")</f>
        <v/>
      </c>
    </row>
    <row r="67" spans="1:21" x14ac:dyDescent="0.25">
      <c r="A67" s="6" t="s">
        <v>97</v>
      </c>
      <c r="B67" s="7">
        <v>1</v>
      </c>
      <c r="C67" s="6"/>
      <c r="D67" s="6" t="s">
        <v>96</v>
      </c>
      <c r="E67" s="7">
        <v>100</v>
      </c>
      <c r="F67" s="67"/>
      <c r="G67" s="47" t="str">
        <f>IFERROR(IF(VLOOKUP(TableHandbook[[#This Row],[UDC]],TableAvailabilities,2,FALSE)&gt;0,"Y",""),"")</f>
        <v/>
      </c>
      <c r="H67" s="48" t="str">
        <f>IFERROR(IF(VLOOKUP(TableHandbook[[#This Row],[UDC]],TableAvailabilities,3,FALSE)&gt;0,"Y",""),"")</f>
        <v/>
      </c>
      <c r="I67" s="49" t="str">
        <f>IFERROR(IF(VLOOKUP(TableHandbook[[#This Row],[UDC]],TableAvailabilities,4,FALSE)&gt;0,"Y",""),"")</f>
        <v/>
      </c>
      <c r="J67" s="50" t="str">
        <f>IFERROR(IF(VLOOKUP(TableHandbook[[#This Row],[UDC]],TableAvailabilities,5,FALSE)&gt;0,"Y",""),"")</f>
        <v/>
      </c>
      <c r="K67" s="12"/>
      <c r="L67" s="88" t="str">
        <f>IFERROR(VLOOKUP(TableHandbook[[#This Row],[UDC]],TableBHINARCH[],7,FALSE),"")</f>
        <v>Option</v>
      </c>
      <c r="M67" s="88" t="str">
        <f>IFERROR(VLOOKUP(TableHandbook[[#This Row],[UDC]],TableSPUCANGAD[],7,FALSE),"")</f>
        <v/>
      </c>
      <c r="N67" s="88" t="str">
        <f>IFERROR(VLOOKUP(TableHandbook[[#This Row],[UDC]],TableSPUCCONMS[],7,FALSE),"")</f>
        <v/>
      </c>
      <c r="O67" s="88" t="str">
        <f>IFERROR(VLOOKUP(TableHandbook[[#This Row],[UDC]],TableSPUCDIGDE[],7,FALSE),"")</f>
        <v/>
      </c>
      <c r="P67" s="88" t="str">
        <f>IFERROR(VLOOKUP(TableHandbook[[#This Row],[UDC]],TableSPUCDSGNV[],7,FALSE),"")</f>
        <v/>
      </c>
      <c r="Q67" s="88" t="str">
        <f>IFERROR(VLOOKUP(TableHandbook[[#This Row],[UDC]],TableSPUCGRPDS[],7,FALSE),"")</f>
        <v/>
      </c>
      <c r="R67" s="88" t="str">
        <f>IFERROR(VLOOKUP(TableHandbook[[#This Row],[UDC]],TableSPUCPHOTO[],7,FALSE),"")</f>
        <v/>
      </c>
      <c r="S67" s="88" t="str">
        <f>IFERROR(VLOOKUP(TableHandbook[[#This Row],[UDC]],TableSPUCPRINP[],7,FALSE),"")</f>
        <v/>
      </c>
      <c r="T67" s="88" t="str">
        <f>IFERROR(VLOOKUP(TableHandbook[[#This Row],[UDC]],TableSPUCURDES[],7,FALSE),"")</f>
        <v/>
      </c>
      <c r="U67" s="88" t="str">
        <f>IFERROR(VLOOKUP(TableHandbook[[#This Row],[UDC]],TableSPUEARCHT[],7,FALSE),"")</f>
        <v/>
      </c>
    </row>
    <row r="68" spans="1:21" x14ac:dyDescent="0.25">
      <c r="A68" s="6" t="s">
        <v>100</v>
      </c>
      <c r="B68" s="7">
        <v>1</v>
      </c>
      <c r="C68" s="6"/>
      <c r="D68" s="6" t="s">
        <v>99</v>
      </c>
      <c r="E68" s="7">
        <v>100</v>
      </c>
      <c r="F68" s="67"/>
      <c r="G68" s="47" t="str">
        <f>IFERROR(IF(VLOOKUP(TableHandbook[[#This Row],[UDC]],TableAvailabilities,2,FALSE)&gt;0,"Y",""),"")</f>
        <v/>
      </c>
      <c r="H68" s="48" t="str">
        <f>IFERROR(IF(VLOOKUP(TableHandbook[[#This Row],[UDC]],TableAvailabilities,3,FALSE)&gt;0,"Y",""),"")</f>
        <v/>
      </c>
      <c r="I68" s="49" t="str">
        <f>IFERROR(IF(VLOOKUP(TableHandbook[[#This Row],[UDC]],TableAvailabilities,4,FALSE)&gt;0,"Y",""),"")</f>
        <v/>
      </c>
      <c r="J68" s="50" t="str">
        <f>IFERROR(IF(VLOOKUP(TableHandbook[[#This Row],[UDC]],TableAvailabilities,5,FALSE)&gt;0,"Y",""),"")</f>
        <v/>
      </c>
      <c r="K68" s="12"/>
      <c r="L68" s="88" t="str">
        <f>IFERROR(VLOOKUP(TableHandbook[[#This Row],[UDC]],TableBHINARCH[],7,FALSE),"")</f>
        <v>Option</v>
      </c>
      <c r="M68" s="88" t="str">
        <f>IFERROR(VLOOKUP(TableHandbook[[#This Row],[UDC]],TableSPUCANGAD[],7,FALSE),"")</f>
        <v/>
      </c>
      <c r="N68" s="88" t="str">
        <f>IFERROR(VLOOKUP(TableHandbook[[#This Row],[UDC]],TableSPUCCONMS[],7,FALSE),"")</f>
        <v/>
      </c>
      <c r="O68" s="88" t="str">
        <f>IFERROR(VLOOKUP(TableHandbook[[#This Row],[UDC]],TableSPUCDIGDE[],7,FALSE),"")</f>
        <v/>
      </c>
      <c r="P68" s="88" t="str">
        <f>IFERROR(VLOOKUP(TableHandbook[[#This Row],[UDC]],TableSPUCDSGNV[],7,FALSE),"")</f>
        <v/>
      </c>
      <c r="Q68" s="88" t="str">
        <f>IFERROR(VLOOKUP(TableHandbook[[#This Row],[UDC]],TableSPUCGRPDS[],7,FALSE),"")</f>
        <v/>
      </c>
      <c r="R68" s="88" t="str">
        <f>IFERROR(VLOOKUP(TableHandbook[[#This Row],[UDC]],TableSPUCPHOTO[],7,FALSE),"")</f>
        <v/>
      </c>
      <c r="S68" s="88" t="str">
        <f>IFERROR(VLOOKUP(TableHandbook[[#This Row],[UDC]],TableSPUCPRINP[],7,FALSE),"")</f>
        <v/>
      </c>
      <c r="T68" s="88" t="str">
        <f>IFERROR(VLOOKUP(TableHandbook[[#This Row],[UDC]],TableSPUCURDES[],7,FALSE),"")</f>
        <v/>
      </c>
      <c r="U68" s="88" t="str">
        <f>IFERROR(VLOOKUP(TableHandbook[[#This Row],[UDC]],TableSPUEARCHT[],7,FALSE),"")</f>
        <v/>
      </c>
    </row>
    <row r="69" spans="1:21" x14ac:dyDescent="0.25">
      <c r="A69" s="6" t="s">
        <v>81</v>
      </c>
      <c r="B69" s="7">
        <v>1</v>
      </c>
      <c r="C69" s="6"/>
      <c r="D69" s="6" t="s">
        <v>80</v>
      </c>
      <c r="E69" s="7">
        <v>100</v>
      </c>
      <c r="F69" s="67"/>
      <c r="G69" s="47" t="str">
        <f>IFERROR(IF(VLOOKUP(TableHandbook[[#This Row],[UDC]],TableAvailabilities,2,FALSE)&gt;0,"Y",""),"")</f>
        <v/>
      </c>
      <c r="H69" s="48" t="str">
        <f>IFERROR(IF(VLOOKUP(TableHandbook[[#This Row],[UDC]],TableAvailabilities,3,FALSE)&gt;0,"Y",""),"")</f>
        <v/>
      </c>
      <c r="I69" s="49" t="str">
        <f>IFERROR(IF(VLOOKUP(TableHandbook[[#This Row],[UDC]],TableAvailabilities,4,FALSE)&gt;0,"Y",""),"")</f>
        <v/>
      </c>
      <c r="J69" s="50" t="str">
        <f>IFERROR(IF(VLOOKUP(TableHandbook[[#This Row],[UDC]],TableAvailabilities,5,FALSE)&gt;0,"Y",""),"")</f>
        <v/>
      </c>
      <c r="K69" s="12"/>
      <c r="L69" s="88" t="str">
        <f>IFERROR(VLOOKUP(TableHandbook[[#This Row],[UDC]],TableBHINARCH[],7,FALSE),"")</f>
        <v>Option</v>
      </c>
      <c r="M69" s="88" t="str">
        <f>IFERROR(VLOOKUP(TableHandbook[[#This Row],[UDC]],TableSPUCANGAD[],7,FALSE),"")</f>
        <v/>
      </c>
      <c r="N69" s="88" t="str">
        <f>IFERROR(VLOOKUP(TableHandbook[[#This Row],[UDC]],TableSPUCCONMS[],7,FALSE),"")</f>
        <v/>
      </c>
      <c r="O69" s="88" t="str">
        <f>IFERROR(VLOOKUP(TableHandbook[[#This Row],[UDC]],TableSPUCDIGDE[],7,FALSE),"")</f>
        <v/>
      </c>
      <c r="P69" s="88" t="str">
        <f>IFERROR(VLOOKUP(TableHandbook[[#This Row],[UDC]],TableSPUCDSGNV[],7,FALSE),"")</f>
        <v/>
      </c>
      <c r="Q69" s="88" t="str">
        <f>IFERROR(VLOOKUP(TableHandbook[[#This Row],[UDC]],TableSPUCGRPDS[],7,FALSE),"")</f>
        <v/>
      </c>
      <c r="R69" s="88" t="str">
        <f>IFERROR(VLOOKUP(TableHandbook[[#This Row],[UDC]],TableSPUCPHOTO[],7,FALSE),"")</f>
        <v/>
      </c>
      <c r="S69" s="88" t="str">
        <f>IFERROR(VLOOKUP(TableHandbook[[#This Row],[UDC]],TableSPUCPRINP[],7,FALSE),"")</f>
        <v/>
      </c>
      <c r="T69" s="88" t="str">
        <f>IFERROR(VLOOKUP(TableHandbook[[#This Row],[UDC]],TableSPUCURDES[],7,FALSE),"")</f>
        <v/>
      </c>
      <c r="U69" s="88" t="str">
        <f>IFERROR(VLOOKUP(TableHandbook[[#This Row],[UDC]],TableSPUEARCHT[],7,FALSE),"")</f>
        <v/>
      </c>
    </row>
    <row r="70" spans="1:21" x14ac:dyDescent="0.25">
      <c r="A70" s="6" t="s">
        <v>129</v>
      </c>
      <c r="B70" s="7">
        <v>1</v>
      </c>
      <c r="C70" s="6"/>
      <c r="D70" s="6" t="s">
        <v>259</v>
      </c>
      <c r="E70" s="7">
        <v>25</v>
      </c>
      <c r="F70" s="67" t="s">
        <v>182</v>
      </c>
      <c r="G70" s="47" t="str">
        <f>IFERROR(IF(VLOOKUP(TableHandbook[[#This Row],[UDC]],TableAvailabilities,2,FALSE)&gt;0,"Y",""),"")</f>
        <v>Y</v>
      </c>
      <c r="H70" s="48" t="str">
        <f>IFERROR(IF(VLOOKUP(TableHandbook[[#This Row],[UDC]],TableAvailabilities,3,FALSE)&gt;0,"Y",""),"")</f>
        <v/>
      </c>
      <c r="I70" s="49" t="str">
        <f>IFERROR(IF(VLOOKUP(TableHandbook[[#This Row],[UDC]],TableAvailabilities,4,FALSE)&gt;0,"Y",""),"")</f>
        <v/>
      </c>
      <c r="J70" s="50" t="str">
        <f>IFERROR(IF(VLOOKUP(TableHandbook[[#This Row],[UDC]],TableAvailabilities,5,FALSE)&gt;0,"Y",""),"")</f>
        <v/>
      </c>
      <c r="K70" s="12"/>
      <c r="L70" s="88" t="str">
        <f>IFERROR(VLOOKUP(TableHandbook[[#This Row],[UDC]],TableBHINARCH[],7,FALSE),"")</f>
        <v/>
      </c>
      <c r="M70" s="88" t="str">
        <f>IFERROR(VLOOKUP(TableHandbook[[#This Row],[UDC]],TableSPUCANGAD[],7,FALSE),"")</f>
        <v/>
      </c>
      <c r="N70" s="88" t="str">
        <f>IFERROR(VLOOKUP(TableHandbook[[#This Row],[UDC]],TableSPUCCONMS[],7,FALSE),"")</f>
        <v/>
      </c>
      <c r="O70" s="88" t="str">
        <f>IFERROR(VLOOKUP(TableHandbook[[#This Row],[UDC]],TableSPUCDIGDE[],7,FALSE),"")</f>
        <v/>
      </c>
      <c r="P70" s="88" t="str">
        <f>IFERROR(VLOOKUP(TableHandbook[[#This Row],[UDC]],TableSPUCDSGNV[],7,FALSE),"")</f>
        <v/>
      </c>
      <c r="Q70" s="88" t="str">
        <f>IFERROR(VLOOKUP(TableHandbook[[#This Row],[UDC]],TableSPUCGRPDS[],7,FALSE),"")</f>
        <v/>
      </c>
      <c r="R70" s="88" t="str">
        <f>IFERROR(VLOOKUP(TableHandbook[[#This Row],[UDC]],TableSPUCPHOTO[],7,FALSE),"")</f>
        <v/>
      </c>
      <c r="S70" s="88" t="str">
        <f>IFERROR(VLOOKUP(TableHandbook[[#This Row],[UDC]],TableSPUCPRINP[],7,FALSE),"")</f>
        <v/>
      </c>
      <c r="T70" s="88" t="str">
        <f>IFERROR(VLOOKUP(TableHandbook[[#This Row],[UDC]],TableSPUCURDES[],7,FALSE),"")</f>
        <v>Core</v>
      </c>
      <c r="U70" s="88" t="str">
        <f>IFERROR(VLOOKUP(TableHandbook[[#This Row],[UDC]],TableSPUEARCHT[],7,FALSE),"")</f>
        <v/>
      </c>
    </row>
    <row r="71" spans="1:21" x14ac:dyDescent="0.25">
      <c r="A71" s="6" t="s">
        <v>128</v>
      </c>
      <c r="B71" s="7">
        <v>1</v>
      </c>
      <c r="C71" s="6"/>
      <c r="D71" s="6" t="s">
        <v>260</v>
      </c>
      <c r="E71" s="7">
        <v>25</v>
      </c>
      <c r="F71" s="67" t="s">
        <v>182</v>
      </c>
      <c r="G71" s="47" t="str">
        <f>IFERROR(IF(VLOOKUP(TableHandbook[[#This Row],[UDC]],TableAvailabilities,2,FALSE)&gt;0,"Y",""),"")</f>
        <v>Y</v>
      </c>
      <c r="H71" s="48" t="str">
        <f>IFERROR(IF(VLOOKUP(TableHandbook[[#This Row],[UDC]],TableAvailabilities,3,FALSE)&gt;0,"Y",""),"")</f>
        <v>Y</v>
      </c>
      <c r="I71" s="49" t="str">
        <f>IFERROR(IF(VLOOKUP(TableHandbook[[#This Row],[UDC]],TableAvailabilities,4,FALSE)&gt;0,"Y",""),"")</f>
        <v>Y</v>
      </c>
      <c r="J71" s="50" t="str">
        <f>IFERROR(IF(VLOOKUP(TableHandbook[[#This Row],[UDC]],TableAvailabilities,5,FALSE)&gt;0,"Y",""),"")</f>
        <v/>
      </c>
      <c r="K71" s="12"/>
      <c r="L71" s="88" t="str">
        <f>IFERROR(VLOOKUP(TableHandbook[[#This Row],[UDC]],TableBHINARCH[],7,FALSE),"")</f>
        <v/>
      </c>
      <c r="M71" s="88" t="str">
        <f>IFERROR(VLOOKUP(TableHandbook[[#This Row],[UDC]],TableSPUCANGAD[],7,FALSE),"")</f>
        <v/>
      </c>
      <c r="N71" s="88" t="str">
        <f>IFERROR(VLOOKUP(TableHandbook[[#This Row],[UDC]],TableSPUCCONMS[],7,FALSE),"")</f>
        <v/>
      </c>
      <c r="O71" s="88" t="str">
        <f>IFERROR(VLOOKUP(TableHandbook[[#This Row],[UDC]],TableSPUCDIGDE[],7,FALSE),"")</f>
        <v/>
      </c>
      <c r="P71" s="88" t="str">
        <f>IFERROR(VLOOKUP(TableHandbook[[#This Row],[UDC]],TableSPUCDSGNV[],7,FALSE),"")</f>
        <v/>
      </c>
      <c r="Q71" s="88" t="str">
        <f>IFERROR(VLOOKUP(TableHandbook[[#This Row],[UDC]],TableSPUCGRPDS[],7,FALSE),"")</f>
        <v/>
      </c>
      <c r="R71" s="88" t="str">
        <f>IFERROR(VLOOKUP(TableHandbook[[#This Row],[UDC]],TableSPUCPHOTO[],7,FALSE),"")</f>
        <v/>
      </c>
      <c r="S71" s="88" t="str">
        <f>IFERROR(VLOOKUP(TableHandbook[[#This Row],[UDC]],TableSPUCPRINP[],7,FALSE),"")</f>
        <v>Core</v>
      </c>
      <c r="T71" s="88" t="str">
        <f>IFERROR(VLOOKUP(TableHandbook[[#This Row],[UDC]],TableSPUCURDES[],7,FALSE),"")</f>
        <v/>
      </c>
      <c r="U71" s="88" t="str">
        <f>IFERROR(VLOOKUP(TableHandbook[[#This Row],[UDC]],TableSPUEARCHT[],7,FALSE),"")</f>
        <v/>
      </c>
    </row>
    <row r="72" spans="1:21" x14ac:dyDescent="0.25">
      <c r="A72" s="6" t="s">
        <v>138</v>
      </c>
      <c r="B72" s="7">
        <v>1</v>
      </c>
      <c r="C72" s="6"/>
      <c r="D72" s="6" t="s">
        <v>261</v>
      </c>
      <c r="E72" s="7">
        <v>25</v>
      </c>
      <c r="F72" s="67" t="s">
        <v>182</v>
      </c>
      <c r="G72" s="47" t="str">
        <f>IFERROR(IF(VLOOKUP(TableHandbook[[#This Row],[UDC]],TableAvailabilities,2,FALSE)&gt;0,"Y",""),"")</f>
        <v>Y</v>
      </c>
      <c r="H72" s="48" t="str">
        <f>IFERROR(IF(VLOOKUP(TableHandbook[[#This Row],[UDC]],TableAvailabilities,3,FALSE)&gt;0,"Y",""),"")</f>
        <v/>
      </c>
      <c r="I72" s="49" t="str">
        <f>IFERROR(IF(VLOOKUP(TableHandbook[[#This Row],[UDC]],TableAvailabilities,4,FALSE)&gt;0,"Y",""),"")</f>
        <v>Y</v>
      </c>
      <c r="J72" s="50" t="str">
        <f>IFERROR(IF(VLOOKUP(TableHandbook[[#This Row],[UDC]],TableAvailabilities,5,FALSE)&gt;0,"Y",""),"")</f>
        <v/>
      </c>
      <c r="K72" s="12"/>
      <c r="L72" s="88" t="str">
        <f>IFERROR(VLOOKUP(TableHandbook[[#This Row],[UDC]],TableBHINARCH[],7,FALSE),"")</f>
        <v/>
      </c>
      <c r="M72" s="88" t="str">
        <f>IFERROR(VLOOKUP(TableHandbook[[#This Row],[UDC]],TableSPUCANGAD[],7,FALSE),"")</f>
        <v/>
      </c>
      <c r="N72" s="88" t="str">
        <f>IFERROR(VLOOKUP(TableHandbook[[#This Row],[UDC]],TableSPUCCONMS[],7,FALSE),"")</f>
        <v/>
      </c>
      <c r="O72" s="88" t="str">
        <f>IFERROR(VLOOKUP(TableHandbook[[#This Row],[UDC]],TableSPUCDIGDE[],7,FALSE),"")</f>
        <v/>
      </c>
      <c r="P72" s="88" t="str">
        <f>IFERROR(VLOOKUP(TableHandbook[[#This Row],[UDC]],TableSPUCDSGNV[],7,FALSE),"")</f>
        <v/>
      </c>
      <c r="Q72" s="88" t="str">
        <f>IFERROR(VLOOKUP(TableHandbook[[#This Row],[UDC]],TableSPUCGRPDS[],7,FALSE),"")</f>
        <v/>
      </c>
      <c r="R72" s="88" t="str">
        <f>IFERROR(VLOOKUP(TableHandbook[[#This Row],[UDC]],TableSPUCPHOTO[],7,FALSE),"")</f>
        <v/>
      </c>
      <c r="S72" s="88" t="str">
        <f>IFERROR(VLOOKUP(TableHandbook[[#This Row],[UDC]],TableSPUCPRINP[],7,FALSE),"")</f>
        <v>Core</v>
      </c>
      <c r="T72" s="88" t="str">
        <f>IFERROR(VLOOKUP(TableHandbook[[#This Row],[UDC]],TableSPUCURDES[],7,FALSE),"")</f>
        <v/>
      </c>
      <c r="U72" s="88" t="str">
        <f>IFERROR(VLOOKUP(TableHandbook[[#This Row],[UDC]],TableSPUEARCHT[],7,FALSE),"")</f>
        <v/>
      </c>
    </row>
    <row r="73" spans="1:21" x14ac:dyDescent="0.25">
      <c r="A73" s="6" t="s">
        <v>139</v>
      </c>
      <c r="B73" s="7">
        <v>1</v>
      </c>
      <c r="C73" s="6"/>
      <c r="D73" s="6" t="s">
        <v>262</v>
      </c>
      <c r="E73" s="7">
        <v>25</v>
      </c>
      <c r="F73" s="67" t="s">
        <v>182</v>
      </c>
      <c r="G73" s="47" t="str">
        <f>IFERROR(IF(VLOOKUP(TableHandbook[[#This Row],[UDC]],TableAvailabilities,2,FALSE)&gt;0,"Y",""),"")</f>
        <v/>
      </c>
      <c r="H73" s="48" t="str">
        <f>IFERROR(IF(VLOOKUP(TableHandbook[[#This Row],[UDC]],TableAvailabilities,3,FALSE)&gt;0,"Y",""),"")</f>
        <v/>
      </c>
      <c r="I73" s="49" t="str">
        <f>IFERROR(IF(VLOOKUP(TableHandbook[[#This Row],[UDC]],TableAvailabilities,4,FALSE)&gt;0,"Y",""),"")</f>
        <v>Y</v>
      </c>
      <c r="J73" s="50" t="str">
        <f>IFERROR(IF(VLOOKUP(TableHandbook[[#This Row],[UDC]],TableAvailabilities,5,FALSE)&gt;0,"Y",""),"")</f>
        <v/>
      </c>
      <c r="K73" s="12"/>
      <c r="L73" s="88" t="str">
        <f>IFERROR(VLOOKUP(TableHandbook[[#This Row],[UDC]],TableBHINARCH[],7,FALSE),"")</f>
        <v/>
      </c>
      <c r="M73" s="88" t="str">
        <f>IFERROR(VLOOKUP(TableHandbook[[#This Row],[UDC]],TableSPUCANGAD[],7,FALSE),"")</f>
        <v/>
      </c>
      <c r="N73" s="88" t="str">
        <f>IFERROR(VLOOKUP(TableHandbook[[#This Row],[UDC]],TableSPUCCONMS[],7,FALSE),"")</f>
        <v/>
      </c>
      <c r="O73" s="88" t="str">
        <f>IFERROR(VLOOKUP(TableHandbook[[#This Row],[UDC]],TableSPUCDIGDE[],7,FALSE),"")</f>
        <v/>
      </c>
      <c r="P73" s="88" t="str">
        <f>IFERROR(VLOOKUP(TableHandbook[[#This Row],[UDC]],TableSPUCDSGNV[],7,FALSE),"")</f>
        <v/>
      </c>
      <c r="Q73" s="88" t="str">
        <f>IFERROR(VLOOKUP(TableHandbook[[#This Row],[UDC]],TableSPUCGRPDS[],7,FALSE),"")</f>
        <v/>
      </c>
      <c r="R73" s="88" t="str">
        <f>IFERROR(VLOOKUP(TableHandbook[[#This Row],[UDC]],TableSPUCPHOTO[],7,FALSE),"")</f>
        <v/>
      </c>
      <c r="S73" s="88" t="str">
        <f>IFERROR(VLOOKUP(TableHandbook[[#This Row],[UDC]],TableSPUCPRINP[],7,FALSE),"")</f>
        <v/>
      </c>
      <c r="T73" s="88" t="str">
        <f>IFERROR(VLOOKUP(TableHandbook[[#This Row],[UDC]],TableSPUCURDES[],7,FALSE),"")</f>
        <v>Core</v>
      </c>
      <c r="U73" s="88" t="str">
        <f>IFERROR(VLOOKUP(TableHandbook[[#This Row],[UDC]],TableSPUEARCHT[],7,FALSE),"")</f>
        <v/>
      </c>
    </row>
    <row r="74" spans="1:21" x14ac:dyDescent="0.25">
      <c r="A74" s="6" t="s">
        <v>148</v>
      </c>
      <c r="B74" s="7">
        <v>1</v>
      </c>
      <c r="C74" s="6"/>
      <c r="D74" s="6" t="s">
        <v>263</v>
      </c>
      <c r="E74" s="7">
        <v>25</v>
      </c>
      <c r="F74" s="67" t="s">
        <v>128</v>
      </c>
      <c r="G74" s="47" t="str">
        <f>IFERROR(IF(VLOOKUP(TableHandbook[[#This Row],[UDC]],TableAvailabilities,2,FALSE)&gt;0,"Y",""),"")</f>
        <v/>
      </c>
      <c r="H74" s="48" t="str">
        <f>IFERROR(IF(VLOOKUP(TableHandbook[[#This Row],[UDC]],TableAvailabilities,3,FALSE)&gt;0,"Y",""),"")</f>
        <v/>
      </c>
      <c r="I74" s="49" t="str">
        <f>IFERROR(IF(VLOOKUP(TableHandbook[[#This Row],[UDC]],TableAvailabilities,4,FALSE)&gt;0,"Y",""),"")</f>
        <v>Y</v>
      </c>
      <c r="J74" s="50" t="str">
        <f>IFERROR(IF(VLOOKUP(TableHandbook[[#This Row],[UDC]],TableAvailabilities,5,FALSE)&gt;0,"Y",""),"")</f>
        <v/>
      </c>
      <c r="K74" s="12"/>
      <c r="L74" s="88" t="str">
        <f>IFERROR(VLOOKUP(TableHandbook[[#This Row],[UDC]],TableBHINARCH[],7,FALSE),"")</f>
        <v/>
      </c>
      <c r="M74" s="88" t="str">
        <f>IFERROR(VLOOKUP(TableHandbook[[#This Row],[UDC]],TableSPUCANGAD[],7,FALSE),"")</f>
        <v/>
      </c>
      <c r="N74" s="88" t="str">
        <f>IFERROR(VLOOKUP(TableHandbook[[#This Row],[UDC]],TableSPUCCONMS[],7,FALSE),"")</f>
        <v/>
      </c>
      <c r="O74" s="88" t="str">
        <f>IFERROR(VLOOKUP(TableHandbook[[#This Row],[UDC]],TableSPUCDIGDE[],7,FALSE),"")</f>
        <v/>
      </c>
      <c r="P74" s="88" t="str">
        <f>IFERROR(VLOOKUP(TableHandbook[[#This Row],[UDC]],TableSPUCDSGNV[],7,FALSE),"")</f>
        <v/>
      </c>
      <c r="Q74" s="88" t="str">
        <f>IFERROR(VLOOKUP(TableHandbook[[#This Row],[UDC]],TableSPUCGRPDS[],7,FALSE),"")</f>
        <v/>
      </c>
      <c r="R74" s="88" t="str">
        <f>IFERROR(VLOOKUP(TableHandbook[[#This Row],[UDC]],TableSPUCPHOTO[],7,FALSE),"")</f>
        <v/>
      </c>
      <c r="S74" s="88" t="str">
        <f>IFERROR(VLOOKUP(TableHandbook[[#This Row],[UDC]],TableSPUCPRINP[],7,FALSE),"")</f>
        <v>Core</v>
      </c>
      <c r="T74" s="88" t="str">
        <f>IFERROR(VLOOKUP(TableHandbook[[#This Row],[UDC]],TableSPUCURDES[],7,FALSE),"")</f>
        <v/>
      </c>
      <c r="U74" s="88" t="str">
        <f>IFERROR(VLOOKUP(TableHandbook[[#This Row],[UDC]],TableSPUEARCHT[],7,FALSE),"")</f>
        <v/>
      </c>
    </row>
    <row r="75" spans="1:21" x14ac:dyDescent="0.25">
      <c r="A75" s="6" t="s">
        <v>149</v>
      </c>
      <c r="B75" s="7">
        <v>1</v>
      </c>
      <c r="C75" s="6"/>
      <c r="D75" s="6" t="s">
        <v>264</v>
      </c>
      <c r="E75" s="7">
        <v>25</v>
      </c>
      <c r="F75" s="67" t="s">
        <v>129</v>
      </c>
      <c r="G75" s="47" t="str">
        <f>IFERROR(IF(VLOOKUP(TableHandbook[[#This Row],[UDC]],TableAvailabilities,2,FALSE)&gt;0,"Y",""),"")</f>
        <v/>
      </c>
      <c r="H75" s="48" t="str">
        <f>IFERROR(IF(VLOOKUP(TableHandbook[[#This Row],[UDC]],TableAvailabilities,3,FALSE)&gt;0,"Y",""),"")</f>
        <v/>
      </c>
      <c r="I75" s="49" t="str">
        <f>IFERROR(IF(VLOOKUP(TableHandbook[[#This Row],[UDC]],TableAvailabilities,4,FALSE)&gt;0,"Y",""),"")</f>
        <v>Y</v>
      </c>
      <c r="J75" s="50" t="str">
        <f>IFERROR(IF(VLOOKUP(TableHandbook[[#This Row],[UDC]],TableAvailabilities,5,FALSE)&gt;0,"Y",""),"")</f>
        <v/>
      </c>
      <c r="K75" s="12"/>
      <c r="L75" s="88" t="str">
        <f>IFERROR(VLOOKUP(TableHandbook[[#This Row],[UDC]],TableBHINARCH[],7,FALSE),"")</f>
        <v/>
      </c>
      <c r="M75" s="88" t="str">
        <f>IFERROR(VLOOKUP(TableHandbook[[#This Row],[UDC]],TableSPUCANGAD[],7,FALSE),"")</f>
        <v/>
      </c>
      <c r="N75" s="88" t="str">
        <f>IFERROR(VLOOKUP(TableHandbook[[#This Row],[UDC]],TableSPUCCONMS[],7,FALSE),"")</f>
        <v/>
      </c>
      <c r="O75" s="88" t="str">
        <f>IFERROR(VLOOKUP(TableHandbook[[#This Row],[UDC]],TableSPUCDIGDE[],7,FALSE),"")</f>
        <v/>
      </c>
      <c r="P75" s="88" t="str">
        <f>IFERROR(VLOOKUP(TableHandbook[[#This Row],[UDC]],TableSPUCDSGNV[],7,FALSE),"")</f>
        <v/>
      </c>
      <c r="Q75" s="88" t="str">
        <f>IFERROR(VLOOKUP(TableHandbook[[#This Row],[UDC]],TableSPUCGRPDS[],7,FALSE),"")</f>
        <v/>
      </c>
      <c r="R75" s="88" t="str">
        <f>IFERROR(VLOOKUP(TableHandbook[[#This Row],[UDC]],TableSPUCPHOTO[],7,FALSE),"")</f>
        <v/>
      </c>
      <c r="S75" s="88" t="str">
        <f>IFERROR(VLOOKUP(TableHandbook[[#This Row],[UDC]],TableSPUCPRINP[],7,FALSE),"")</f>
        <v/>
      </c>
      <c r="T75" s="88" t="str">
        <f>IFERROR(VLOOKUP(TableHandbook[[#This Row],[UDC]],TableSPUCURDES[],7,FALSE),"")</f>
        <v>Core</v>
      </c>
      <c r="U75" s="88" t="str">
        <f>IFERROR(VLOOKUP(TableHandbook[[#This Row],[UDC]],TableSPUEARCHT[],7,FALSE),"")</f>
        <v/>
      </c>
    </row>
    <row r="76" spans="1:21" x14ac:dyDescent="0.25">
      <c r="A76" s="6" t="s">
        <v>155</v>
      </c>
      <c r="B76" s="7">
        <v>1</v>
      </c>
      <c r="C76" s="6"/>
      <c r="D76" s="6" t="s">
        <v>265</v>
      </c>
      <c r="E76" s="7">
        <v>25</v>
      </c>
      <c r="F76" s="67" t="s">
        <v>182</v>
      </c>
      <c r="G76" s="47" t="str">
        <f>IFERROR(IF(VLOOKUP(TableHandbook[[#This Row],[UDC]],TableAvailabilities,2,FALSE)&gt;0,"Y",""),"")</f>
        <v>Y</v>
      </c>
      <c r="H76" s="48" t="str">
        <f>IFERROR(IF(VLOOKUP(TableHandbook[[#This Row],[UDC]],TableAvailabilities,3,FALSE)&gt;0,"Y",""),"")</f>
        <v/>
      </c>
      <c r="I76" s="49" t="str">
        <f>IFERROR(IF(VLOOKUP(TableHandbook[[#This Row],[UDC]],TableAvailabilities,4,FALSE)&gt;0,"Y",""),"")</f>
        <v/>
      </c>
      <c r="J76" s="50" t="str">
        <f>IFERROR(IF(VLOOKUP(TableHandbook[[#This Row],[UDC]],TableAvailabilities,5,FALSE)&gt;0,"Y",""),"")</f>
        <v/>
      </c>
      <c r="K76" s="12"/>
      <c r="L76" s="88" t="str">
        <f>IFERROR(VLOOKUP(TableHandbook[[#This Row],[UDC]],TableBHINARCH[],7,FALSE),"")</f>
        <v/>
      </c>
      <c r="M76" s="88" t="str">
        <f>IFERROR(VLOOKUP(TableHandbook[[#This Row],[UDC]],TableSPUCANGAD[],7,FALSE),"")</f>
        <v/>
      </c>
      <c r="N76" s="88" t="str">
        <f>IFERROR(VLOOKUP(TableHandbook[[#This Row],[UDC]],TableSPUCCONMS[],7,FALSE),"")</f>
        <v/>
      </c>
      <c r="O76" s="88" t="str">
        <f>IFERROR(VLOOKUP(TableHandbook[[#This Row],[UDC]],TableSPUCDIGDE[],7,FALSE),"")</f>
        <v/>
      </c>
      <c r="P76" s="88" t="str">
        <f>IFERROR(VLOOKUP(TableHandbook[[#This Row],[UDC]],TableSPUCDSGNV[],7,FALSE),"")</f>
        <v/>
      </c>
      <c r="Q76" s="88" t="str">
        <f>IFERROR(VLOOKUP(TableHandbook[[#This Row],[UDC]],TableSPUCGRPDS[],7,FALSE),"")</f>
        <v/>
      </c>
      <c r="R76" s="88" t="str">
        <f>IFERROR(VLOOKUP(TableHandbook[[#This Row],[UDC]],TableSPUCPHOTO[],7,FALSE),"")</f>
        <v/>
      </c>
      <c r="S76" s="88" t="str">
        <f>IFERROR(VLOOKUP(TableHandbook[[#This Row],[UDC]],TableSPUCPRINP[],7,FALSE),"")</f>
        <v>Core</v>
      </c>
      <c r="T76" s="88" t="str">
        <f>IFERROR(VLOOKUP(TableHandbook[[#This Row],[UDC]],TableSPUCURDES[],7,FALSE),"")</f>
        <v>Core</v>
      </c>
      <c r="U76" s="88" t="str">
        <f>IFERROR(VLOOKUP(TableHandbook[[#This Row],[UDC]],TableSPUEARCHT[],7,FALSE),"")</f>
        <v/>
      </c>
    </row>
    <row r="77" spans="1:21" x14ac:dyDescent="0.25">
      <c r="A77" s="6" t="s">
        <v>89</v>
      </c>
      <c r="B77" s="7">
        <v>2</v>
      </c>
      <c r="C77" s="6"/>
      <c r="D77" s="6" t="s">
        <v>266</v>
      </c>
      <c r="E77" s="7">
        <v>25</v>
      </c>
      <c r="F77" s="67" t="s">
        <v>182</v>
      </c>
      <c r="G77" s="47" t="str">
        <f>IFERROR(IF(VLOOKUP(TableHandbook[[#This Row],[UDC]],TableAvailabilities,2,FALSE)&gt;0,"Y",""),"")</f>
        <v>Y</v>
      </c>
      <c r="H77" s="48" t="str">
        <f>IFERROR(IF(VLOOKUP(TableHandbook[[#This Row],[UDC]],TableAvailabilities,3,FALSE)&gt;0,"Y",""),"")</f>
        <v/>
      </c>
      <c r="I77" s="49" t="str">
        <f>IFERROR(IF(VLOOKUP(TableHandbook[[#This Row],[UDC]],TableAvailabilities,4,FALSE)&gt;0,"Y",""),"")</f>
        <v>Y</v>
      </c>
      <c r="J77" s="50" t="str">
        <f>IFERROR(IF(VLOOKUP(TableHandbook[[#This Row],[UDC]],TableAvailabilities,5,FALSE)&gt;0,"Y",""),"")</f>
        <v/>
      </c>
      <c r="K77" s="12"/>
      <c r="L77" s="88" t="str">
        <f>IFERROR(VLOOKUP(TableHandbook[[#This Row],[UDC]],TableBHINARCH[],7,FALSE),"")</f>
        <v>Core</v>
      </c>
      <c r="M77" s="88" t="str">
        <f>IFERROR(VLOOKUP(TableHandbook[[#This Row],[UDC]],TableSPUCANGAD[],7,FALSE),"")</f>
        <v/>
      </c>
      <c r="N77" s="88" t="str">
        <f>IFERROR(VLOOKUP(TableHandbook[[#This Row],[UDC]],TableSPUCCONMS[],7,FALSE),"")</f>
        <v/>
      </c>
      <c r="O77" s="88" t="str">
        <f>IFERROR(VLOOKUP(TableHandbook[[#This Row],[UDC]],TableSPUCDIGDE[],7,FALSE),"")</f>
        <v/>
      </c>
      <c r="P77" s="88" t="str">
        <f>IFERROR(VLOOKUP(TableHandbook[[#This Row],[UDC]],TableSPUCDSGNV[],7,FALSE),"")</f>
        <v/>
      </c>
      <c r="Q77" s="88" t="str">
        <f>IFERROR(VLOOKUP(TableHandbook[[#This Row],[UDC]],TableSPUCGRPDS[],7,FALSE),"")</f>
        <v/>
      </c>
      <c r="R77" s="88" t="str">
        <f>IFERROR(VLOOKUP(TableHandbook[[#This Row],[UDC]],TableSPUCPHOTO[],7,FALSE),"")</f>
        <v/>
      </c>
      <c r="S77" s="88" t="str">
        <f>IFERROR(VLOOKUP(TableHandbook[[#This Row],[UDC]],TableSPUCPRINP[],7,FALSE),"")</f>
        <v/>
      </c>
      <c r="T77" s="88" t="str">
        <f>IFERROR(VLOOKUP(TableHandbook[[#This Row],[UDC]],TableSPUCURDES[],7,FALSE),"")</f>
        <v/>
      </c>
      <c r="U77" s="88" t="str">
        <f>IFERROR(VLOOKUP(TableHandbook[[#This Row],[UDC]],TableSPUEARCHT[],7,FALSE),"")</f>
        <v/>
      </c>
    </row>
    <row r="78" spans="1:21" x14ac:dyDescent="0.25">
      <c r="A78" s="6" t="s">
        <v>147</v>
      </c>
      <c r="B78" s="7">
        <v>1</v>
      </c>
      <c r="C78" s="6"/>
      <c r="D78" s="6" t="s">
        <v>267</v>
      </c>
      <c r="E78" s="7">
        <v>25</v>
      </c>
      <c r="F78" s="67" t="s">
        <v>137</v>
      </c>
      <c r="G78" s="47" t="str">
        <f>IFERROR(IF(VLOOKUP(TableHandbook[[#This Row],[UDC]],TableAvailabilities,2,FALSE)&gt;0,"Y",""),"")</f>
        <v>Y</v>
      </c>
      <c r="H78" s="48" t="str">
        <f>IFERROR(IF(VLOOKUP(TableHandbook[[#This Row],[UDC]],TableAvailabilities,3,FALSE)&gt;0,"Y",""),"")</f>
        <v/>
      </c>
      <c r="I78" s="49" t="str">
        <f>IFERROR(IF(VLOOKUP(TableHandbook[[#This Row],[UDC]],TableAvailabilities,4,FALSE)&gt;0,"Y",""),"")</f>
        <v/>
      </c>
      <c r="J78" s="50" t="str">
        <f>IFERROR(IF(VLOOKUP(TableHandbook[[#This Row],[UDC]],TableAvailabilities,5,FALSE)&gt;0,"Y",""),"")</f>
        <v/>
      </c>
      <c r="K78" s="12"/>
      <c r="L78" s="88" t="str">
        <f>IFERROR(VLOOKUP(TableHandbook[[#This Row],[UDC]],TableBHINARCH[],7,FALSE),"")</f>
        <v/>
      </c>
      <c r="M78" s="88" t="str">
        <f>IFERROR(VLOOKUP(TableHandbook[[#This Row],[UDC]],TableSPUCANGAD[],7,FALSE),"")</f>
        <v/>
      </c>
      <c r="N78" s="88" t="str">
        <f>IFERROR(VLOOKUP(TableHandbook[[#This Row],[UDC]],TableSPUCCONMS[],7,FALSE),"")</f>
        <v/>
      </c>
      <c r="O78" s="88" t="str">
        <f>IFERROR(VLOOKUP(TableHandbook[[#This Row],[UDC]],TableSPUCDIGDE[],7,FALSE),"")</f>
        <v/>
      </c>
      <c r="P78" s="88" t="str">
        <f>IFERROR(VLOOKUP(TableHandbook[[#This Row],[UDC]],TableSPUCDSGNV[],7,FALSE),"")</f>
        <v/>
      </c>
      <c r="Q78" s="88" t="str">
        <f>IFERROR(VLOOKUP(TableHandbook[[#This Row],[UDC]],TableSPUCGRPDS[],7,FALSE),"")</f>
        <v/>
      </c>
      <c r="R78" s="88" t="str">
        <f>IFERROR(VLOOKUP(TableHandbook[[#This Row],[UDC]],TableSPUCPHOTO[],7,FALSE),"")</f>
        <v>Core</v>
      </c>
      <c r="S78" s="88" t="str">
        <f>IFERROR(VLOOKUP(TableHandbook[[#This Row],[UDC]],TableSPUCPRINP[],7,FALSE),"")</f>
        <v/>
      </c>
      <c r="T78" s="88" t="str">
        <f>IFERROR(VLOOKUP(TableHandbook[[#This Row],[UDC]],TableSPUCURDES[],7,FALSE),"")</f>
        <v/>
      </c>
      <c r="U78" s="88" t="str">
        <f>IFERROR(VLOOKUP(TableHandbook[[#This Row],[UDC]],TableSPUEARCHT[],7,FALSE),"")</f>
        <v/>
      </c>
    </row>
    <row r="79" spans="1:21" x14ac:dyDescent="0.25">
      <c r="A79" s="6" t="s">
        <v>164</v>
      </c>
      <c r="B79" s="7">
        <v>1</v>
      </c>
      <c r="C79" s="6"/>
      <c r="D79" s="6" t="s">
        <v>268</v>
      </c>
      <c r="E79" s="7">
        <v>25</v>
      </c>
      <c r="F79" s="67" t="s">
        <v>269</v>
      </c>
      <c r="G79" s="71" t="str">
        <f>IFERROR(IF(VLOOKUP(TableHandbook[[#This Row],[UDC]],TableAvailabilities,2,FALSE)&gt;0,"Y",""),"")</f>
        <v/>
      </c>
      <c r="H79" s="72" t="str">
        <f>IFERROR(IF(VLOOKUP(TableHandbook[[#This Row],[UDC]],TableAvailabilities,3,FALSE)&gt;0,"Y",""),"")</f>
        <v/>
      </c>
      <c r="I79" s="73" t="str">
        <f>IFERROR(IF(VLOOKUP(TableHandbook[[#This Row],[UDC]],TableAvailabilities,4,FALSE)&gt;0,"Y",""),"")</f>
        <v/>
      </c>
      <c r="J79" s="74" t="str">
        <f>IFERROR(IF(VLOOKUP(TableHandbook[[#This Row],[UDC]],TableAvailabilities,5,FALSE)&gt;0,"Y",""),"")</f>
        <v/>
      </c>
      <c r="K79" s="12"/>
      <c r="L79" s="100" t="str">
        <f>IFERROR(VLOOKUP(TableHandbook[[#This Row],[UDC]],TableBHINARCH[],7,FALSE),"")</f>
        <v/>
      </c>
      <c r="M79" s="100" t="str">
        <f>IFERROR(VLOOKUP(TableHandbook[[#This Row],[UDC]],TableSPUCANGAD[],7,FALSE),"")</f>
        <v/>
      </c>
      <c r="N79" s="100" t="str">
        <f>IFERROR(VLOOKUP(TableHandbook[[#This Row],[UDC]],TableSPUCCONMS[],7,FALSE),"")</f>
        <v/>
      </c>
      <c r="O79" s="100" t="str">
        <f>IFERROR(VLOOKUP(TableHandbook[[#This Row],[UDC]],TableSPUCDIGDE[],7,FALSE),"")</f>
        <v/>
      </c>
      <c r="P79" s="100" t="str">
        <f>IFERROR(VLOOKUP(TableHandbook[[#This Row],[UDC]],TableSPUCDSGNV[],7,FALSE),"")</f>
        <v/>
      </c>
      <c r="Q79" s="100" t="str">
        <f>IFERROR(VLOOKUP(TableHandbook[[#This Row],[UDC]],TableSPUCGRPDS[],7,FALSE),"")</f>
        <v/>
      </c>
      <c r="R79" s="100" t="str">
        <f>IFERROR(VLOOKUP(TableHandbook[[#This Row],[UDC]],TableSPUCPHOTO[],7,FALSE),"")</f>
        <v/>
      </c>
      <c r="S79" s="100" t="str">
        <f>IFERROR(VLOOKUP(TableHandbook[[#This Row],[UDC]],TableSPUCPRINP[],7,FALSE),"")</f>
        <v/>
      </c>
      <c r="T79" s="100" t="str">
        <f>IFERROR(VLOOKUP(TableHandbook[[#This Row],[UDC]],TableSPUCURDES[],7,FALSE),"")</f>
        <v/>
      </c>
      <c r="U79" s="100" t="str">
        <f>IFERROR(VLOOKUP(TableHandbook[[#This Row],[UDC]],TableSPUEARCHT[],7,FALSE),"")</f>
        <v>Option</v>
      </c>
    </row>
    <row r="80" spans="1:21" x14ac:dyDescent="0.25">
      <c r="A80" s="6" t="s">
        <v>163</v>
      </c>
      <c r="B80" s="7">
        <v>2</v>
      </c>
      <c r="C80" s="6"/>
      <c r="D80" s="6" t="s">
        <v>270</v>
      </c>
      <c r="E80" s="7">
        <v>25</v>
      </c>
      <c r="F80" s="67" t="s">
        <v>269</v>
      </c>
      <c r="G80" s="71" t="str">
        <f>IFERROR(IF(VLOOKUP(TableHandbook[[#This Row],[UDC]],TableAvailabilities,2,FALSE)&gt;0,"Y",""),"")</f>
        <v/>
      </c>
      <c r="H80" s="72" t="str">
        <f>IFERROR(IF(VLOOKUP(TableHandbook[[#This Row],[UDC]],TableAvailabilities,3,FALSE)&gt;0,"Y",""),"")</f>
        <v/>
      </c>
      <c r="I80" s="73" t="str">
        <f>IFERROR(IF(VLOOKUP(TableHandbook[[#This Row],[UDC]],TableAvailabilities,4,FALSE)&gt;0,"Y",""),"")</f>
        <v/>
      </c>
      <c r="J80" s="74" t="str">
        <f>IFERROR(IF(VLOOKUP(TableHandbook[[#This Row],[UDC]],TableAvailabilities,5,FALSE)&gt;0,"Y",""),"")</f>
        <v/>
      </c>
      <c r="K80" s="12"/>
      <c r="L80" s="100" t="str">
        <f>IFERROR(VLOOKUP(TableHandbook[[#This Row],[UDC]],TableBHINARCH[],7,FALSE),"")</f>
        <v/>
      </c>
      <c r="M80" s="100" t="str">
        <f>IFERROR(VLOOKUP(TableHandbook[[#This Row],[UDC]],TableSPUCANGAD[],7,FALSE),"")</f>
        <v>AltCore</v>
      </c>
      <c r="N80" s="100" t="str">
        <f>IFERROR(VLOOKUP(TableHandbook[[#This Row],[UDC]],TableSPUCCONMS[],7,FALSE),"")</f>
        <v/>
      </c>
      <c r="O80" s="100" t="str">
        <f>IFERROR(VLOOKUP(TableHandbook[[#This Row],[UDC]],TableSPUCDIGDE[],7,FALSE),"")</f>
        <v/>
      </c>
      <c r="P80" s="100" t="str">
        <f>IFERROR(VLOOKUP(TableHandbook[[#This Row],[UDC]],TableSPUCDSGNV[],7,FALSE),"")</f>
        <v/>
      </c>
      <c r="Q80" s="100" t="str">
        <f>IFERROR(VLOOKUP(TableHandbook[[#This Row],[UDC]],TableSPUCGRPDS[],7,FALSE),"")</f>
        <v/>
      </c>
      <c r="R80" s="100" t="str">
        <f>IFERROR(VLOOKUP(TableHandbook[[#This Row],[UDC]],TableSPUCPHOTO[],7,FALSE),"")</f>
        <v/>
      </c>
      <c r="S80" s="100" t="str">
        <f>IFERROR(VLOOKUP(TableHandbook[[#This Row],[UDC]],TableSPUCPRINP[],7,FALSE),"")</f>
        <v/>
      </c>
      <c r="T80" s="100" t="str">
        <f>IFERROR(VLOOKUP(TableHandbook[[#This Row],[UDC]],TableSPUCURDES[],7,FALSE),"")</f>
        <v/>
      </c>
      <c r="U80" s="100" t="str">
        <f>IFERROR(VLOOKUP(TableHandbook[[#This Row],[UDC]],TableSPUEARCHT[],7,FALSE),"")</f>
        <v>Option</v>
      </c>
    </row>
  </sheetData>
  <sortState ref="A24:D37">
    <sortCondition ref="A24"/>
  </sortState>
  <conditionalFormatting sqref="A4:A80">
    <cfRule type="duplicateValues" dxfId="105" priority="108"/>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zoomScale="70" zoomScaleNormal="70" workbookViewId="0">
      <selection activeCell="A31" sqref="A31"/>
    </sheetView>
  </sheetViews>
  <sheetFormatPr defaultRowHeight="15.75" x14ac:dyDescent="0.25"/>
  <cols>
    <col min="1" max="1" width="13.375" bestFit="1" customWidth="1"/>
    <col min="2" max="2" width="8.125" style="2" bestFit="1" customWidth="1"/>
    <col min="3" max="3" width="12.5" bestFit="1" customWidth="1"/>
    <col min="4" max="4" width="65.375"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2.5" customWidth="1"/>
    <col min="13" max="13" width="14.75" bestFit="1" customWidth="1"/>
    <col min="14" max="14" width="11.25" bestFit="1" customWidth="1"/>
    <col min="15" max="15" width="10.875" bestFit="1" customWidth="1"/>
    <col min="17" max="17" width="13.125" bestFit="1" customWidth="1"/>
    <col min="18" max="18" width="7.125" bestFit="1" customWidth="1"/>
  </cols>
  <sheetData>
    <row r="1" spans="1:18" x14ac:dyDescent="0.25">
      <c r="B1"/>
      <c r="E1"/>
      <c r="F1" s="43"/>
      <c r="G1" s="44" t="s">
        <v>271</v>
      </c>
      <c r="H1" s="45">
        <v>45292</v>
      </c>
      <c r="I1" s="43"/>
      <c r="J1" s="83" t="s">
        <v>55</v>
      </c>
      <c r="K1" s="43" t="s">
        <v>56</v>
      </c>
      <c r="L1" s="43" t="s">
        <v>11</v>
      </c>
      <c r="M1" s="43"/>
      <c r="N1" s="97" t="s">
        <v>272</v>
      </c>
      <c r="O1" s="76">
        <v>45316</v>
      </c>
    </row>
    <row r="2" spans="1:18" x14ac:dyDescent="0.25">
      <c r="A2" t="s">
        <v>0</v>
      </c>
      <c r="B2" s="2" t="s">
        <v>273</v>
      </c>
      <c r="C2" t="s">
        <v>274</v>
      </c>
      <c r="D2" t="s">
        <v>3</v>
      </c>
      <c r="E2" s="46" t="s">
        <v>275</v>
      </c>
      <c r="F2" t="s">
        <v>276</v>
      </c>
      <c r="G2" t="s">
        <v>277</v>
      </c>
      <c r="H2" t="s">
        <v>278</v>
      </c>
      <c r="I2" t="s">
        <v>21</v>
      </c>
      <c r="J2" t="s">
        <v>279</v>
      </c>
      <c r="K2" t="s">
        <v>1</v>
      </c>
      <c r="L2" t="s">
        <v>280</v>
      </c>
      <c r="M2" t="s">
        <v>50</v>
      </c>
      <c r="N2" t="s">
        <v>281</v>
      </c>
      <c r="O2" t="s">
        <v>282</v>
      </c>
      <c r="Q2" t="s">
        <v>283</v>
      </c>
      <c r="R2" t="s">
        <v>1</v>
      </c>
    </row>
    <row r="3" spans="1:18" x14ac:dyDescent="0.25">
      <c r="A3" t="str">
        <f>TableBHINARCH[[#This Row],[Study Package Code]]</f>
        <v>COMS1010</v>
      </c>
      <c r="B3" s="2">
        <f>TableBHINARCH[[#This Row],[Ver]]</f>
        <v>2</v>
      </c>
      <c r="D3" t="str">
        <f>TableBHINARCH[[#This Row],[Structure Line]]</f>
        <v>Academic and Professional Communications</v>
      </c>
      <c r="E3" s="46">
        <f>TableBHINARCH[[#This Row],[Credit Points]]</f>
        <v>25</v>
      </c>
      <c r="F3">
        <v>1</v>
      </c>
      <c r="G3" t="s">
        <v>284</v>
      </c>
      <c r="H3">
        <v>1</v>
      </c>
      <c r="I3" t="s">
        <v>285</v>
      </c>
      <c r="J3" t="s">
        <v>42</v>
      </c>
      <c r="K3">
        <v>2</v>
      </c>
      <c r="L3" t="s">
        <v>200</v>
      </c>
      <c r="M3">
        <v>25</v>
      </c>
      <c r="N3" s="76">
        <v>42917</v>
      </c>
      <c r="O3" s="76"/>
      <c r="Q3" t="s">
        <v>42</v>
      </c>
      <c r="R3">
        <v>2</v>
      </c>
    </row>
    <row r="4" spans="1:18" x14ac:dyDescent="0.25">
      <c r="A4" t="str">
        <f>TableBHINARCH[[#This Row],[Study Package Code]]</f>
        <v>ARCH1015</v>
      </c>
      <c r="B4" s="2">
        <f>TableBHINARCH[[#This Row],[Ver]]</f>
        <v>3</v>
      </c>
      <c r="D4" t="str">
        <f>TableBHINARCH[[#This Row],[Structure Line]]</f>
        <v>Architecture and Interior Architecture Design Studio 1 - Small Structures</v>
      </c>
      <c r="E4" s="46">
        <f>TableBHINARCH[[#This Row],[Credit Points]]</f>
        <v>25</v>
      </c>
      <c r="F4">
        <v>2</v>
      </c>
      <c r="G4" t="s">
        <v>284</v>
      </c>
      <c r="H4">
        <v>1</v>
      </c>
      <c r="I4" t="s">
        <v>285</v>
      </c>
      <c r="J4" t="s">
        <v>54</v>
      </c>
      <c r="K4">
        <v>3</v>
      </c>
      <c r="L4" t="s">
        <v>183</v>
      </c>
      <c r="M4">
        <v>25</v>
      </c>
      <c r="N4" s="76">
        <v>44562</v>
      </c>
      <c r="O4" s="76"/>
      <c r="Q4" t="s">
        <v>54</v>
      </c>
      <c r="R4">
        <v>3</v>
      </c>
    </row>
    <row r="5" spans="1:18" x14ac:dyDescent="0.25">
      <c r="A5" t="str">
        <f>TableBHINARCH[[#This Row],[Study Package Code]]</f>
        <v>ARCH1018</v>
      </c>
      <c r="B5" s="2">
        <f>TableBHINARCH[[#This Row],[Ver]]</f>
        <v>3</v>
      </c>
      <c r="D5" t="str">
        <f>TableBHINARCH[[#This Row],[Structure Line]]</f>
        <v>Architecture and Interior Architecture Methods 1A - Analogue Literacy</v>
      </c>
      <c r="E5" s="46">
        <f>TableBHINARCH[[#This Row],[Credit Points]]</f>
        <v>25</v>
      </c>
      <c r="F5">
        <v>3</v>
      </c>
      <c r="G5" t="s">
        <v>284</v>
      </c>
      <c r="H5">
        <v>1</v>
      </c>
      <c r="I5" t="s">
        <v>285</v>
      </c>
      <c r="J5" t="s">
        <v>53</v>
      </c>
      <c r="K5">
        <v>3</v>
      </c>
      <c r="L5" t="s">
        <v>187</v>
      </c>
      <c r="M5">
        <v>25</v>
      </c>
      <c r="N5" s="76">
        <v>44562</v>
      </c>
      <c r="O5" s="76"/>
      <c r="Q5" t="s">
        <v>53</v>
      </c>
      <c r="R5">
        <v>3</v>
      </c>
    </row>
    <row r="6" spans="1:18" x14ac:dyDescent="0.25">
      <c r="A6" t="str">
        <f>TableBHINARCH[[#This Row],[Study Package Code]]</f>
        <v>ARCH1016</v>
      </c>
      <c r="B6" s="2">
        <f>TableBHINARCH[[#This Row],[Ver]]</f>
        <v>3</v>
      </c>
      <c r="D6" t="str">
        <f>TableBHINARCH[[#This Row],[Structure Line]]</f>
        <v>Architecture and Interior Architecture Methods 1B - Digital Literacy</v>
      </c>
      <c r="E6" s="46">
        <f>TableBHINARCH[[#This Row],[Credit Points]]</f>
        <v>25</v>
      </c>
      <c r="F6">
        <v>4</v>
      </c>
      <c r="G6" t="s">
        <v>284</v>
      </c>
      <c r="H6">
        <v>1</v>
      </c>
      <c r="I6" t="s">
        <v>285</v>
      </c>
      <c r="J6" t="s">
        <v>47</v>
      </c>
      <c r="K6">
        <v>3</v>
      </c>
      <c r="L6" t="s">
        <v>186</v>
      </c>
      <c r="M6">
        <v>25</v>
      </c>
      <c r="N6" s="76">
        <v>44562</v>
      </c>
      <c r="O6" s="76"/>
      <c r="Q6" t="s">
        <v>47</v>
      </c>
      <c r="R6">
        <v>3</v>
      </c>
    </row>
    <row r="7" spans="1:18" x14ac:dyDescent="0.25">
      <c r="A7" t="str">
        <f>TableBHINARCH[[#This Row],[Study Package Code]]</f>
        <v>INAR1012</v>
      </c>
      <c r="B7" s="2">
        <f>TableBHINARCH[[#This Row],[Ver]]</f>
        <v>1</v>
      </c>
      <c r="D7" t="str">
        <f>TableBHINARCH[[#This Row],[Structure Line]]</f>
        <v>History of the Interior</v>
      </c>
      <c r="E7" s="46">
        <f>TableBHINARCH[[#This Row],[Credit Points]]</f>
        <v>25</v>
      </c>
      <c r="F7">
        <v>5</v>
      </c>
      <c r="G7" t="s">
        <v>284</v>
      </c>
      <c r="H7">
        <v>1</v>
      </c>
      <c r="I7" t="s">
        <v>285</v>
      </c>
      <c r="J7" t="s">
        <v>44</v>
      </c>
      <c r="K7">
        <v>1</v>
      </c>
      <c r="L7" t="s">
        <v>228</v>
      </c>
      <c r="M7">
        <v>25</v>
      </c>
      <c r="N7" s="76">
        <v>43101</v>
      </c>
      <c r="O7" s="76"/>
      <c r="Q7" t="s">
        <v>44</v>
      </c>
      <c r="R7">
        <v>1</v>
      </c>
    </row>
    <row r="8" spans="1:18" x14ac:dyDescent="0.25">
      <c r="A8" t="str">
        <f>TableBHINARCH[[#This Row],[Study Package Code]]</f>
        <v>INAR1010</v>
      </c>
      <c r="B8" s="2">
        <f>TableBHINARCH[[#This Row],[Ver]]</f>
        <v>4</v>
      </c>
      <c r="D8" t="str">
        <f>TableBHINARCH[[#This Row],[Structure Line]]</f>
        <v>Interior Architecture Studio - Foundation</v>
      </c>
      <c r="E8" s="46">
        <f>TableBHINARCH[[#This Row],[Credit Points]]</f>
        <v>25</v>
      </c>
      <c r="F8">
        <v>6</v>
      </c>
      <c r="G8" t="s">
        <v>284</v>
      </c>
      <c r="H8">
        <v>1</v>
      </c>
      <c r="I8" t="s">
        <v>285</v>
      </c>
      <c r="J8" t="s">
        <v>46</v>
      </c>
      <c r="K8">
        <v>4</v>
      </c>
      <c r="L8" t="s">
        <v>227</v>
      </c>
      <c r="M8">
        <v>25</v>
      </c>
      <c r="N8" s="76">
        <v>45292</v>
      </c>
      <c r="O8" s="76"/>
      <c r="Q8" t="s">
        <v>46</v>
      </c>
      <c r="R8">
        <v>4</v>
      </c>
    </row>
    <row r="9" spans="1:18" x14ac:dyDescent="0.25">
      <c r="A9" t="str">
        <f>TableBHINARCH[[#This Row],[Study Package Code]]</f>
        <v>GRDE2004</v>
      </c>
      <c r="B9" s="2">
        <f>TableBHINARCH[[#This Row],[Ver]]</f>
        <v>2</v>
      </c>
      <c r="D9" t="str">
        <f>TableBHINARCH[[#This Row],[Structure Line]]</f>
        <v>3D Modelling and Digital Fabrication</v>
      </c>
      <c r="E9" s="46">
        <f>TableBHINARCH[[#This Row],[Credit Points]]</f>
        <v>25</v>
      </c>
      <c r="F9">
        <v>7</v>
      </c>
      <c r="G9" t="s">
        <v>284</v>
      </c>
      <c r="H9">
        <v>2</v>
      </c>
      <c r="I9" t="s">
        <v>285</v>
      </c>
      <c r="J9" t="s">
        <v>75</v>
      </c>
      <c r="K9" s="98">
        <v>2</v>
      </c>
      <c r="L9" s="98" t="s">
        <v>208</v>
      </c>
      <c r="M9">
        <v>25</v>
      </c>
      <c r="N9" s="76">
        <v>45292</v>
      </c>
      <c r="O9" s="76"/>
      <c r="Q9" t="s">
        <v>75</v>
      </c>
      <c r="R9">
        <v>2</v>
      </c>
    </row>
    <row r="10" spans="1:18" x14ac:dyDescent="0.25">
      <c r="A10" t="str">
        <f>TableBHINARCH[[#This Row],[Study Package Code]]</f>
        <v>ARCH2023</v>
      </c>
      <c r="B10" s="2">
        <f>TableBHINARCH[[#This Row],[Ver]]</f>
        <v>3</v>
      </c>
      <c r="D10" t="str">
        <f>TableBHINARCH[[#This Row],[Structure Line]]</f>
        <v>Architecture Methods 2B - Information Visualisation</v>
      </c>
      <c r="E10" s="46">
        <f>TableBHINARCH[[#This Row],[Credit Points]]</f>
        <v>25</v>
      </c>
      <c r="F10">
        <v>8</v>
      </c>
      <c r="G10" t="s">
        <v>284</v>
      </c>
      <c r="H10">
        <v>2</v>
      </c>
      <c r="I10" t="s">
        <v>285</v>
      </c>
      <c r="J10" t="s">
        <v>70</v>
      </c>
      <c r="K10" s="98">
        <v>3</v>
      </c>
      <c r="L10" s="98" t="s">
        <v>189</v>
      </c>
      <c r="M10">
        <v>25</v>
      </c>
      <c r="N10" s="76">
        <v>44562</v>
      </c>
      <c r="O10" s="76"/>
      <c r="Q10" t="s">
        <v>70</v>
      </c>
      <c r="R10">
        <v>3</v>
      </c>
    </row>
    <row r="11" spans="1:18" x14ac:dyDescent="0.25">
      <c r="A11" t="str">
        <f>TableBHINARCH[[#This Row],[Study Package Code]]</f>
        <v>ARCH2024</v>
      </c>
      <c r="B11" s="2">
        <f>TableBHINARCH[[#This Row],[Ver]]</f>
        <v>3</v>
      </c>
      <c r="D11" t="str">
        <f>TableBHINARCH[[#This Row],[Structure Line]]</f>
        <v>Architecture and Interior Architecture Design Studio 2A - Residential Typology and Grammar</v>
      </c>
      <c r="E11" s="46">
        <f>TableBHINARCH[[#This Row],[Credit Points]]</f>
        <v>25</v>
      </c>
      <c r="F11">
        <v>9</v>
      </c>
      <c r="G11" t="s">
        <v>284</v>
      </c>
      <c r="H11">
        <v>2</v>
      </c>
      <c r="I11" t="s">
        <v>285</v>
      </c>
      <c r="J11" t="s">
        <v>71</v>
      </c>
      <c r="K11">
        <v>3</v>
      </c>
      <c r="L11" t="s">
        <v>191</v>
      </c>
      <c r="M11">
        <v>25</v>
      </c>
      <c r="N11" s="76">
        <v>44562</v>
      </c>
      <c r="O11" s="76"/>
      <c r="Q11" t="s">
        <v>71</v>
      </c>
      <c r="R11">
        <v>3</v>
      </c>
    </row>
    <row r="12" spans="1:18" x14ac:dyDescent="0.25">
      <c r="A12" t="str">
        <f>TableBHINARCH[[#This Row],[Study Package Code]]</f>
        <v>INAR2012</v>
      </c>
      <c r="B12" s="2">
        <f>TableBHINARCH[[#This Row],[Ver]]</f>
        <v>4</v>
      </c>
      <c r="D12" t="str">
        <f>TableBHINARCH[[#This Row],[Structure Line]]</f>
        <v>Interior Architecture Studio – Community</v>
      </c>
      <c r="E12" s="46">
        <f>TableBHINARCH[[#This Row],[Credit Points]]</f>
        <v>25</v>
      </c>
      <c r="F12">
        <v>10</v>
      </c>
      <c r="G12" t="s">
        <v>284</v>
      </c>
      <c r="H12">
        <v>2</v>
      </c>
      <c r="I12" t="s">
        <v>285</v>
      </c>
      <c r="J12" t="s">
        <v>72</v>
      </c>
      <c r="K12">
        <v>4</v>
      </c>
      <c r="L12" t="s">
        <v>231</v>
      </c>
      <c r="M12">
        <v>25</v>
      </c>
      <c r="N12" s="76">
        <v>45292</v>
      </c>
      <c r="O12" s="76"/>
      <c r="Q12" t="s">
        <v>72</v>
      </c>
      <c r="R12">
        <v>4</v>
      </c>
    </row>
    <row r="13" spans="1:18" x14ac:dyDescent="0.25">
      <c r="A13" t="str">
        <f>TableBHINARCH[[#This Row],[Study Package Code]]</f>
        <v>INAR2007</v>
      </c>
      <c r="B13" s="2">
        <f>TableBHINARCH[[#This Row],[Ver]]</f>
        <v>3</v>
      </c>
      <c r="D13" t="str">
        <f>TableBHINARCH[[#This Row],[Structure Line]]</f>
        <v>Interior Architecture Fundamentals</v>
      </c>
      <c r="E13" s="46">
        <f>TableBHINARCH[[#This Row],[Credit Points]]</f>
        <v>25</v>
      </c>
      <c r="F13">
        <v>11</v>
      </c>
      <c r="G13" t="s">
        <v>284</v>
      </c>
      <c r="H13">
        <v>2</v>
      </c>
      <c r="I13" t="s">
        <v>285</v>
      </c>
      <c r="J13" t="s">
        <v>68</v>
      </c>
      <c r="K13">
        <v>3</v>
      </c>
      <c r="L13" t="s">
        <v>229</v>
      </c>
      <c r="M13">
        <v>25</v>
      </c>
      <c r="N13" s="76">
        <v>45292</v>
      </c>
      <c r="O13" s="76"/>
      <c r="Q13" t="s">
        <v>68</v>
      </c>
      <c r="R13">
        <v>3</v>
      </c>
    </row>
    <row r="14" spans="1:18" x14ac:dyDescent="0.25">
      <c r="A14" t="str">
        <f>TableBHINARCH[[#This Row],[Study Package Code]]</f>
        <v>INAR2022</v>
      </c>
      <c r="B14" s="2">
        <f>TableBHINARCH[[#This Row],[Ver]]</f>
        <v>1</v>
      </c>
      <c r="D14" t="str">
        <f>TableBHINARCH[[#This Row],[Structure Line]]</f>
        <v>Philosophy and Practice</v>
      </c>
      <c r="E14" s="46">
        <f>TableBHINARCH[[#This Row],[Credit Points]]</f>
        <v>25</v>
      </c>
      <c r="F14">
        <v>12</v>
      </c>
      <c r="G14" t="s">
        <v>284</v>
      </c>
      <c r="H14">
        <v>2</v>
      </c>
      <c r="I14" t="s">
        <v>285</v>
      </c>
      <c r="J14" t="s">
        <v>74</v>
      </c>
      <c r="K14">
        <v>1</v>
      </c>
      <c r="L14" t="s">
        <v>232</v>
      </c>
      <c r="M14">
        <v>25</v>
      </c>
      <c r="N14" s="76">
        <v>44562</v>
      </c>
      <c r="O14" s="76"/>
      <c r="Q14" t="s">
        <v>74</v>
      </c>
      <c r="R14">
        <v>1</v>
      </c>
    </row>
    <row r="15" spans="1:18" x14ac:dyDescent="0.25">
      <c r="A15" t="str">
        <f>TableBHINARCH[[#This Row],[Study Package Code]]</f>
        <v>INAR2024</v>
      </c>
      <c r="B15" s="2">
        <f>TableBHINARCH[[#This Row],[Ver]]</f>
        <v>1</v>
      </c>
      <c r="D15" t="str">
        <f>TableBHINARCH[[#This Row],[Structure Line]]</f>
        <v>Design Fabrication</v>
      </c>
      <c r="E15" s="46">
        <f>TableBHINARCH[[#This Row],[Credit Points]]</f>
        <v>25</v>
      </c>
      <c r="F15">
        <v>13</v>
      </c>
      <c r="G15" t="s">
        <v>284</v>
      </c>
      <c r="H15">
        <v>3</v>
      </c>
      <c r="I15" t="s">
        <v>285</v>
      </c>
      <c r="J15" t="s">
        <v>92</v>
      </c>
      <c r="K15">
        <v>1</v>
      </c>
      <c r="L15" t="s">
        <v>286</v>
      </c>
      <c r="M15">
        <v>25</v>
      </c>
      <c r="N15" s="76">
        <v>45292</v>
      </c>
      <c r="O15" s="76"/>
      <c r="Q15" t="s">
        <v>92</v>
      </c>
      <c r="R15">
        <v>1</v>
      </c>
    </row>
    <row r="16" spans="1:18" x14ac:dyDescent="0.25">
      <c r="A16" t="str">
        <f>TableBHINARCH[[#This Row],[Study Package Code]]</f>
        <v>URDE3007</v>
      </c>
      <c r="B16" s="2">
        <f>TableBHINARCH[[#This Row],[Ver]]</f>
        <v>2</v>
      </c>
      <c r="D16" t="str">
        <f>TableBHINARCH[[#This Row],[Structure Line]]</f>
        <v>Design and Built Environment Research Methods</v>
      </c>
      <c r="E16" s="46">
        <f>TableBHINARCH[[#This Row],[Credit Points]]</f>
        <v>25</v>
      </c>
      <c r="F16">
        <v>14</v>
      </c>
      <c r="G16" t="s">
        <v>284</v>
      </c>
      <c r="H16">
        <v>3</v>
      </c>
      <c r="I16" t="s">
        <v>285</v>
      </c>
      <c r="J16" t="s">
        <v>89</v>
      </c>
      <c r="K16">
        <v>2</v>
      </c>
      <c r="L16" t="s">
        <v>266</v>
      </c>
      <c r="M16">
        <v>25</v>
      </c>
      <c r="N16" s="76">
        <v>44197</v>
      </c>
      <c r="O16" s="76"/>
      <c r="Q16" t="s">
        <v>89</v>
      </c>
      <c r="R16">
        <v>2</v>
      </c>
    </row>
    <row r="17" spans="1:18" x14ac:dyDescent="0.25">
      <c r="A17" t="str">
        <f>TableBHINARCH[[#This Row],[Study Package Code]]</f>
        <v>ARCH3006</v>
      </c>
      <c r="B17" s="2">
        <f>TableBHINARCH[[#This Row],[Ver]]</f>
        <v>3</v>
      </c>
      <c r="D17" t="str">
        <f>TableBHINARCH[[#This Row],[Structure Line]]</f>
        <v>Environmental and Building Systems in Architecture</v>
      </c>
      <c r="E17" s="46">
        <f>TableBHINARCH[[#This Row],[Credit Points]]</f>
        <v>25</v>
      </c>
      <c r="F17">
        <v>15</v>
      </c>
      <c r="G17" t="s">
        <v>284</v>
      </c>
      <c r="H17">
        <v>3</v>
      </c>
      <c r="I17" t="s">
        <v>285</v>
      </c>
      <c r="J17" t="s">
        <v>95</v>
      </c>
      <c r="K17">
        <v>3</v>
      </c>
      <c r="L17" t="s">
        <v>287</v>
      </c>
      <c r="M17">
        <v>25</v>
      </c>
      <c r="N17" s="76">
        <v>44562</v>
      </c>
      <c r="O17" s="76"/>
      <c r="Q17" t="s">
        <v>95</v>
      </c>
      <c r="R17">
        <v>3</v>
      </c>
    </row>
    <row r="18" spans="1:18" x14ac:dyDescent="0.25">
      <c r="A18" t="str">
        <f>TableBHINARCH[[#This Row],[Study Package Code]]</f>
        <v>INAR3020</v>
      </c>
      <c r="B18" s="2">
        <f>TableBHINARCH[[#This Row],[Ver]]</f>
        <v>1</v>
      </c>
      <c r="D18" t="str">
        <f>TableBHINARCH[[#This Row],[Structure Line]]</f>
        <v>Furniture Design</v>
      </c>
      <c r="E18" s="46">
        <f>TableBHINARCH[[#This Row],[Credit Points]]</f>
        <v>25</v>
      </c>
      <c r="F18">
        <v>16</v>
      </c>
      <c r="G18" t="s">
        <v>284</v>
      </c>
      <c r="H18">
        <v>3</v>
      </c>
      <c r="I18" t="s">
        <v>285</v>
      </c>
      <c r="J18" t="s">
        <v>98</v>
      </c>
      <c r="K18">
        <v>1</v>
      </c>
      <c r="L18" t="s">
        <v>288</v>
      </c>
      <c r="M18">
        <v>25</v>
      </c>
      <c r="N18" s="76">
        <v>45292</v>
      </c>
      <c r="O18" s="76"/>
      <c r="Q18" t="s">
        <v>98</v>
      </c>
      <c r="R18">
        <v>1</v>
      </c>
    </row>
    <row r="19" spans="1:18" x14ac:dyDescent="0.25">
      <c r="A19" t="str">
        <f>TableBHINARCH[[#This Row],[Study Package Code]]</f>
        <v>INAR3022</v>
      </c>
      <c r="B19" s="2">
        <f>TableBHINARCH[[#This Row],[Ver]]</f>
        <v>1</v>
      </c>
      <c r="D19" t="str">
        <f>TableBHINARCH[[#This Row],[Structure Line]]</f>
        <v>Interior Architecture Practice 1</v>
      </c>
      <c r="E19" s="46">
        <f>TableBHINARCH[[#This Row],[Credit Points]]</f>
        <v>25</v>
      </c>
      <c r="F19">
        <v>17</v>
      </c>
      <c r="G19" t="s">
        <v>284</v>
      </c>
      <c r="H19">
        <v>3</v>
      </c>
      <c r="I19" t="s">
        <v>285</v>
      </c>
      <c r="J19" t="s">
        <v>101</v>
      </c>
      <c r="K19">
        <v>1</v>
      </c>
      <c r="L19" t="s">
        <v>289</v>
      </c>
      <c r="M19">
        <v>25</v>
      </c>
      <c r="N19" s="76">
        <v>45292</v>
      </c>
      <c r="O19" s="76"/>
      <c r="Q19" t="s">
        <v>101</v>
      </c>
      <c r="R19">
        <v>1</v>
      </c>
    </row>
    <row r="20" spans="1:18" x14ac:dyDescent="0.25">
      <c r="A20" t="str">
        <f>TableBHINARCH[[#This Row],[Study Package Code]]</f>
        <v>INAR3024</v>
      </c>
      <c r="B20" s="2">
        <f>TableBHINARCH[[#This Row],[Ver]]</f>
        <v>1</v>
      </c>
      <c r="D20" t="str">
        <f>TableBHINARCH[[#This Row],[Structure Line]]</f>
        <v>Interior Architecture Practice 2</v>
      </c>
      <c r="E20" s="46">
        <f>TableBHINARCH[[#This Row],[Credit Points]]</f>
        <v>25</v>
      </c>
      <c r="F20">
        <v>18</v>
      </c>
      <c r="G20" t="s">
        <v>284</v>
      </c>
      <c r="H20">
        <v>3</v>
      </c>
      <c r="I20" t="s">
        <v>285</v>
      </c>
      <c r="J20" t="s">
        <v>103</v>
      </c>
      <c r="K20">
        <v>1</v>
      </c>
      <c r="L20" t="s">
        <v>290</v>
      </c>
      <c r="M20">
        <v>25</v>
      </c>
      <c r="N20" s="76">
        <v>45292</v>
      </c>
      <c r="O20" s="76"/>
      <c r="Q20" t="s">
        <v>103</v>
      </c>
      <c r="R20">
        <v>1</v>
      </c>
    </row>
    <row r="21" spans="1:18" x14ac:dyDescent="0.25">
      <c r="A21" t="str">
        <f>TableBHINARCH[[#This Row],[Study Package Code]]</f>
        <v>INAR3005</v>
      </c>
      <c r="B21" s="2">
        <f>TableBHINARCH[[#This Row],[Ver]]</f>
        <v>4</v>
      </c>
      <c r="D21" t="str">
        <f>TableBHINARCH[[#This Row],[Structure Line]]</f>
        <v>Interior Architecture Studio - Well-being</v>
      </c>
      <c r="E21" s="46">
        <f>TableBHINARCH[[#This Row],[Credit Points]]</f>
        <v>25</v>
      </c>
      <c r="F21">
        <v>19</v>
      </c>
      <c r="G21" t="s">
        <v>284</v>
      </c>
      <c r="H21">
        <v>3</v>
      </c>
      <c r="I21" t="s">
        <v>285</v>
      </c>
      <c r="J21" t="s">
        <v>104</v>
      </c>
      <c r="K21">
        <v>4</v>
      </c>
      <c r="L21" t="s">
        <v>291</v>
      </c>
      <c r="M21">
        <v>25</v>
      </c>
      <c r="N21" s="76">
        <v>45292</v>
      </c>
      <c r="O21" s="76"/>
      <c r="Q21" t="s">
        <v>104</v>
      </c>
      <c r="R21">
        <v>4</v>
      </c>
    </row>
    <row r="22" spans="1:18" x14ac:dyDescent="0.25">
      <c r="A22" t="str">
        <f>TableBHINARCH[[#This Row],[Study Package Code]]</f>
        <v>INAR3010</v>
      </c>
      <c r="B22" s="2">
        <f>TableBHINARCH[[#This Row],[Ver]]</f>
        <v>4</v>
      </c>
      <c r="D22" t="str">
        <f>TableBHINARCH[[#This Row],[Structure Line]]</f>
        <v>Interior Architecture Studio - Workplace</v>
      </c>
      <c r="E22" s="46">
        <f>TableBHINARCH[[#This Row],[Credit Points]]</f>
        <v>25</v>
      </c>
      <c r="F22">
        <v>20</v>
      </c>
      <c r="G22" t="s">
        <v>284</v>
      </c>
      <c r="H22">
        <v>3</v>
      </c>
      <c r="I22" t="s">
        <v>285</v>
      </c>
      <c r="J22" t="s">
        <v>105</v>
      </c>
      <c r="K22">
        <v>4</v>
      </c>
      <c r="L22" t="s">
        <v>292</v>
      </c>
      <c r="M22">
        <v>25</v>
      </c>
      <c r="N22" s="76">
        <v>45292</v>
      </c>
      <c r="O22" s="76"/>
      <c r="Q22" t="s">
        <v>105</v>
      </c>
      <c r="R22">
        <v>4</v>
      </c>
    </row>
    <row r="23" spans="1:18" x14ac:dyDescent="0.25">
      <c r="A23" t="str">
        <f>TableBHINARCH[[#This Row],[Study Package Code]]</f>
        <v>INAR4023</v>
      </c>
      <c r="B23" s="2">
        <f>TableBHINARCH[[#This Row],[Ver]]</f>
        <v>1</v>
      </c>
      <c r="D23" t="str">
        <f>TableBHINARCH[[#This Row],[Structure Line]]</f>
        <v>Adaptive Reuse and Heritage</v>
      </c>
      <c r="E23" s="46">
        <f>TableBHINARCH[[#This Row],[Credit Points]]</f>
        <v>25</v>
      </c>
      <c r="F23">
        <v>21</v>
      </c>
      <c r="G23" t="s">
        <v>284</v>
      </c>
      <c r="H23">
        <v>4</v>
      </c>
      <c r="I23" t="s">
        <v>285</v>
      </c>
      <c r="J23" t="s">
        <v>107</v>
      </c>
      <c r="K23">
        <v>1</v>
      </c>
      <c r="L23" t="s">
        <v>293</v>
      </c>
      <c r="M23">
        <v>25</v>
      </c>
      <c r="N23" s="76">
        <v>45292</v>
      </c>
      <c r="O23" s="76"/>
      <c r="Q23" t="s">
        <v>107</v>
      </c>
      <c r="R23">
        <v>1</v>
      </c>
    </row>
    <row r="24" spans="1:18" x14ac:dyDescent="0.25">
      <c r="A24" t="str">
        <f>TableBHINARCH[[#This Row],[Study Package Code]]</f>
        <v>INAR4025</v>
      </c>
      <c r="B24" s="2">
        <f>TableBHINARCH[[#This Row],[Ver]]</f>
        <v>1</v>
      </c>
      <c r="D24" t="str">
        <f>TableBHINARCH[[#This Row],[Structure Line]]</f>
        <v>Design for Indoor Comfort</v>
      </c>
      <c r="E24" s="46">
        <f>TableBHINARCH[[#This Row],[Credit Points]]</f>
        <v>25</v>
      </c>
      <c r="F24">
        <v>22</v>
      </c>
      <c r="G24" t="s">
        <v>284</v>
      </c>
      <c r="H24">
        <v>4</v>
      </c>
      <c r="I24" t="s">
        <v>285</v>
      </c>
      <c r="J24" t="s">
        <v>109</v>
      </c>
      <c r="K24">
        <v>1</v>
      </c>
      <c r="L24" t="s">
        <v>294</v>
      </c>
      <c r="M24">
        <v>25</v>
      </c>
      <c r="N24" s="76">
        <v>45292</v>
      </c>
      <c r="O24" s="76"/>
      <c r="Q24" t="s">
        <v>109</v>
      </c>
      <c r="R24">
        <v>1</v>
      </c>
    </row>
    <row r="25" spans="1:18" x14ac:dyDescent="0.25">
      <c r="A25" t="str">
        <f>TableBHINARCH[[#This Row],[Study Package Code]]</f>
        <v>INAR4033</v>
      </c>
      <c r="B25" s="2">
        <f>TableBHINARCH[[#This Row],[Ver]]</f>
        <v>1</v>
      </c>
      <c r="D25" t="str">
        <f>TableBHINARCH[[#This Row],[Structure Line]]</f>
        <v>Interior Architecture Honours Project</v>
      </c>
      <c r="E25" s="46">
        <f>TableBHINARCH[[#This Row],[Credit Points]]</f>
        <v>50</v>
      </c>
      <c r="F25">
        <v>23</v>
      </c>
      <c r="G25" t="s">
        <v>284</v>
      </c>
      <c r="H25">
        <v>4</v>
      </c>
      <c r="I25" t="s">
        <v>285</v>
      </c>
      <c r="J25" t="s">
        <v>116</v>
      </c>
      <c r="K25">
        <v>1</v>
      </c>
      <c r="L25" t="s">
        <v>295</v>
      </c>
      <c r="M25">
        <v>50</v>
      </c>
      <c r="N25" s="76">
        <v>45292</v>
      </c>
      <c r="O25" s="76"/>
      <c r="Q25" t="s">
        <v>116</v>
      </c>
      <c r="R25">
        <v>1</v>
      </c>
    </row>
    <row r="26" spans="1:18" x14ac:dyDescent="0.25">
      <c r="A26" t="str">
        <f>TableBHINARCH[[#This Row],[Study Package Code]]</f>
        <v>INAR4031</v>
      </c>
      <c r="B26" s="2">
        <f>TableBHINARCH[[#This Row],[Ver]]</f>
        <v>1</v>
      </c>
      <c r="D26" t="str">
        <f>TableBHINARCH[[#This Row],[Structure Line]]</f>
        <v>Interior Architecture Honours Proposal</v>
      </c>
      <c r="E26" s="46">
        <f>TableBHINARCH[[#This Row],[Credit Points]]</f>
        <v>50</v>
      </c>
      <c r="F26">
        <v>24</v>
      </c>
      <c r="G26" t="s">
        <v>284</v>
      </c>
      <c r="H26">
        <v>4</v>
      </c>
      <c r="I26" t="s">
        <v>285</v>
      </c>
      <c r="J26" t="s">
        <v>113</v>
      </c>
      <c r="K26">
        <v>1</v>
      </c>
      <c r="L26" t="s">
        <v>296</v>
      </c>
      <c r="M26">
        <v>50</v>
      </c>
      <c r="N26" s="76">
        <v>45292</v>
      </c>
      <c r="O26" s="76"/>
      <c r="Q26" t="s">
        <v>113</v>
      </c>
      <c r="R26">
        <v>1</v>
      </c>
    </row>
    <row r="27" spans="1:18" x14ac:dyDescent="0.25">
      <c r="A27" t="str">
        <f>TableBHINARCH[[#This Row],[Study Package Code]]</f>
        <v>INAR4027</v>
      </c>
      <c r="B27" s="2">
        <f>TableBHINARCH[[#This Row],[Ver]]</f>
        <v>1</v>
      </c>
      <c r="D27" t="str">
        <f>TableBHINARCH[[#This Row],[Structure Line]]</f>
        <v>Interior Lighting Design</v>
      </c>
      <c r="E27" s="46">
        <f>TableBHINARCH[[#This Row],[Credit Points]]</f>
        <v>25</v>
      </c>
      <c r="F27">
        <v>25</v>
      </c>
      <c r="G27" t="s">
        <v>284</v>
      </c>
      <c r="H27">
        <v>4</v>
      </c>
      <c r="I27" t="s">
        <v>285</v>
      </c>
      <c r="J27" t="s">
        <v>110</v>
      </c>
      <c r="K27">
        <v>1</v>
      </c>
      <c r="L27" t="s">
        <v>297</v>
      </c>
      <c r="M27">
        <v>25</v>
      </c>
      <c r="N27" s="76">
        <v>45292</v>
      </c>
      <c r="O27" s="76"/>
      <c r="Q27" t="s">
        <v>110</v>
      </c>
      <c r="R27">
        <v>1</v>
      </c>
    </row>
    <row r="28" spans="1:18" x14ac:dyDescent="0.25">
      <c r="A28" t="str">
        <f>TableBHINARCH[[#This Row],[Study Package Code]]</f>
        <v>INAR4029</v>
      </c>
      <c r="B28" s="2">
        <f>TableBHINARCH[[#This Row],[Ver]]</f>
        <v>1</v>
      </c>
      <c r="D28" t="str">
        <f>TableBHINARCH[[#This Row],[Structure Line]]</f>
        <v>Sustainable Future and the Built Environment</v>
      </c>
      <c r="E28" s="46">
        <f>TableBHINARCH[[#This Row],[Credit Points]]</f>
        <v>25</v>
      </c>
      <c r="F28">
        <v>26</v>
      </c>
      <c r="G28" t="s">
        <v>284</v>
      </c>
      <c r="H28">
        <v>4</v>
      </c>
      <c r="I28" t="s">
        <v>285</v>
      </c>
      <c r="J28" t="s">
        <v>112</v>
      </c>
      <c r="K28">
        <v>1</v>
      </c>
      <c r="L28" t="s">
        <v>298</v>
      </c>
      <c r="M28">
        <v>25</v>
      </c>
      <c r="N28" s="76">
        <v>45292</v>
      </c>
      <c r="O28" s="76"/>
      <c r="Q28" t="s">
        <v>112</v>
      </c>
      <c r="R28">
        <v>1</v>
      </c>
    </row>
    <row r="29" spans="1:18" x14ac:dyDescent="0.25">
      <c r="A29" t="str">
        <f>TableBHINARCH[[#This Row],[Study Package Code]]</f>
        <v>Specialisation</v>
      </c>
      <c r="B29" s="2">
        <f>TableBHINARCH[[#This Row],[Ver]]</f>
        <v>0</v>
      </c>
      <c r="D29" t="str">
        <f>TableBHINARCH[[#This Row],[Structure Line]]</f>
        <v>Choose a Specialisation</v>
      </c>
      <c r="E29" s="46">
        <f>TableBHINARCH[[#This Row],[Credit Points]]</f>
        <v>100</v>
      </c>
      <c r="F29">
        <v>27</v>
      </c>
      <c r="G29" t="s">
        <v>299</v>
      </c>
      <c r="H29">
        <v>0</v>
      </c>
      <c r="I29" t="s">
        <v>285</v>
      </c>
      <c r="J29" t="s">
        <v>257</v>
      </c>
      <c r="K29">
        <v>0</v>
      </c>
      <c r="L29" t="s">
        <v>258</v>
      </c>
      <c r="M29">
        <v>100</v>
      </c>
      <c r="N29" s="76"/>
      <c r="O29" s="76"/>
      <c r="Q29" t="s">
        <v>257</v>
      </c>
      <c r="R29">
        <v>0</v>
      </c>
    </row>
    <row r="30" spans="1:18" x14ac:dyDescent="0.25">
      <c r="A30" t="str">
        <f>TableBHINARCH[[#This Row],[Study Package Code]]</f>
        <v>SPUC-ANGAD</v>
      </c>
      <c r="B30" s="2">
        <f>TableBHINARCH[[#This Row],[Ver]]</f>
        <v>1</v>
      </c>
      <c r="D30" t="str">
        <f>TableBHINARCH[[#This Row],[Structure Line]]</f>
        <v>Animation and Game Architecture Design Specialisation</v>
      </c>
      <c r="E30" s="46">
        <f>TableBHINARCH[[#This Row],[Credit Points]]</f>
        <v>100</v>
      </c>
      <c r="F30">
        <v>27</v>
      </c>
      <c r="G30" t="s">
        <v>299</v>
      </c>
      <c r="H30">
        <v>0</v>
      </c>
      <c r="I30" t="s">
        <v>285</v>
      </c>
      <c r="J30" t="s">
        <v>78</v>
      </c>
      <c r="K30">
        <v>1</v>
      </c>
      <c r="L30" t="s">
        <v>77</v>
      </c>
      <c r="M30">
        <v>100</v>
      </c>
      <c r="N30" s="76">
        <v>44562</v>
      </c>
      <c r="O30" s="76"/>
      <c r="Q30" t="s">
        <v>78</v>
      </c>
      <c r="R30">
        <v>1</v>
      </c>
    </row>
    <row r="31" spans="1:18" x14ac:dyDescent="0.25">
      <c r="A31" t="str">
        <f>TableBHINARCH[[#This Row],[Study Package Code]]</f>
        <v>SPUC-CONMS</v>
      </c>
      <c r="B31" s="2">
        <f>TableBHINARCH[[#This Row],[Ver]]</f>
        <v>1</v>
      </c>
      <c r="D31" t="str">
        <f>TableBHINARCH[[#This Row],[Structure Line]]</f>
        <v>Construction Management Specialisation</v>
      </c>
      <c r="E31" s="46">
        <f>TableBHINARCH[[#This Row],[Credit Points]]</f>
        <v>100</v>
      </c>
      <c r="F31">
        <v>27</v>
      </c>
      <c r="G31" t="s">
        <v>299</v>
      </c>
      <c r="H31">
        <v>0</v>
      </c>
      <c r="I31" t="s">
        <v>285</v>
      </c>
      <c r="J31" t="s">
        <v>83</v>
      </c>
      <c r="K31">
        <v>1</v>
      </c>
      <c r="L31" t="s">
        <v>82</v>
      </c>
      <c r="M31">
        <v>100</v>
      </c>
      <c r="N31" s="76">
        <v>44197</v>
      </c>
      <c r="O31" s="76"/>
      <c r="Q31" t="s">
        <v>83</v>
      </c>
      <c r="R31">
        <v>1</v>
      </c>
    </row>
    <row r="32" spans="1:18" x14ac:dyDescent="0.25">
      <c r="A32" t="str">
        <f>TableBHINARCH[[#This Row],[Study Package Code]]</f>
        <v>SPUC-DIGDE</v>
      </c>
      <c r="B32" s="2">
        <f>TableBHINARCH[[#This Row],[Ver]]</f>
        <v>1</v>
      </c>
      <c r="D32" t="str">
        <f>TableBHINARCH[[#This Row],[Structure Line]]</f>
        <v>Digital Design Specialisation</v>
      </c>
      <c r="E32" s="46">
        <f>TableBHINARCH[[#This Row],[Credit Points]]</f>
        <v>100</v>
      </c>
      <c r="F32">
        <v>27</v>
      </c>
      <c r="G32" t="s">
        <v>299</v>
      </c>
      <c r="H32">
        <v>0</v>
      </c>
      <c r="I32" t="s">
        <v>285</v>
      </c>
      <c r="J32" t="s">
        <v>87</v>
      </c>
      <c r="K32">
        <v>1</v>
      </c>
      <c r="L32" t="s">
        <v>86</v>
      </c>
      <c r="M32">
        <v>100</v>
      </c>
      <c r="N32" s="76">
        <v>44197</v>
      </c>
      <c r="O32" s="76"/>
      <c r="Q32" t="s">
        <v>87</v>
      </c>
      <c r="R32">
        <v>1</v>
      </c>
    </row>
    <row r="33" spans="1:18" x14ac:dyDescent="0.25">
      <c r="A33" t="str">
        <f>TableBHINARCH[[#This Row],[Study Package Code]]</f>
        <v>SPUC-DSGNV</v>
      </c>
      <c r="B33" s="2">
        <f>TableBHINARCH[[#This Row],[Ver]]</f>
        <v>1</v>
      </c>
      <c r="D33" t="str">
        <f>TableBHINARCH[[#This Row],[Structure Line]]</f>
        <v>Design Thinking and Visual Communication Specialisation</v>
      </c>
      <c r="E33" s="46">
        <f>TableBHINARCH[[#This Row],[Credit Points]]</f>
        <v>100</v>
      </c>
      <c r="F33">
        <v>27</v>
      </c>
      <c r="G33" t="s">
        <v>299</v>
      </c>
      <c r="H33">
        <v>0</v>
      </c>
      <c r="I33" t="s">
        <v>285</v>
      </c>
      <c r="J33" t="s">
        <v>85</v>
      </c>
      <c r="K33">
        <v>1</v>
      </c>
      <c r="L33" t="s">
        <v>84</v>
      </c>
      <c r="M33">
        <v>100</v>
      </c>
      <c r="N33" s="76">
        <v>44197</v>
      </c>
      <c r="O33" s="76"/>
      <c r="Q33" t="s">
        <v>85</v>
      </c>
      <c r="R33">
        <v>1</v>
      </c>
    </row>
    <row r="34" spans="1:18" x14ac:dyDescent="0.25">
      <c r="A34" t="str">
        <f>TableBHINARCH[[#This Row],[Study Package Code]]</f>
        <v>SPUC-GRPDS</v>
      </c>
      <c r="B34" s="2">
        <f>TableBHINARCH[[#This Row],[Ver]]</f>
        <v>1</v>
      </c>
      <c r="D34" t="str">
        <f>TableBHINARCH[[#This Row],[Structure Line]]</f>
        <v>Graphic Design Specialisation</v>
      </c>
      <c r="E34" s="46">
        <f>TableBHINARCH[[#This Row],[Credit Points]]</f>
        <v>100</v>
      </c>
      <c r="F34">
        <v>27</v>
      </c>
      <c r="G34" t="s">
        <v>299</v>
      </c>
      <c r="H34">
        <v>0</v>
      </c>
      <c r="I34" t="s">
        <v>285</v>
      </c>
      <c r="J34" t="s">
        <v>91</v>
      </c>
      <c r="K34">
        <v>1</v>
      </c>
      <c r="L34" t="s">
        <v>14</v>
      </c>
      <c r="M34">
        <v>100</v>
      </c>
      <c r="N34" s="76">
        <v>44197</v>
      </c>
      <c r="O34" s="76"/>
      <c r="Q34" t="s">
        <v>91</v>
      </c>
      <c r="R34">
        <v>1</v>
      </c>
    </row>
    <row r="35" spans="1:18" x14ac:dyDescent="0.25">
      <c r="A35" t="str">
        <f>TableBHINARCH[[#This Row],[Study Package Code]]</f>
        <v>SPUC-PHOTO</v>
      </c>
      <c r="B35" s="2">
        <f>TableBHINARCH[[#This Row],[Ver]]</f>
        <v>1</v>
      </c>
      <c r="D35" t="str">
        <f>TableBHINARCH[[#This Row],[Structure Line]]</f>
        <v>Photography Specialisation</v>
      </c>
      <c r="E35" s="46">
        <f>TableBHINARCH[[#This Row],[Credit Points]]</f>
        <v>100</v>
      </c>
      <c r="F35">
        <v>27</v>
      </c>
      <c r="G35" t="s">
        <v>299</v>
      </c>
      <c r="H35">
        <v>0</v>
      </c>
      <c r="I35" t="s">
        <v>285</v>
      </c>
      <c r="J35" t="s">
        <v>94</v>
      </c>
      <c r="K35">
        <v>1</v>
      </c>
      <c r="L35" t="s">
        <v>93</v>
      </c>
      <c r="M35">
        <v>100</v>
      </c>
      <c r="N35" s="76">
        <v>44197</v>
      </c>
      <c r="O35" s="76"/>
      <c r="Q35" t="s">
        <v>94</v>
      </c>
      <c r="R35">
        <v>1</v>
      </c>
    </row>
    <row r="36" spans="1:18" x14ac:dyDescent="0.25">
      <c r="A36" t="str">
        <f>TableBHINARCH[[#This Row],[Study Package Code]]</f>
        <v>SPUC-PRINP</v>
      </c>
      <c r="B36" s="2">
        <f>TableBHINARCH[[#This Row],[Ver]]</f>
        <v>1</v>
      </c>
      <c r="D36" t="str">
        <f>TableBHINARCH[[#This Row],[Structure Line]]</f>
        <v>Principles of Planning Specialisation</v>
      </c>
      <c r="E36" s="46">
        <f>TableBHINARCH[[#This Row],[Credit Points]]</f>
        <v>100</v>
      </c>
      <c r="F36">
        <v>27</v>
      </c>
      <c r="G36" t="s">
        <v>299</v>
      </c>
      <c r="H36">
        <v>0</v>
      </c>
      <c r="I36" t="s">
        <v>285</v>
      </c>
      <c r="J36" t="s">
        <v>97</v>
      </c>
      <c r="K36">
        <v>1</v>
      </c>
      <c r="L36" t="s">
        <v>96</v>
      </c>
      <c r="M36">
        <v>100</v>
      </c>
      <c r="N36" s="76">
        <v>44197</v>
      </c>
      <c r="O36" s="76"/>
      <c r="Q36" t="s">
        <v>97</v>
      </c>
      <c r="R36">
        <v>1</v>
      </c>
    </row>
    <row r="37" spans="1:18" x14ac:dyDescent="0.25">
      <c r="A37" t="str">
        <f>TableBHINARCH[[#This Row],[Study Package Code]]</f>
        <v>SPUC-URDES</v>
      </c>
      <c r="B37" s="2">
        <f>TableBHINARCH[[#This Row],[Ver]]</f>
        <v>1</v>
      </c>
      <c r="D37" t="str">
        <f>TableBHINARCH[[#This Row],[Structure Line]]</f>
        <v>Urban Design and Planning Specialisation</v>
      </c>
      <c r="E37" s="46">
        <f>TableBHINARCH[[#This Row],[Credit Points]]</f>
        <v>100</v>
      </c>
      <c r="F37">
        <v>27</v>
      </c>
      <c r="G37" t="s">
        <v>299</v>
      </c>
      <c r="H37">
        <v>0</v>
      </c>
      <c r="I37" t="s">
        <v>285</v>
      </c>
      <c r="J37" t="s">
        <v>100</v>
      </c>
      <c r="K37">
        <v>1</v>
      </c>
      <c r="L37" t="s">
        <v>99</v>
      </c>
      <c r="M37">
        <v>100</v>
      </c>
      <c r="N37" s="76">
        <v>44197</v>
      </c>
      <c r="O37" s="76"/>
      <c r="Q37" t="s">
        <v>100</v>
      </c>
      <c r="R37">
        <v>1</v>
      </c>
    </row>
    <row r="38" spans="1:18" x14ac:dyDescent="0.25">
      <c r="A38" t="str">
        <f>TableBHINARCH[[#This Row],[Study Package Code]]</f>
        <v>SPUE-ARCHT</v>
      </c>
      <c r="B38" s="2">
        <f>TableBHINARCH[[#This Row],[Ver]]</f>
        <v>1</v>
      </c>
      <c r="D38" t="str">
        <f>TableBHINARCH[[#This Row],[Structure Line]]</f>
        <v>Architectural Technology Specialisation</v>
      </c>
      <c r="E38" s="46">
        <f>TableBHINARCH[[#This Row],[Credit Points]]</f>
        <v>100</v>
      </c>
      <c r="F38">
        <v>27</v>
      </c>
      <c r="G38" t="s">
        <v>299</v>
      </c>
      <c r="H38">
        <v>0</v>
      </c>
      <c r="I38" t="s">
        <v>285</v>
      </c>
      <c r="J38" t="s">
        <v>81</v>
      </c>
      <c r="K38">
        <v>1</v>
      </c>
      <c r="L38" t="s">
        <v>80</v>
      </c>
      <c r="M38">
        <v>100</v>
      </c>
      <c r="N38" s="76">
        <v>45292</v>
      </c>
      <c r="O38" s="76"/>
      <c r="Q38" t="s">
        <v>81</v>
      </c>
      <c r="R38">
        <v>1</v>
      </c>
    </row>
    <row r="39" spans="1:18" x14ac:dyDescent="0.25">
      <c r="B39"/>
      <c r="E39"/>
      <c r="F39" s="43"/>
      <c r="G39" s="44" t="s">
        <v>271</v>
      </c>
      <c r="H39" s="45">
        <v>44562</v>
      </c>
      <c r="I39" s="43"/>
      <c r="J39" s="83" t="s">
        <v>78</v>
      </c>
      <c r="K39" s="43" t="s">
        <v>56</v>
      </c>
      <c r="L39" s="43" t="s">
        <v>77</v>
      </c>
      <c r="M39" s="43"/>
      <c r="N39" s="97" t="s">
        <v>272</v>
      </c>
      <c r="O39" s="76">
        <v>45316</v>
      </c>
    </row>
    <row r="40" spans="1:18" x14ac:dyDescent="0.25">
      <c r="A40" t="s">
        <v>0</v>
      </c>
      <c r="B40" s="2" t="s">
        <v>273</v>
      </c>
      <c r="C40" t="s">
        <v>274</v>
      </c>
      <c r="D40" t="s">
        <v>3</v>
      </c>
      <c r="E40" s="46" t="s">
        <v>275</v>
      </c>
      <c r="F40" t="s">
        <v>276</v>
      </c>
      <c r="G40" t="s">
        <v>277</v>
      </c>
      <c r="H40" t="s">
        <v>278</v>
      </c>
      <c r="I40" t="s">
        <v>21</v>
      </c>
      <c r="J40" t="s">
        <v>279</v>
      </c>
      <c r="K40" t="s">
        <v>1</v>
      </c>
      <c r="L40" t="s">
        <v>280</v>
      </c>
      <c r="M40" t="s">
        <v>50</v>
      </c>
      <c r="N40" t="s">
        <v>281</v>
      </c>
      <c r="O40" t="s">
        <v>282</v>
      </c>
      <c r="Q40" t="s">
        <v>283</v>
      </c>
      <c r="R40" t="s">
        <v>1</v>
      </c>
    </row>
    <row r="41" spans="1:18" x14ac:dyDescent="0.25">
      <c r="A41" t="str">
        <f>TableSPUCANGAD[[#This Row],[Study Package Code]]</f>
        <v>GRDE1001</v>
      </c>
      <c r="B41" s="2">
        <f>TableSPUCANGAD[[#This Row],[Ver]]</f>
        <v>1</v>
      </c>
      <c r="D41" t="str">
        <f>TableSPUCANGAD[[#This Row],[Structure Line]]</f>
        <v>Animation Design Introduction</v>
      </c>
      <c r="E41" s="46">
        <f>TableSPUCANGAD[[#This Row],[Credit Points]]</f>
        <v>25</v>
      </c>
      <c r="F41">
        <v>1</v>
      </c>
      <c r="G41" t="s">
        <v>284</v>
      </c>
      <c r="H41">
        <v>1</v>
      </c>
      <c r="I41" t="s">
        <v>285</v>
      </c>
      <c r="J41" t="s">
        <v>121</v>
      </c>
      <c r="K41">
        <v>1</v>
      </c>
      <c r="L41" t="s">
        <v>201</v>
      </c>
      <c r="M41">
        <v>25</v>
      </c>
      <c r="N41" s="76">
        <v>42005</v>
      </c>
      <c r="O41" s="76"/>
      <c r="Q41" t="s">
        <v>121</v>
      </c>
      <c r="R41">
        <v>1</v>
      </c>
    </row>
    <row r="42" spans="1:18" x14ac:dyDescent="0.25">
      <c r="A42" t="str">
        <f>TableSPUCANGAD[[#This Row],[Study Package Code]]</f>
        <v>GRDE1020</v>
      </c>
      <c r="B42" s="2">
        <f>TableSPUCANGAD[[#This Row],[Ver]]</f>
        <v>1</v>
      </c>
      <c r="D42" t="str">
        <f>TableSPUCANGAD[[#This Row],[Structure Line]]</f>
        <v>Game Design Introduction</v>
      </c>
      <c r="E42" s="46">
        <f>TableSPUCANGAD[[#This Row],[Credit Points]]</f>
        <v>25</v>
      </c>
      <c r="F42">
        <v>2</v>
      </c>
      <c r="G42" t="s">
        <v>284</v>
      </c>
      <c r="H42">
        <v>1</v>
      </c>
      <c r="I42" t="s">
        <v>285</v>
      </c>
      <c r="J42" t="s">
        <v>131</v>
      </c>
      <c r="K42">
        <v>1</v>
      </c>
      <c r="L42" t="s">
        <v>206</v>
      </c>
      <c r="M42">
        <v>25</v>
      </c>
      <c r="N42" s="76">
        <v>42736</v>
      </c>
      <c r="O42" s="76"/>
      <c r="Q42" t="s">
        <v>131</v>
      </c>
      <c r="R42">
        <v>1</v>
      </c>
    </row>
    <row r="43" spans="1:18" x14ac:dyDescent="0.25">
      <c r="A43" t="str">
        <f>TableSPUCANGAD[[#This Row],[Study Package Code]]</f>
        <v>GRDE2037</v>
      </c>
      <c r="B43" s="2">
        <f>TableSPUCANGAD[[#This Row],[Ver]]</f>
        <v>2</v>
      </c>
      <c r="D43" t="str">
        <f>TableSPUCANGAD[[#This Row],[Structure Line]]</f>
        <v>3D Level Design</v>
      </c>
      <c r="E43" s="46">
        <f>TableSPUCANGAD[[#This Row],[Credit Points]]</f>
        <v>25</v>
      </c>
      <c r="F43">
        <v>3</v>
      </c>
      <c r="G43" t="s">
        <v>284</v>
      </c>
      <c r="H43">
        <v>2</v>
      </c>
      <c r="I43" t="s">
        <v>285</v>
      </c>
      <c r="J43" t="s">
        <v>141</v>
      </c>
      <c r="K43">
        <v>2</v>
      </c>
      <c r="L43" t="s">
        <v>220</v>
      </c>
      <c r="M43">
        <v>25</v>
      </c>
      <c r="N43" s="76">
        <v>43466</v>
      </c>
      <c r="O43" s="76"/>
      <c r="Q43" t="s">
        <v>141</v>
      </c>
      <c r="R43">
        <v>2</v>
      </c>
    </row>
    <row r="44" spans="1:18" x14ac:dyDescent="0.25">
      <c r="A44" t="str">
        <f>TableSPUCANGAD[[#This Row],[Study Package Code]]</f>
        <v>AC-ANGAD</v>
      </c>
      <c r="B44" s="2">
        <f>TableSPUCANGAD[[#This Row],[Ver]]</f>
        <v>0</v>
      </c>
      <c r="D44" t="str">
        <f>TableSPUCANGAD[[#This Row],[Structure Line]]</f>
        <v>Choose GRDE3030 or WORK3000</v>
      </c>
      <c r="E44" s="46">
        <f>TableSPUCANGAD[[#This Row],[Credit Points]]</f>
        <v>25</v>
      </c>
      <c r="F44">
        <v>4</v>
      </c>
      <c r="G44" t="s">
        <v>300</v>
      </c>
      <c r="H44">
        <v>3</v>
      </c>
      <c r="I44" t="s">
        <v>285</v>
      </c>
      <c r="J44" t="s">
        <v>157</v>
      </c>
      <c r="K44">
        <v>0</v>
      </c>
      <c r="L44" t="s">
        <v>301</v>
      </c>
      <c r="M44">
        <v>25</v>
      </c>
      <c r="N44" s="76"/>
      <c r="O44" s="76"/>
      <c r="Q44" t="s">
        <v>302</v>
      </c>
      <c r="R44">
        <v>0</v>
      </c>
    </row>
    <row r="45" spans="1:18" x14ac:dyDescent="0.25">
      <c r="A45" t="str">
        <f>TableSPUCANGAD[[#This Row],[Study Package Code]]</f>
        <v>GRDE3030</v>
      </c>
      <c r="B45" s="2">
        <f>TableSPUCANGAD[[#This Row],[Ver]]</f>
        <v>2</v>
      </c>
      <c r="D45" t="str">
        <f>TableSPUCANGAD[[#This Row],[Structure Line]]</f>
        <v>Industry Project Development</v>
      </c>
      <c r="E45" s="46">
        <f>TableSPUCANGAD[[#This Row],[Credit Points]]</f>
        <v>25</v>
      </c>
      <c r="F45">
        <v>4</v>
      </c>
      <c r="G45" t="s">
        <v>300</v>
      </c>
      <c r="H45">
        <v>3</v>
      </c>
      <c r="I45" t="s">
        <v>285</v>
      </c>
      <c r="J45" t="s">
        <v>161</v>
      </c>
      <c r="K45">
        <v>2</v>
      </c>
      <c r="L45" t="s">
        <v>222</v>
      </c>
      <c r="M45">
        <v>25</v>
      </c>
      <c r="N45" s="76">
        <v>43831</v>
      </c>
      <c r="O45" s="76"/>
      <c r="Q45" t="s">
        <v>161</v>
      </c>
      <c r="R45">
        <v>2</v>
      </c>
    </row>
    <row r="46" spans="1:18" x14ac:dyDescent="0.25">
      <c r="A46" t="str">
        <f>TableSPUCANGAD[[#This Row],[Study Package Code]]</f>
        <v>WORK3000</v>
      </c>
      <c r="B46" s="2">
        <f>TableSPUCANGAD[[#This Row],[Ver]]</f>
        <v>2</v>
      </c>
      <c r="D46" t="str">
        <f>TableSPUCANGAD[[#This Row],[Structure Line]]</f>
        <v>Work Based Project</v>
      </c>
      <c r="E46" s="46">
        <f>TableSPUCANGAD[[#This Row],[Credit Points]]</f>
        <v>25</v>
      </c>
      <c r="F46">
        <v>4</v>
      </c>
      <c r="G46" t="s">
        <v>300</v>
      </c>
      <c r="H46">
        <v>3</v>
      </c>
      <c r="I46" t="s">
        <v>285</v>
      </c>
      <c r="J46" t="s">
        <v>163</v>
      </c>
      <c r="K46">
        <v>2</v>
      </c>
      <c r="L46" t="s">
        <v>303</v>
      </c>
      <c r="M46">
        <v>25</v>
      </c>
      <c r="N46" s="76">
        <v>42736</v>
      </c>
      <c r="O46" s="76"/>
      <c r="Q46" t="s">
        <v>163</v>
      </c>
      <c r="R46">
        <v>2</v>
      </c>
    </row>
    <row r="47" spans="1:18" x14ac:dyDescent="0.25">
      <c r="B47"/>
      <c r="E47"/>
      <c r="F47" s="43"/>
      <c r="G47" s="44" t="s">
        <v>271</v>
      </c>
      <c r="H47" s="45">
        <v>44197</v>
      </c>
      <c r="I47" s="43"/>
      <c r="J47" s="83" t="s">
        <v>83</v>
      </c>
      <c r="K47" s="43" t="s">
        <v>56</v>
      </c>
      <c r="L47" s="43" t="s">
        <v>82</v>
      </c>
      <c r="M47" s="43"/>
      <c r="N47" s="97" t="s">
        <v>272</v>
      </c>
      <c r="O47" s="76">
        <v>45316</v>
      </c>
    </row>
    <row r="48" spans="1:18" x14ac:dyDescent="0.25">
      <c r="A48" t="s">
        <v>0</v>
      </c>
      <c r="B48" s="2" t="s">
        <v>273</v>
      </c>
      <c r="C48" t="s">
        <v>274</v>
      </c>
      <c r="D48" t="s">
        <v>3</v>
      </c>
      <c r="E48" s="46" t="s">
        <v>275</v>
      </c>
      <c r="F48" t="s">
        <v>276</v>
      </c>
      <c r="G48" t="s">
        <v>277</v>
      </c>
      <c r="H48" t="s">
        <v>278</v>
      </c>
      <c r="I48" t="s">
        <v>21</v>
      </c>
      <c r="J48" t="s">
        <v>279</v>
      </c>
      <c r="K48" t="s">
        <v>1</v>
      </c>
      <c r="L48" t="s">
        <v>280</v>
      </c>
      <c r="M48" t="s">
        <v>50</v>
      </c>
      <c r="N48" t="s">
        <v>281</v>
      </c>
      <c r="O48" t="s">
        <v>282</v>
      </c>
      <c r="Q48" t="s">
        <v>283</v>
      </c>
      <c r="R48" t="s">
        <v>1</v>
      </c>
    </row>
    <row r="49" spans="1:18" x14ac:dyDescent="0.25">
      <c r="A49" t="str">
        <f>TableSPUCCONMS[[#This Row],[Study Package Code]]</f>
        <v>BLDG2024</v>
      </c>
      <c r="B49" s="2">
        <f>TableSPUCCONMS[[#This Row],[Ver]]</f>
        <v>2</v>
      </c>
      <c r="D49" t="str">
        <f>TableSPUCCONMS[[#This Row],[Structure Line]]</f>
        <v>Building Surveying</v>
      </c>
      <c r="E49" s="46">
        <f>TableSPUCCONMS[[#This Row],[Credit Points]]</f>
        <v>25</v>
      </c>
      <c r="F49">
        <v>1</v>
      </c>
      <c r="G49" t="s">
        <v>284</v>
      </c>
      <c r="H49">
        <v>1</v>
      </c>
      <c r="I49" t="s">
        <v>285</v>
      </c>
      <c r="J49" t="s">
        <v>143</v>
      </c>
      <c r="K49">
        <v>2</v>
      </c>
      <c r="L49" t="s">
        <v>199</v>
      </c>
      <c r="M49">
        <v>25</v>
      </c>
      <c r="N49" s="76">
        <v>43466</v>
      </c>
      <c r="O49" s="76" t="s">
        <v>304</v>
      </c>
      <c r="Q49" t="s">
        <v>143</v>
      </c>
      <c r="R49">
        <v>2</v>
      </c>
    </row>
    <row r="50" spans="1:18" x14ac:dyDescent="0.25">
      <c r="A50" t="str">
        <f>TableSPUCCONMS[[#This Row],[Study Package Code]]</f>
        <v>BLAW3030</v>
      </c>
      <c r="B50" s="2">
        <f>TableSPUCCONMS[[#This Row],[Ver]]</f>
        <v>1</v>
      </c>
      <c r="D50" t="str">
        <f>TableSPUCCONMS[[#This Row],[Structure Line]]</f>
        <v>Construction Contracts and Law</v>
      </c>
      <c r="E50" s="46">
        <f>TableSPUCCONMS[[#This Row],[Credit Points]]</f>
        <v>25</v>
      </c>
      <c r="F50">
        <v>2</v>
      </c>
      <c r="G50" t="s">
        <v>284</v>
      </c>
      <c r="H50">
        <v>1</v>
      </c>
      <c r="I50" t="s">
        <v>285</v>
      </c>
      <c r="J50" t="s">
        <v>152</v>
      </c>
      <c r="K50">
        <v>1</v>
      </c>
      <c r="L50" t="s">
        <v>196</v>
      </c>
      <c r="M50">
        <v>25</v>
      </c>
      <c r="N50" s="76">
        <v>43466</v>
      </c>
      <c r="O50" s="76" t="s">
        <v>304</v>
      </c>
      <c r="Q50" t="s">
        <v>152</v>
      </c>
      <c r="R50">
        <v>1</v>
      </c>
    </row>
    <row r="51" spans="1:18" x14ac:dyDescent="0.25">
      <c r="A51" t="str">
        <f>TableSPUCCONMS[[#This Row],[Study Package Code]]</f>
        <v>BLDG1001</v>
      </c>
      <c r="B51" s="2">
        <f>TableSPUCCONMS[[#This Row],[Ver]]</f>
        <v>3</v>
      </c>
      <c r="D51" t="str">
        <f>TableSPUCCONMS[[#This Row],[Structure Line]]</f>
        <v>High-rise Construction</v>
      </c>
      <c r="E51" s="46">
        <f>TableSPUCCONMS[[#This Row],[Credit Points]]</f>
        <v>25</v>
      </c>
      <c r="F51">
        <v>3</v>
      </c>
      <c r="G51" t="s">
        <v>284</v>
      </c>
      <c r="H51">
        <v>1</v>
      </c>
      <c r="I51" t="s">
        <v>285</v>
      </c>
      <c r="J51" t="s">
        <v>133</v>
      </c>
      <c r="K51">
        <v>3</v>
      </c>
      <c r="L51" t="s">
        <v>198</v>
      </c>
      <c r="M51">
        <v>25</v>
      </c>
      <c r="N51" s="76">
        <v>44927</v>
      </c>
      <c r="O51" s="76" t="s">
        <v>304</v>
      </c>
      <c r="Q51" t="s">
        <v>133</v>
      </c>
      <c r="R51">
        <v>3</v>
      </c>
    </row>
    <row r="52" spans="1:18" x14ac:dyDescent="0.25">
      <c r="A52" t="str">
        <f>TableSPUCCONMS[[#This Row],[Study Package Code]]</f>
        <v>BLDG1000</v>
      </c>
      <c r="B52" s="2">
        <f>TableSPUCCONMS[[#This Row],[Ver]]</f>
        <v>2</v>
      </c>
      <c r="D52" t="str">
        <f>TableSPUCCONMS[[#This Row],[Structure Line]]</f>
        <v>Low Rise Construction</v>
      </c>
      <c r="E52" s="46">
        <f>TableSPUCCONMS[[#This Row],[Credit Points]]</f>
        <v>25</v>
      </c>
      <c r="F52">
        <v>4</v>
      </c>
      <c r="G52" t="s">
        <v>284</v>
      </c>
      <c r="H52">
        <v>1</v>
      </c>
      <c r="I52" t="s">
        <v>285</v>
      </c>
      <c r="J52" t="s">
        <v>123</v>
      </c>
      <c r="K52">
        <v>2</v>
      </c>
      <c r="L52" t="s">
        <v>197</v>
      </c>
      <c r="M52">
        <v>25</v>
      </c>
      <c r="N52" s="76">
        <v>43466</v>
      </c>
      <c r="O52" s="76" t="s">
        <v>304</v>
      </c>
      <c r="Q52" t="s">
        <v>123</v>
      </c>
      <c r="R52">
        <v>2</v>
      </c>
    </row>
    <row r="53" spans="1:18" x14ac:dyDescent="0.25">
      <c r="B53"/>
      <c r="E53"/>
      <c r="F53" s="43"/>
      <c r="G53" s="44" t="s">
        <v>271</v>
      </c>
      <c r="H53" s="45">
        <v>44197</v>
      </c>
      <c r="I53" s="43"/>
      <c r="J53" s="83" t="s">
        <v>87</v>
      </c>
      <c r="K53" s="43" t="s">
        <v>56</v>
      </c>
      <c r="L53" s="43" t="s">
        <v>86</v>
      </c>
      <c r="M53" s="43"/>
      <c r="N53" s="97" t="s">
        <v>272</v>
      </c>
      <c r="O53" s="76">
        <v>45316</v>
      </c>
    </row>
    <row r="54" spans="1:18" x14ac:dyDescent="0.25">
      <c r="A54" t="s">
        <v>0</v>
      </c>
      <c r="B54" s="2" t="s">
        <v>273</v>
      </c>
      <c r="C54" t="s">
        <v>274</v>
      </c>
      <c r="D54" t="s">
        <v>3</v>
      </c>
      <c r="E54" s="46" t="s">
        <v>275</v>
      </c>
      <c r="F54" t="s">
        <v>276</v>
      </c>
      <c r="G54" t="s">
        <v>277</v>
      </c>
      <c r="H54" t="s">
        <v>278</v>
      </c>
      <c r="I54" t="s">
        <v>21</v>
      </c>
      <c r="J54" t="s">
        <v>279</v>
      </c>
      <c r="K54" t="s">
        <v>1</v>
      </c>
      <c r="L54" t="s">
        <v>280</v>
      </c>
      <c r="M54" t="s">
        <v>50</v>
      </c>
      <c r="N54" t="s">
        <v>281</v>
      </c>
      <c r="O54" t="s">
        <v>282</v>
      </c>
      <c r="Q54" t="s">
        <v>283</v>
      </c>
      <c r="R54" t="s">
        <v>1</v>
      </c>
    </row>
    <row r="55" spans="1:18" x14ac:dyDescent="0.25">
      <c r="A55" t="str">
        <f>TableSPUCDIGDE[[#This Row],[Study Package Code]]</f>
        <v>GRDE1016</v>
      </c>
      <c r="B55" s="2">
        <f>TableSPUCDIGDE[[#This Row],[Ver]]</f>
        <v>2</v>
      </c>
      <c r="D55" t="str">
        <f>TableSPUCDIGDE[[#This Row],[Structure Line]]</f>
        <v>Digital Design 1</v>
      </c>
      <c r="E55" s="46">
        <f>TableSPUCDIGDE[[#This Row],[Credit Points]]</f>
        <v>25</v>
      </c>
      <c r="F55">
        <v>1</v>
      </c>
      <c r="G55" t="s">
        <v>284</v>
      </c>
      <c r="H55">
        <v>0</v>
      </c>
      <c r="I55" t="s">
        <v>285</v>
      </c>
      <c r="J55" t="s">
        <v>124</v>
      </c>
      <c r="K55">
        <v>2</v>
      </c>
      <c r="L55" t="s">
        <v>204</v>
      </c>
      <c r="M55">
        <v>25</v>
      </c>
      <c r="N55" s="76">
        <v>44197</v>
      </c>
      <c r="O55" s="76" t="s">
        <v>304</v>
      </c>
      <c r="Q55" t="s">
        <v>124</v>
      </c>
      <c r="R55">
        <v>2</v>
      </c>
    </row>
    <row r="56" spans="1:18" x14ac:dyDescent="0.25">
      <c r="A56" t="str">
        <f>TableSPUCDIGDE[[#This Row],[Study Package Code]]</f>
        <v>GRDE2011</v>
      </c>
      <c r="B56" s="2">
        <f>TableSPUCDIGDE[[#This Row],[Ver]]</f>
        <v>2</v>
      </c>
      <c r="D56" t="str">
        <f>TableSPUCDIGDE[[#This Row],[Structure Line]]</f>
        <v>Web Design 1</v>
      </c>
      <c r="E56" s="46">
        <f>TableSPUCDIGDE[[#This Row],[Credit Points]]</f>
        <v>25</v>
      </c>
      <c r="F56">
        <v>2</v>
      </c>
      <c r="G56" t="s">
        <v>284</v>
      </c>
      <c r="H56">
        <v>0</v>
      </c>
      <c r="I56" t="s">
        <v>285</v>
      </c>
      <c r="J56" t="s">
        <v>134</v>
      </c>
      <c r="K56">
        <v>2</v>
      </c>
      <c r="L56" t="s">
        <v>212</v>
      </c>
      <c r="M56">
        <v>25</v>
      </c>
      <c r="N56" s="76">
        <v>44197</v>
      </c>
      <c r="O56" s="76" t="s">
        <v>304</v>
      </c>
      <c r="Q56" t="s">
        <v>134</v>
      </c>
      <c r="R56">
        <v>2</v>
      </c>
    </row>
    <row r="57" spans="1:18" x14ac:dyDescent="0.25">
      <c r="A57" t="str">
        <f>TableSPUCDIGDE[[#This Row],[Study Package Code]]</f>
        <v>GRDE2013</v>
      </c>
      <c r="B57" s="2">
        <f>TableSPUCDIGDE[[#This Row],[Ver]]</f>
        <v>3</v>
      </c>
      <c r="D57" t="str">
        <f>TableSPUCDIGDE[[#This Row],[Structure Line]]</f>
        <v>Web Design 2</v>
      </c>
      <c r="E57" s="46">
        <f>TableSPUCDIGDE[[#This Row],[Credit Points]]</f>
        <v>25</v>
      </c>
      <c r="F57">
        <v>3</v>
      </c>
      <c r="G57" t="s">
        <v>284</v>
      </c>
      <c r="H57">
        <v>0</v>
      </c>
      <c r="I57" t="s">
        <v>285</v>
      </c>
      <c r="J57" t="s">
        <v>144</v>
      </c>
      <c r="K57">
        <v>3</v>
      </c>
      <c r="L57" t="s">
        <v>214</v>
      </c>
      <c r="M57">
        <v>25</v>
      </c>
      <c r="N57" s="76">
        <v>44197</v>
      </c>
      <c r="O57" s="76" t="s">
        <v>304</v>
      </c>
      <c r="Q57" t="s">
        <v>144</v>
      </c>
      <c r="R57">
        <v>3</v>
      </c>
    </row>
    <row r="58" spans="1:18" x14ac:dyDescent="0.25">
      <c r="A58" t="str">
        <f>TableSPUCDIGDE[[#This Row],[Study Package Code]]</f>
        <v>ICTE2002</v>
      </c>
      <c r="B58" s="2">
        <f>TableSPUCDIGDE[[#This Row],[Ver]]</f>
        <v>3</v>
      </c>
      <c r="D58" t="str">
        <f>TableSPUCDIGDE[[#This Row],[Structure Line]]</f>
        <v>UX Design 2</v>
      </c>
      <c r="E58" s="46">
        <f>TableSPUCDIGDE[[#This Row],[Credit Points]]</f>
        <v>25</v>
      </c>
      <c r="F58">
        <v>4</v>
      </c>
      <c r="G58" t="s">
        <v>284</v>
      </c>
      <c r="H58">
        <v>0</v>
      </c>
      <c r="I58" t="s">
        <v>285</v>
      </c>
      <c r="J58" t="s">
        <v>153</v>
      </c>
      <c r="K58">
        <v>3</v>
      </c>
      <c r="L58" t="s">
        <v>226</v>
      </c>
      <c r="M58">
        <v>25</v>
      </c>
      <c r="N58" s="76">
        <v>44197</v>
      </c>
      <c r="O58" s="76" t="s">
        <v>304</v>
      </c>
      <c r="Q58" t="s">
        <v>153</v>
      </c>
      <c r="R58">
        <v>3</v>
      </c>
    </row>
    <row r="59" spans="1:18" x14ac:dyDescent="0.25">
      <c r="B59"/>
      <c r="E59"/>
      <c r="F59" s="43"/>
      <c r="G59" s="44" t="s">
        <v>271</v>
      </c>
      <c r="H59" s="45">
        <v>44197</v>
      </c>
      <c r="I59" s="43"/>
      <c r="J59" s="83" t="s">
        <v>85</v>
      </c>
      <c r="K59" s="43" t="s">
        <v>56</v>
      </c>
      <c r="L59" s="43" t="s">
        <v>84</v>
      </c>
      <c r="M59" s="43"/>
      <c r="N59" s="97" t="s">
        <v>272</v>
      </c>
      <c r="O59" s="76">
        <v>45316</v>
      </c>
    </row>
    <row r="60" spans="1:18" x14ac:dyDescent="0.25">
      <c r="A60" t="s">
        <v>0</v>
      </c>
      <c r="B60" s="2" t="s">
        <v>273</v>
      </c>
      <c r="C60" t="s">
        <v>274</v>
      </c>
      <c r="D60" t="s">
        <v>3</v>
      </c>
      <c r="E60" s="46" t="s">
        <v>275</v>
      </c>
      <c r="F60" t="s">
        <v>276</v>
      </c>
      <c r="G60" t="s">
        <v>277</v>
      </c>
      <c r="H60" t="s">
        <v>278</v>
      </c>
      <c r="I60" t="s">
        <v>21</v>
      </c>
      <c r="J60" t="s">
        <v>279</v>
      </c>
      <c r="K60" t="s">
        <v>1</v>
      </c>
      <c r="L60" t="s">
        <v>280</v>
      </c>
      <c r="M60" t="s">
        <v>50</v>
      </c>
      <c r="N60" t="s">
        <v>281</v>
      </c>
      <c r="O60" t="s">
        <v>282</v>
      </c>
      <c r="Q60" t="s">
        <v>283</v>
      </c>
      <c r="R60" t="s">
        <v>1</v>
      </c>
    </row>
    <row r="61" spans="1:18" x14ac:dyDescent="0.25">
      <c r="A61" t="str">
        <f>TableSPUCDSGNV[[#This Row],[Study Package Code]]</f>
        <v>GRDE2008</v>
      </c>
      <c r="B61" s="2">
        <f>TableSPUCDSGNV[[#This Row],[Ver]]</f>
        <v>3</v>
      </c>
      <c r="D61" t="str">
        <f>TableSPUCDSGNV[[#This Row],[Structure Line]]</f>
        <v>Design Thinking and Visual Narrative</v>
      </c>
      <c r="E61" s="46">
        <f>TableSPUCDSGNV[[#This Row],[Credit Points]]</f>
        <v>25</v>
      </c>
      <c r="F61">
        <v>1</v>
      </c>
      <c r="G61" t="s">
        <v>284</v>
      </c>
      <c r="H61">
        <v>1</v>
      </c>
      <c r="I61" t="s">
        <v>285</v>
      </c>
      <c r="J61" t="s">
        <v>145</v>
      </c>
      <c r="K61">
        <v>3</v>
      </c>
      <c r="L61" t="s">
        <v>211</v>
      </c>
      <c r="M61">
        <v>25</v>
      </c>
      <c r="N61" s="76">
        <v>43831</v>
      </c>
      <c r="O61" s="76" t="s">
        <v>304</v>
      </c>
      <c r="Q61" t="s">
        <v>145</v>
      </c>
      <c r="R61">
        <v>3</v>
      </c>
    </row>
    <row r="62" spans="1:18" x14ac:dyDescent="0.25">
      <c r="A62" t="str">
        <f>TableSPUCDSGNV[[#This Row],[Study Package Code]]</f>
        <v>GRDE1004</v>
      </c>
      <c r="B62" s="2">
        <f>TableSPUCDSGNV[[#This Row],[Ver]]</f>
        <v>2</v>
      </c>
      <c r="D62" t="str">
        <f>TableSPUCDSGNV[[#This Row],[Structure Line]]</f>
        <v>Design Computing</v>
      </c>
      <c r="E62" s="46">
        <f>TableSPUCDSGNV[[#This Row],[Credit Points]]</f>
        <v>25</v>
      </c>
      <c r="F62">
        <v>2</v>
      </c>
      <c r="G62" t="s">
        <v>284</v>
      </c>
      <c r="H62">
        <v>1</v>
      </c>
      <c r="I62" t="s">
        <v>285</v>
      </c>
      <c r="J62" t="s">
        <v>125</v>
      </c>
      <c r="K62">
        <v>2</v>
      </c>
      <c r="L62" t="s">
        <v>202</v>
      </c>
      <c r="M62">
        <v>25</v>
      </c>
      <c r="N62" s="76">
        <v>43101</v>
      </c>
      <c r="O62" s="76" t="s">
        <v>304</v>
      </c>
      <c r="Q62" t="s">
        <v>125</v>
      </c>
      <c r="R62">
        <v>2</v>
      </c>
    </row>
    <row r="63" spans="1:18" x14ac:dyDescent="0.25">
      <c r="A63" t="str">
        <f>TableSPUCDSGNV[[#This Row],[Study Package Code]]</f>
        <v>GRDE2027</v>
      </c>
      <c r="B63" s="2">
        <f>TableSPUCDSGNV[[#This Row],[Ver]]</f>
        <v>1</v>
      </c>
      <c r="D63" t="str">
        <f>TableSPUCDSGNV[[#This Row],[Structure Line]]</f>
        <v>Photography Contexts and Practice</v>
      </c>
      <c r="E63" s="46">
        <f>TableSPUCDSGNV[[#This Row],[Credit Points]]</f>
        <v>25</v>
      </c>
      <c r="F63">
        <v>3</v>
      </c>
      <c r="G63" t="s">
        <v>284</v>
      </c>
      <c r="H63">
        <v>1</v>
      </c>
      <c r="I63" t="s">
        <v>285</v>
      </c>
      <c r="J63" t="s">
        <v>127</v>
      </c>
      <c r="K63">
        <v>1</v>
      </c>
      <c r="L63" t="s">
        <v>219</v>
      </c>
      <c r="M63">
        <v>25</v>
      </c>
      <c r="N63" s="76">
        <v>42005</v>
      </c>
      <c r="O63" s="76" t="s">
        <v>304</v>
      </c>
      <c r="Q63" t="s">
        <v>127</v>
      </c>
      <c r="R63">
        <v>1</v>
      </c>
    </row>
    <row r="64" spans="1:18" x14ac:dyDescent="0.25">
      <c r="A64" t="str">
        <f>TableSPUCDSGNV[[#This Row],[Study Package Code]]</f>
        <v>GRDE1018</v>
      </c>
      <c r="B64" s="2">
        <f>TableSPUCDSGNV[[#This Row],[Ver]]</f>
        <v>2</v>
      </c>
      <c r="D64" t="str">
        <f>TableSPUCDSGNV[[#This Row],[Structure Line]]</f>
        <v>UX Design 1</v>
      </c>
      <c r="E64" s="46">
        <f>TableSPUCDSGNV[[#This Row],[Credit Points]]</f>
        <v>25</v>
      </c>
      <c r="F64">
        <v>4</v>
      </c>
      <c r="G64" t="s">
        <v>284</v>
      </c>
      <c r="H64">
        <v>1</v>
      </c>
      <c r="I64" t="s">
        <v>285</v>
      </c>
      <c r="J64" t="s">
        <v>135</v>
      </c>
      <c r="K64">
        <v>2</v>
      </c>
      <c r="L64" t="s">
        <v>205</v>
      </c>
      <c r="M64">
        <v>25</v>
      </c>
      <c r="N64" s="76">
        <v>44197</v>
      </c>
      <c r="O64" s="76" t="s">
        <v>304</v>
      </c>
      <c r="Q64" t="s">
        <v>135</v>
      </c>
      <c r="R64">
        <v>2</v>
      </c>
    </row>
    <row r="65" spans="1:18" x14ac:dyDescent="0.25">
      <c r="B65"/>
      <c r="E65"/>
      <c r="F65" s="43"/>
      <c r="G65" s="44" t="s">
        <v>271</v>
      </c>
      <c r="H65" s="45">
        <v>44197</v>
      </c>
      <c r="I65" s="43"/>
      <c r="J65" s="83" t="s">
        <v>91</v>
      </c>
      <c r="K65" s="43" t="s">
        <v>56</v>
      </c>
      <c r="L65" s="43" t="s">
        <v>14</v>
      </c>
      <c r="M65" s="43"/>
      <c r="N65" s="97" t="s">
        <v>272</v>
      </c>
      <c r="O65" s="76">
        <v>45316</v>
      </c>
    </row>
    <row r="66" spans="1:18" x14ac:dyDescent="0.25">
      <c r="A66" t="s">
        <v>0</v>
      </c>
      <c r="B66" s="2" t="s">
        <v>273</v>
      </c>
      <c r="C66" t="s">
        <v>274</v>
      </c>
      <c r="D66" t="s">
        <v>3</v>
      </c>
      <c r="E66" s="46" t="s">
        <v>275</v>
      </c>
      <c r="F66" t="s">
        <v>276</v>
      </c>
      <c r="G66" t="s">
        <v>277</v>
      </c>
      <c r="H66" t="s">
        <v>278</v>
      </c>
      <c r="I66" t="s">
        <v>21</v>
      </c>
      <c r="J66" t="s">
        <v>279</v>
      </c>
      <c r="K66" t="s">
        <v>1</v>
      </c>
      <c r="L66" t="s">
        <v>280</v>
      </c>
      <c r="M66" t="s">
        <v>50</v>
      </c>
      <c r="N66" t="s">
        <v>281</v>
      </c>
      <c r="O66" t="s">
        <v>282</v>
      </c>
      <c r="Q66" t="s">
        <v>283</v>
      </c>
      <c r="R66" t="s">
        <v>1</v>
      </c>
    </row>
    <row r="67" spans="1:18" x14ac:dyDescent="0.25">
      <c r="A67" t="str">
        <f>TableSPUCGRPDS[[#This Row],[Study Package Code]]</f>
        <v>GRDE2007</v>
      </c>
      <c r="B67" s="2">
        <f>TableSPUCGRPDS[[#This Row],[Ver]]</f>
        <v>1</v>
      </c>
      <c r="D67" t="str">
        <f>TableSPUCGRPDS[[#This Row],[Structure Line]]</f>
        <v>Graphic Design 2</v>
      </c>
      <c r="E67" s="46">
        <f>TableSPUCGRPDS[[#This Row],[Credit Points]]</f>
        <v>25</v>
      </c>
      <c r="F67">
        <v>1</v>
      </c>
      <c r="G67" t="s">
        <v>284</v>
      </c>
      <c r="H67">
        <v>0</v>
      </c>
      <c r="I67" t="s">
        <v>285</v>
      </c>
      <c r="J67" t="s">
        <v>146</v>
      </c>
      <c r="K67">
        <v>1</v>
      </c>
      <c r="L67" t="s">
        <v>210</v>
      </c>
      <c r="M67">
        <v>25</v>
      </c>
      <c r="N67" s="76">
        <v>42005</v>
      </c>
      <c r="O67" s="76"/>
      <c r="Q67" t="s">
        <v>146</v>
      </c>
      <c r="R67">
        <v>1</v>
      </c>
    </row>
    <row r="68" spans="1:18" x14ac:dyDescent="0.25">
      <c r="A68" t="str">
        <f>TableSPUCGRPDS[[#This Row],[Study Package Code]]</f>
        <v>GRDE1026</v>
      </c>
      <c r="B68" s="2">
        <f>TableSPUCGRPDS[[#This Row],[Ver]]</f>
        <v>1</v>
      </c>
      <c r="D68" t="str">
        <f>TableSPUCGRPDS[[#This Row],[Structure Line]]</f>
        <v>Start Design Thinking</v>
      </c>
      <c r="E68" s="46">
        <f>TableSPUCGRPDS[[#This Row],[Credit Points]]</f>
        <v>25</v>
      </c>
      <c r="F68">
        <v>2</v>
      </c>
      <c r="G68" t="s">
        <v>284</v>
      </c>
      <c r="H68">
        <v>0</v>
      </c>
      <c r="I68" t="s">
        <v>285</v>
      </c>
      <c r="J68" t="s">
        <v>136</v>
      </c>
      <c r="K68">
        <v>1</v>
      </c>
      <c r="L68" t="s">
        <v>207</v>
      </c>
      <c r="M68">
        <v>25</v>
      </c>
      <c r="N68" s="76">
        <v>43466</v>
      </c>
      <c r="O68" s="76"/>
      <c r="Q68" t="s">
        <v>136</v>
      </c>
      <c r="R68">
        <v>1</v>
      </c>
    </row>
    <row r="69" spans="1:18" x14ac:dyDescent="0.25">
      <c r="A69" t="str">
        <f>TableSPUCGRPDS[[#This Row],[Study Package Code]]</f>
        <v>GRDE1005</v>
      </c>
      <c r="B69" s="2">
        <f>TableSPUCGRPDS[[#This Row],[Ver]]</f>
        <v>1</v>
      </c>
      <c r="D69" t="str">
        <f>TableSPUCGRPDS[[#This Row],[Structure Line]]</f>
        <v>Typography</v>
      </c>
      <c r="E69" s="46">
        <f>TableSPUCGRPDS[[#This Row],[Credit Points]]</f>
        <v>25</v>
      </c>
      <c r="F69">
        <v>3</v>
      </c>
      <c r="G69" t="s">
        <v>284</v>
      </c>
      <c r="H69">
        <v>0</v>
      </c>
      <c r="I69" t="s">
        <v>285</v>
      </c>
      <c r="J69" t="s">
        <v>126</v>
      </c>
      <c r="K69">
        <v>1</v>
      </c>
      <c r="L69" t="s">
        <v>203</v>
      </c>
      <c r="M69">
        <v>25</v>
      </c>
      <c r="N69" s="76">
        <v>42005</v>
      </c>
      <c r="O69" s="76"/>
      <c r="Q69" t="s">
        <v>126</v>
      </c>
      <c r="R69">
        <v>1</v>
      </c>
    </row>
    <row r="70" spans="1:18" x14ac:dyDescent="0.25">
      <c r="A70" t="str">
        <f>TableSPUCGRPDS[[#This Row],[Study Package Code]]</f>
        <v>AC-GRPDS</v>
      </c>
      <c r="B70" s="2">
        <f>TableSPUCGRPDS[[#This Row],[Ver]]</f>
        <v>0</v>
      </c>
      <c r="D70" t="str">
        <f>TableSPUCGRPDS[[#This Row],[Structure Line]]</f>
        <v>Choose GRDE2008 or GRDE2026</v>
      </c>
      <c r="E70" s="46">
        <f>TableSPUCGRPDS[[#This Row],[Credit Points]]</f>
        <v>25</v>
      </c>
      <c r="F70">
        <v>4</v>
      </c>
      <c r="G70" t="s">
        <v>284</v>
      </c>
      <c r="H70">
        <v>0</v>
      </c>
      <c r="I70" t="s">
        <v>285</v>
      </c>
      <c r="J70" t="s">
        <v>159</v>
      </c>
      <c r="K70">
        <v>0</v>
      </c>
      <c r="L70" t="s">
        <v>305</v>
      </c>
      <c r="M70">
        <v>25</v>
      </c>
      <c r="N70" s="76"/>
      <c r="O70" s="76"/>
      <c r="Q70" t="s">
        <v>306</v>
      </c>
      <c r="R70">
        <v>0</v>
      </c>
    </row>
    <row r="71" spans="1:18" x14ac:dyDescent="0.25">
      <c r="A71" t="str">
        <f>TableSPUCGRPDS[[#This Row],[Study Package Code]]</f>
        <v>GRDE2008</v>
      </c>
      <c r="B71" s="2">
        <f>TableSPUCGRPDS[[#This Row],[Ver]]</f>
        <v>3</v>
      </c>
      <c r="D71" t="str">
        <f>TableSPUCGRPDS[[#This Row],[Structure Line]]</f>
        <v>Design Thinking and Visual Narrative</v>
      </c>
      <c r="E71" s="46">
        <f>TableSPUCGRPDS[[#This Row],[Credit Points]]</f>
        <v>25</v>
      </c>
      <c r="F71">
        <v>4</v>
      </c>
      <c r="G71" t="s">
        <v>300</v>
      </c>
      <c r="H71">
        <v>0</v>
      </c>
      <c r="I71" t="s">
        <v>285</v>
      </c>
      <c r="J71" t="s">
        <v>145</v>
      </c>
      <c r="K71">
        <v>3</v>
      </c>
      <c r="L71" t="s">
        <v>211</v>
      </c>
      <c r="M71">
        <v>25</v>
      </c>
      <c r="N71" s="76">
        <v>43831</v>
      </c>
      <c r="O71" s="76"/>
      <c r="Q71" t="s">
        <v>145</v>
      </c>
      <c r="R71">
        <v>3</v>
      </c>
    </row>
    <row r="72" spans="1:18" x14ac:dyDescent="0.25">
      <c r="A72" t="str">
        <f>TableSPUCGRPDS[[#This Row],[Study Package Code]]</f>
        <v>GRDE2026</v>
      </c>
      <c r="B72" s="2">
        <f>TableSPUCGRPDS[[#This Row],[Ver]]</f>
        <v>1</v>
      </c>
      <c r="D72" t="str">
        <f>TableSPUCGRPDS[[#This Row],[Structure Line]]</f>
        <v>Creative Design Studio</v>
      </c>
      <c r="E72" s="46">
        <f>TableSPUCGRPDS[[#This Row],[Credit Points]]</f>
        <v>25</v>
      </c>
      <c r="F72">
        <v>4</v>
      </c>
      <c r="G72" t="s">
        <v>300</v>
      </c>
      <c r="H72">
        <v>0</v>
      </c>
      <c r="I72" t="s">
        <v>285</v>
      </c>
      <c r="J72" t="s">
        <v>165</v>
      </c>
      <c r="K72">
        <v>1</v>
      </c>
      <c r="L72" t="s">
        <v>216</v>
      </c>
      <c r="M72">
        <v>25</v>
      </c>
      <c r="N72" s="76">
        <v>42005</v>
      </c>
      <c r="O72" s="76"/>
      <c r="Q72" t="s">
        <v>165</v>
      </c>
      <c r="R72">
        <v>1</v>
      </c>
    </row>
    <row r="73" spans="1:18" x14ac:dyDescent="0.25">
      <c r="B73"/>
      <c r="E73"/>
      <c r="F73" s="43"/>
      <c r="G73" s="44" t="s">
        <v>271</v>
      </c>
      <c r="H73" s="45">
        <v>44197</v>
      </c>
      <c r="I73" s="43"/>
      <c r="J73" s="83" t="s">
        <v>94</v>
      </c>
      <c r="K73" s="43" t="s">
        <v>56</v>
      </c>
      <c r="L73" s="43" t="s">
        <v>93</v>
      </c>
      <c r="M73" s="43"/>
      <c r="N73" s="97" t="s">
        <v>272</v>
      </c>
      <c r="O73" s="76">
        <v>45316</v>
      </c>
    </row>
    <row r="74" spans="1:18" x14ac:dyDescent="0.25">
      <c r="A74" t="s">
        <v>0</v>
      </c>
      <c r="B74" s="2" t="s">
        <v>273</v>
      </c>
      <c r="C74" t="s">
        <v>274</v>
      </c>
      <c r="D74" t="s">
        <v>3</v>
      </c>
      <c r="E74" s="46" t="s">
        <v>275</v>
      </c>
      <c r="F74" t="s">
        <v>276</v>
      </c>
      <c r="G74" t="s">
        <v>277</v>
      </c>
      <c r="H74" t="s">
        <v>278</v>
      </c>
      <c r="I74" t="s">
        <v>21</v>
      </c>
      <c r="J74" t="s">
        <v>279</v>
      </c>
      <c r="K74" t="s">
        <v>1</v>
      </c>
      <c r="L74" t="s">
        <v>280</v>
      </c>
      <c r="M74" t="s">
        <v>50</v>
      </c>
      <c r="N74" t="s">
        <v>281</v>
      </c>
      <c r="O74" t="s">
        <v>282</v>
      </c>
      <c r="Q74" t="s">
        <v>283</v>
      </c>
      <c r="R74" t="s">
        <v>1</v>
      </c>
    </row>
    <row r="75" spans="1:18" x14ac:dyDescent="0.25">
      <c r="A75" t="str">
        <f>TableSPUCPHOTO[[#This Row],[Study Package Code]]</f>
        <v>GRDE2027</v>
      </c>
      <c r="B75" s="2">
        <f>TableSPUCPHOTO[[#This Row],[Ver]]</f>
        <v>1</v>
      </c>
      <c r="D75" t="str">
        <f>TableSPUCPHOTO[[#This Row],[Structure Line]]</f>
        <v>Photography Contexts and Practice</v>
      </c>
      <c r="E75" s="46">
        <f>TableSPUCPHOTO[[#This Row],[Credit Points]]</f>
        <v>25</v>
      </c>
      <c r="F75">
        <v>1</v>
      </c>
      <c r="G75" t="s">
        <v>284</v>
      </c>
      <c r="H75">
        <v>0</v>
      </c>
      <c r="I75" t="s">
        <v>285</v>
      </c>
      <c r="J75" t="s">
        <v>127</v>
      </c>
      <c r="K75">
        <v>1</v>
      </c>
      <c r="L75" t="s">
        <v>219</v>
      </c>
      <c r="M75">
        <v>25</v>
      </c>
      <c r="N75" s="76">
        <v>42005</v>
      </c>
      <c r="O75" s="76" t="s">
        <v>304</v>
      </c>
      <c r="Q75" t="s">
        <v>127</v>
      </c>
      <c r="R75">
        <v>1</v>
      </c>
    </row>
    <row r="76" spans="1:18" x14ac:dyDescent="0.25">
      <c r="A76" t="str">
        <f>TableSPUCPHOTO[[#This Row],[Study Package Code]]</f>
        <v>VISA3018</v>
      </c>
      <c r="B76" s="2">
        <f>TableSPUCPHOTO[[#This Row],[Ver]]</f>
        <v>1</v>
      </c>
      <c r="D76" t="str">
        <f>TableSPUCPHOTO[[#This Row],[Structure Line]]</f>
        <v>Photography Professional Practices 1</v>
      </c>
      <c r="E76" s="46">
        <f>TableSPUCPHOTO[[#This Row],[Credit Points]]</f>
        <v>25</v>
      </c>
      <c r="F76">
        <v>2</v>
      </c>
      <c r="G76" t="s">
        <v>284</v>
      </c>
      <c r="H76">
        <v>0</v>
      </c>
      <c r="I76" t="s">
        <v>285</v>
      </c>
      <c r="J76" t="s">
        <v>147</v>
      </c>
      <c r="K76">
        <v>1</v>
      </c>
      <c r="L76" t="s">
        <v>267</v>
      </c>
      <c r="M76">
        <v>25</v>
      </c>
      <c r="N76" s="76">
        <v>42005</v>
      </c>
      <c r="O76" s="76" t="s">
        <v>304</v>
      </c>
      <c r="Q76" t="s">
        <v>147</v>
      </c>
      <c r="R76">
        <v>1</v>
      </c>
    </row>
    <row r="77" spans="1:18" x14ac:dyDescent="0.25">
      <c r="A77" t="str">
        <f>TableSPUCPHOTO[[#This Row],[Study Package Code]]</f>
        <v>GRDE3036</v>
      </c>
      <c r="B77" s="2">
        <f>TableSPUCPHOTO[[#This Row],[Ver]]</f>
        <v>1</v>
      </c>
      <c r="D77" t="str">
        <f>TableSPUCPHOTO[[#This Row],[Structure Line]]</f>
        <v>Photography Project</v>
      </c>
      <c r="E77" s="46">
        <f>TableSPUCPHOTO[[#This Row],[Credit Points]]</f>
        <v>25</v>
      </c>
      <c r="F77">
        <v>3</v>
      </c>
      <c r="G77" t="s">
        <v>284</v>
      </c>
      <c r="H77">
        <v>0</v>
      </c>
      <c r="I77" t="s">
        <v>285</v>
      </c>
      <c r="J77" t="s">
        <v>154</v>
      </c>
      <c r="K77">
        <v>1</v>
      </c>
      <c r="L77" t="s">
        <v>225</v>
      </c>
      <c r="M77">
        <v>25</v>
      </c>
      <c r="N77" s="76">
        <v>43831</v>
      </c>
      <c r="O77" s="76" t="s">
        <v>304</v>
      </c>
      <c r="Q77" t="s">
        <v>154</v>
      </c>
      <c r="R77">
        <v>1</v>
      </c>
    </row>
    <row r="78" spans="1:18" x14ac:dyDescent="0.25">
      <c r="A78" t="str">
        <f>TableSPUCPHOTO[[#This Row],[Study Package Code]]</f>
        <v>GRDE2025</v>
      </c>
      <c r="B78" s="2">
        <f>TableSPUCPHOTO[[#This Row],[Ver]]</f>
        <v>1</v>
      </c>
      <c r="D78" t="str">
        <f>TableSPUCPHOTO[[#This Row],[Structure Line]]</f>
        <v>Photography Studio Processes</v>
      </c>
      <c r="E78" s="46">
        <f>TableSPUCPHOTO[[#This Row],[Credit Points]]</f>
        <v>25</v>
      </c>
      <c r="F78">
        <v>4</v>
      </c>
      <c r="G78" t="s">
        <v>284</v>
      </c>
      <c r="H78">
        <v>0</v>
      </c>
      <c r="I78" t="s">
        <v>285</v>
      </c>
      <c r="J78" t="s">
        <v>137</v>
      </c>
      <c r="K78">
        <v>1</v>
      </c>
      <c r="L78" t="s">
        <v>215</v>
      </c>
      <c r="M78">
        <v>25</v>
      </c>
      <c r="N78" s="76">
        <v>42005</v>
      </c>
      <c r="O78" s="76" t="s">
        <v>304</v>
      </c>
      <c r="Q78" t="s">
        <v>137</v>
      </c>
      <c r="R78">
        <v>1</v>
      </c>
    </row>
    <row r="79" spans="1:18" x14ac:dyDescent="0.25">
      <c r="B79"/>
      <c r="E79"/>
      <c r="F79" s="43"/>
      <c r="G79" s="44" t="s">
        <v>271</v>
      </c>
      <c r="H79" s="45">
        <v>44197</v>
      </c>
      <c r="I79" s="43"/>
      <c r="J79" s="83" t="s">
        <v>97</v>
      </c>
      <c r="K79" s="43" t="s">
        <v>56</v>
      </c>
      <c r="L79" s="43" t="s">
        <v>96</v>
      </c>
      <c r="M79" s="43"/>
      <c r="N79" s="97" t="s">
        <v>272</v>
      </c>
      <c r="O79" s="76">
        <v>45316</v>
      </c>
    </row>
    <row r="80" spans="1:18" x14ac:dyDescent="0.25">
      <c r="A80" t="s">
        <v>0</v>
      </c>
      <c r="B80" s="2" t="s">
        <v>273</v>
      </c>
      <c r="C80" t="s">
        <v>274</v>
      </c>
      <c r="D80" t="s">
        <v>3</v>
      </c>
      <c r="E80" s="46" t="s">
        <v>275</v>
      </c>
      <c r="F80" t="s">
        <v>276</v>
      </c>
      <c r="G80" t="s">
        <v>277</v>
      </c>
      <c r="H80" t="s">
        <v>278</v>
      </c>
      <c r="I80" t="s">
        <v>21</v>
      </c>
      <c r="J80" t="s">
        <v>279</v>
      </c>
      <c r="K80" t="s">
        <v>1</v>
      </c>
      <c r="L80" t="s">
        <v>280</v>
      </c>
      <c r="M80" t="s">
        <v>50</v>
      </c>
      <c r="N80" t="s">
        <v>281</v>
      </c>
      <c r="O80" t="s">
        <v>282</v>
      </c>
      <c r="Q80" t="s">
        <v>283</v>
      </c>
      <c r="R80" t="s">
        <v>1</v>
      </c>
    </row>
    <row r="81" spans="1:18" x14ac:dyDescent="0.25">
      <c r="A81" t="str">
        <f>TableSPUCPRINP[[#This Row],[Study Package Code]]</f>
        <v>URDE1003</v>
      </c>
      <c r="B81" s="2">
        <f>TableSPUCPRINP[[#This Row],[Ver]]</f>
        <v>1</v>
      </c>
      <c r="D81" t="str">
        <f>TableSPUCPRINP[[#This Row],[Structure Line]]</f>
        <v>Governance for Planning</v>
      </c>
      <c r="E81" s="46">
        <f>TableSPUCPRINP[[#This Row],[Credit Points]]</f>
        <v>25</v>
      </c>
      <c r="F81">
        <v>1</v>
      </c>
      <c r="G81" t="s">
        <v>284</v>
      </c>
      <c r="H81">
        <v>1</v>
      </c>
      <c r="I81" t="s">
        <v>285</v>
      </c>
      <c r="J81" t="s">
        <v>128</v>
      </c>
      <c r="K81">
        <v>1</v>
      </c>
      <c r="L81" t="s">
        <v>260</v>
      </c>
      <c r="M81">
        <v>25</v>
      </c>
      <c r="N81" s="76">
        <v>42005</v>
      </c>
      <c r="O81" s="76" t="s">
        <v>304</v>
      </c>
      <c r="Q81" t="s">
        <v>128</v>
      </c>
      <c r="R81">
        <v>1</v>
      </c>
    </row>
    <row r="82" spans="1:18" x14ac:dyDescent="0.25">
      <c r="A82" t="str">
        <f>TableSPUCPRINP[[#This Row],[Study Package Code]]</f>
        <v>URDE1006</v>
      </c>
      <c r="B82" s="2">
        <f>TableSPUCPRINP[[#This Row],[Ver]]</f>
        <v>1</v>
      </c>
      <c r="D82" t="str">
        <f>TableSPUCPRINP[[#This Row],[Structure Line]]</f>
        <v>Introduction to Planning</v>
      </c>
      <c r="E82" s="46">
        <f>TableSPUCPRINP[[#This Row],[Credit Points]]</f>
        <v>25</v>
      </c>
      <c r="F82">
        <v>2</v>
      </c>
      <c r="G82" t="s">
        <v>284</v>
      </c>
      <c r="H82">
        <v>1</v>
      </c>
      <c r="I82" t="s">
        <v>285</v>
      </c>
      <c r="J82" t="s">
        <v>138</v>
      </c>
      <c r="K82">
        <v>1</v>
      </c>
      <c r="L82" t="s">
        <v>261</v>
      </c>
      <c r="M82">
        <v>25</v>
      </c>
      <c r="N82" s="76">
        <v>42005</v>
      </c>
      <c r="O82" s="76" t="s">
        <v>304</v>
      </c>
      <c r="Q82" t="s">
        <v>138</v>
      </c>
      <c r="R82">
        <v>1</v>
      </c>
    </row>
    <row r="83" spans="1:18" x14ac:dyDescent="0.25">
      <c r="A83" t="str">
        <f>TableSPUCPRINP[[#This Row],[Study Package Code]]</f>
        <v>URDE2001</v>
      </c>
      <c r="B83" s="2">
        <f>TableSPUCPRINP[[#This Row],[Ver]]</f>
        <v>1</v>
      </c>
      <c r="D83" t="str">
        <f>TableSPUCPRINP[[#This Row],[Structure Line]]</f>
        <v>Participatory Planning</v>
      </c>
      <c r="E83" s="46">
        <f>TableSPUCPRINP[[#This Row],[Credit Points]]</f>
        <v>25</v>
      </c>
      <c r="F83">
        <v>3</v>
      </c>
      <c r="G83" t="s">
        <v>284</v>
      </c>
      <c r="H83">
        <v>1</v>
      </c>
      <c r="I83" t="s">
        <v>285</v>
      </c>
      <c r="J83" t="s">
        <v>148</v>
      </c>
      <c r="K83">
        <v>1</v>
      </c>
      <c r="L83" t="s">
        <v>263</v>
      </c>
      <c r="M83">
        <v>25</v>
      </c>
      <c r="N83" s="76">
        <v>42005</v>
      </c>
      <c r="O83" s="76" t="s">
        <v>304</v>
      </c>
      <c r="Q83" t="s">
        <v>148</v>
      </c>
      <c r="R83">
        <v>1</v>
      </c>
    </row>
    <row r="84" spans="1:18" x14ac:dyDescent="0.25">
      <c r="A84" t="str">
        <f>TableSPUCPRINP[[#This Row],[Study Package Code]]</f>
        <v>URDE3002</v>
      </c>
      <c r="B84" s="2">
        <f>TableSPUCPRINP[[#This Row],[Ver]]</f>
        <v>1</v>
      </c>
      <c r="D84" t="str">
        <f>TableSPUCPRINP[[#This Row],[Structure Line]]</f>
        <v>Urban Regeneration</v>
      </c>
      <c r="E84" s="46">
        <f>TableSPUCPRINP[[#This Row],[Credit Points]]</f>
        <v>25</v>
      </c>
      <c r="F84">
        <v>4</v>
      </c>
      <c r="G84" t="s">
        <v>284</v>
      </c>
      <c r="H84">
        <v>1</v>
      </c>
      <c r="I84" t="s">
        <v>285</v>
      </c>
      <c r="J84" t="s">
        <v>155</v>
      </c>
      <c r="K84">
        <v>1</v>
      </c>
      <c r="L84" t="s">
        <v>265</v>
      </c>
      <c r="M84">
        <v>25</v>
      </c>
      <c r="N84" s="76">
        <v>42005</v>
      </c>
      <c r="O84" s="76" t="s">
        <v>304</v>
      </c>
      <c r="Q84" t="s">
        <v>155</v>
      </c>
      <c r="R84">
        <v>1</v>
      </c>
    </row>
    <row r="85" spans="1:18" x14ac:dyDescent="0.25">
      <c r="B85"/>
      <c r="E85"/>
      <c r="F85" s="43"/>
      <c r="G85" s="44" t="s">
        <v>271</v>
      </c>
      <c r="H85" s="45">
        <v>44197</v>
      </c>
      <c r="I85" s="43"/>
      <c r="J85" s="83" t="s">
        <v>100</v>
      </c>
      <c r="K85" s="43" t="s">
        <v>56</v>
      </c>
      <c r="L85" s="43" t="s">
        <v>99</v>
      </c>
      <c r="M85" s="43"/>
      <c r="N85" s="97" t="s">
        <v>272</v>
      </c>
      <c r="O85" s="76">
        <v>45316</v>
      </c>
    </row>
    <row r="86" spans="1:18" x14ac:dyDescent="0.25">
      <c r="A86" t="s">
        <v>0</v>
      </c>
      <c r="B86" s="2" t="s">
        <v>273</v>
      </c>
      <c r="C86" t="s">
        <v>274</v>
      </c>
      <c r="D86" t="s">
        <v>3</v>
      </c>
      <c r="E86" s="46" t="s">
        <v>275</v>
      </c>
      <c r="F86" t="s">
        <v>276</v>
      </c>
      <c r="G86" t="s">
        <v>277</v>
      </c>
      <c r="H86" t="s">
        <v>278</v>
      </c>
      <c r="I86" t="s">
        <v>21</v>
      </c>
      <c r="J86" t="s">
        <v>279</v>
      </c>
      <c r="K86" t="s">
        <v>1</v>
      </c>
      <c r="L86" t="s">
        <v>280</v>
      </c>
      <c r="M86" t="s">
        <v>50</v>
      </c>
      <c r="N86" t="s">
        <v>281</v>
      </c>
      <c r="O86" t="s">
        <v>282</v>
      </c>
      <c r="Q86" t="s">
        <v>283</v>
      </c>
      <c r="R86" t="s">
        <v>1</v>
      </c>
    </row>
    <row r="87" spans="1:18" x14ac:dyDescent="0.25">
      <c r="A87" t="str">
        <f>TableSPUCURDES[[#This Row],[Study Package Code]]</f>
        <v>URDE1002</v>
      </c>
      <c r="B87" s="2">
        <f>TableSPUCURDES[[#This Row],[Ver]]</f>
        <v>1</v>
      </c>
      <c r="D87" t="str">
        <f>TableSPUCURDES[[#This Row],[Structure Line]]</f>
        <v>Planning Graphics and Design</v>
      </c>
      <c r="E87" s="46">
        <f>TableSPUCURDES[[#This Row],[Credit Points]]</f>
        <v>25</v>
      </c>
      <c r="F87">
        <v>1</v>
      </c>
      <c r="G87" t="s">
        <v>284</v>
      </c>
      <c r="H87">
        <v>0</v>
      </c>
      <c r="I87" t="s">
        <v>285</v>
      </c>
      <c r="J87" t="s">
        <v>129</v>
      </c>
      <c r="K87">
        <v>1</v>
      </c>
      <c r="L87" t="s">
        <v>259</v>
      </c>
      <c r="M87">
        <v>25</v>
      </c>
      <c r="N87" s="76">
        <v>42005</v>
      </c>
      <c r="O87" s="76" t="s">
        <v>304</v>
      </c>
      <c r="Q87" t="s">
        <v>129</v>
      </c>
      <c r="R87">
        <v>1</v>
      </c>
    </row>
    <row r="88" spans="1:18" x14ac:dyDescent="0.25">
      <c r="A88" t="str">
        <f>TableSPUCURDES[[#This Row],[Study Package Code]]</f>
        <v>URDE1010</v>
      </c>
      <c r="B88" s="2">
        <f>TableSPUCURDES[[#This Row],[Ver]]</f>
        <v>1</v>
      </c>
      <c r="D88" t="str">
        <f>TableSPUCURDES[[#This Row],[Structure Line]]</f>
        <v>Urban Transport Systems</v>
      </c>
      <c r="E88" s="46">
        <f>TableSPUCURDES[[#This Row],[Credit Points]]</f>
        <v>25</v>
      </c>
      <c r="F88">
        <v>2</v>
      </c>
      <c r="G88" t="s">
        <v>284</v>
      </c>
      <c r="H88">
        <v>0</v>
      </c>
      <c r="I88" t="s">
        <v>285</v>
      </c>
      <c r="J88" t="s">
        <v>139</v>
      </c>
      <c r="K88">
        <v>1</v>
      </c>
      <c r="L88" t="s">
        <v>262</v>
      </c>
      <c r="M88">
        <v>25</v>
      </c>
      <c r="N88" s="76">
        <v>44197</v>
      </c>
      <c r="O88" s="76" t="s">
        <v>304</v>
      </c>
      <c r="Q88" t="s">
        <v>139</v>
      </c>
      <c r="R88">
        <v>1</v>
      </c>
    </row>
    <row r="89" spans="1:18" x14ac:dyDescent="0.25">
      <c r="A89" t="str">
        <f>TableSPUCURDES[[#This Row],[Study Package Code]]</f>
        <v>URDE2007</v>
      </c>
      <c r="B89" s="2">
        <f>TableSPUCURDES[[#This Row],[Ver]]</f>
        <v>1</v>
      </c>
      <c r="D89" t="str">
        <f>TableSPUCURDES[[#This Row],[Structure Line]]</f>
        <v>Site Planning</v>
      </c>
      <c r="E89" s="46">
        <f>TableSPUCURDES[[#This Row],[Credit Points]]</f>
        <v>25</v>
      </c>
      <c r="F89">
        <v>3</v>
      </c>
      <c r="G89" t="s">
        <v>284</v>
      </c>
      <c r="H89">
        <v>0</v>
      </c>
      <c r="I89" t="s">
        <v>285</v>
      </c>
      <c r="J89" t="s">
        <v>149</v>
      </c>
      <c r="K89">
        <v>1</v>
      </c>
      <c r="L89" t="s">
        <v>264</v>
      </c>
      <c r="M89">
        <v>25</v>
      </c>
      <c r="N89" s="76">
        <v>42005</v>
      </c>
      <c r="O89" s="76" t="s">
        <v>304</v>
      </c>
      <c r="Q89" t="s">
        <v>149</v>
      </c>
      <c r="R89">
        <v>1</v>
      </c>
    </row>
    <row r="90" spans="1:18" x14ac:dyDescent="0.25">
      <c r="A90" t="str">
        <f>TableSPUCURDES[[#This Row],[Study Package Code]]</f>
        <v>URDE3002</v>
      </c>
      <c r="B90" s="2">
        <f>TableSPUCURDES[[#This Row],[Ver]]</f>
        <v>1</v>
      </c>
      <c r="D90" t="str">
        <f>TableSPUCURDES[[#This Row],[Structure Line]]</f>
        <v>Urban Regeneration</v>
      </c>
      <c r="E90" s="46">
        <f>TableSPUCURDES[[#This Row],[Credit Points]]</f>
        <v>25</v>
      </c>
      <c r="F90">
        <v>4</v>
      </c>
      <c r="G90" t="s">
        <v>284</v>
      </c>
      <c r="H90">
        <v>0</v>
      </c>
      <c r="I90" t="s">
        <v>285</v>
      </c>
      <c r="J90" t="s">
        <v>155</v>
      </c>
      <c r="K90">
        <v>1</v>
      </c>
      <c r="L90" t="s">
        <v>265</v>
      </c>
      <c r="M90">
        <v>25</v>
      </c>
      <c r="N90" s="76">
        <v>42005</v>
      </c>
      <c r="O90" s="76" t="s">
        <v>304</v>
      </c>
      <c r="Q90" t="s">
        <v>155</v>
      </c>
      <c r="R90">
        <v>1</v>
      </c>
    </row>
    <row r="91" spans="1:18" x14ac:dyDescent="0.25">
      <c r="B91"/>
      <c r="E91"/>
      <c r="F91" s="43"/>
      <c r="G91" s="44" t="s">
        <v>271</v>
      </c>
      <c r="H91" s="99">
        <v>45292</v>
      </c>
      <c r="I91" s="43"/>
      <c r="J91" s="83" t="s">
        <v>81</v>
      </c>
      <c r="K91" s="83" t="s">
        <v>56</v>
      </c>
      <c r="L91" s="43" t="s">
        <v>80</v>
      </c>
      <c r="M91" s="43"/>
      <c r="N91" s="97" t="s">
        <v>272</v>
      </c>
      <c r="O91" s="76">
        <v>45316</v>
      </c>
    </row>
    <row r="92" spans="1:18" x14ac:dyDescent="0.25">
      <c r="A92" t="s">
        <v>0</v>
      </c>
      <c r="B92" s="2" t="s">
        <v>273</v>
      </c>
      <c r="C92" t="s">
        <v>274</v>
      </c>
      <c r="D92" t="s">
        <v>3</v>
      </c>
      <c r="E92" s="46" t="s">
        <v>275</v>
      </c>
      <c r="F92" t="s">
        <v>276</v>
      </c>
      <c r="G92" t="s">
        <v>277</v>
      </c>
      <c r="H92" t="s">
        <v>278</v>
      </c>
      <c r="I92" t="s">
        <v>21</v>
      </c>
      <c r="J92" t="s">
        <v>279</v>
      </c>
      <c r="K92" t="s">
        <v>1</v>
      </c>
      <c r="L92" t="s">
        <v>280</v>
      </c>
      <c r="M92" t="s">
        <v>50</v>
      </c>
      <c r="N92" t="s">
        <v>281</v>
      </c>
      <c r="O92" t="s">
        <v>282</v>
      </c>
      <c r="Q92" t="s">
        <v>283</v>
      </c>
      <c r="R92" t="s">
        <v>1</v>
      </c>
    </row>
    <row r="93" spans="1:18" x14ac:dyDescent="0.25">
      <c r="A93" t="str">
        <f>TableSPUEARCHT[[#This Row],[Study Package Code]]</f>
        <v>ARCH1025</v>
      </c>
      <c r="B93" s="2">
        <f>TableSPUEARCHT[[#This Row],[Ver]]</f>
        <v>2</v>
      </c>
      <c r="D93" t="str">
        <f>TableSPUEARCHT[[#This Row],[Structure Line]]</f>
        <v>Architectural Science in Context</v>
      </c>
      <c r="E93" s="46">
        <f>TableSPUEARCHT[[#This Row],[Credit Points]]</f>
        <v>25</v>
      </c>
      <c r="F93">
        <v>1</v>
      </c>
      <c r="G93" t="s">
        <v>284</v>
      </c>
      <c r="H93">
        <v>0</v>
      </c>
      <c r="I93" t="s">
        <v>285</v>
      </c>
      <c r="J93" t="s">
        <v>132</v>
      </c>
      <c r="K93">
        <v>2</v>
      </c>
      <c r="L93" t="s">
        <v>188</v>
      </c>
      <c r="M93">
        <v>25</v>
      </c>
      <c r="N93" s="76">
        <v>44562</v>
      </c>
      <c r="O93" s="76"/>
      <c r="Q93" t="s">
        <v>132</v>
      </c>
      <c r="R93">
        <v>2</v>
      </c>
    </row>
    <row r="94" spans="1:18" x14ac:dyDescent="0.25">
      <c r="A94" t="str">
        <f>TableSPUEARCHT[[#This Row],[Study Package Code]]</f>
        <v>ARCH2025</v>
      </c>
      <c r="B94" s="2">
        <f>TableSPUEARCHT[[#This Row],[Ver]]</f>
        <v>3</v>
      </c>
      <c r="D94" t="str">
        <f>TableSPUEARCHT[[#This Row],[Structure Line]]</f>
        <v>Architecture Methods 2A - Digital Fabrication</v>
      </c>
      <c r="E94" s="46">
        <f>TableSPUEARCHT[[#This Row],[Credit Points]]</f>
        <v>25</v>
      </c>
      <c r="F94">
        <v>2</v>
      </c>
      <c r="G94" t="s">
        <v>284</v>
      </c>
      <c r="H94">
        <v>0</v>
      </c>
      <c r="I94" t="s">
        <v>285</v>
      </c>
      <c r="J94" t="s">
        <v>142</v>
      </c>
      <c r="K94">
        <v>3</v>
      </c>
      <c r="L94" t="s">
        <v>193</v>
      </c>
      <c r="M94">
        <v>25</v>
      </c>
      <c r="N94" s="76">
        <v>44562</v>
      </c>
      <c r="O94" s="76"/>
      <c r="Q94" t="s">
        <v>142</v>
      </c>
      <c r="R94">
        <v>3</v>
      </c>
    </row>
    <row r="95" spans="1:18" x14ac:dyDescent="0.25">
      <c r="A95" t="str">
        <f>TableSPUEARCHT[[#This Row],[Study Package Code]]</f>
        <v>ARCH1004</v>
      </c>
      <c r="B95" s="2">
        <f>TableSPUEARCHT[[#This Row],[Ver]]</f>
        <v>2</v>
      </c>
      <c r="D95" t="str">
        <f>TableSPUEARCHT[[#This Row],[Structure Line]]</f>
        <v>Sustainability and Structures in Architecture</v>
      </c>
      <c r="E95" s="46">
        <f>TableSPUEARCHT[[#This Row],[Credit Points]]</f>
        <v>25</v>
      </c>
      <c r="F95">
        <v>3</v>
      </c>
      <c r="G95" t="s">
        <v>284</v>
      </c>
      <c r="H95">
        <v>0</v>
      </c>
      <c r="I95" t="s">
        <v>285</v>
      </c>
      <c r="J95" t="s">
        <v>122</v>
      </c>
      <c r="K95">
        <v>2</v>
      </c>
      <c r="L95" t="s">
        <v>181</v>
      </c>
      <c r="M95">
        <v>25</v>
      </c>
      <c r="N95" s="76">
        <v>44562</v>
      </c>
      <c r="O95" s="76"/>
      <c r="Q95" t="s">
        <v>122</v>
      </c>
      <c r="R95">
        <v>2</v>
      </c>
    </row>
    <row r="96" spans="1:18" x14ac:dyDescent="0.25">
      <c r="A96" t="str">
        <f>TableSPUEARCHT[[#This Row],[Study Package Code]]</f>
        <v>Opt-ARCHT</v>
      </c>
      <c r="B96" s="2">
        <f>TableSPUEARCHT[[#This Row],[Ver]]</f>
        <v>0</v>
      </c>
      <c r="D96" t="str">
        <f>TableSPUEARCHT[[#This Row],[Structure Line]]</f>
        <v>Choose an Option</v>
      </c>
      <c r="E96" s="46">
        <f>TableSPUEARCHT[[#This Row],[Credit Points]]</f>
        <v>25</v>
      </c>
      <c r="F96">
        <v>4</v>
      </c>
      <c r="G96" t="s">
        <v>299</v>
      </c>
      <c r="H96">
        <v>0</v>
      </c>
      <c r="I96" t="s">
        <v>285</v>
      </c>
      <c r="J96" t="s">
        <v>158</v>
      </c>
      <c r="K96">
        <v>0</v>
      </c>
      <c r="L96" t="s">
        <v>307</v>
      </c>
      <c r="M96">
        <v>25</v>
      </c>
      <c r="N96" s="76"/>
      <c r="O96" s="76"/>
      <c r="Q96" t="s">
        <v>308</v>
      </c>
      <c r="R96">
        <v>0</v>
      </c>
    </row>
    <row r="97" spans="1:18" x14ac:dyDescent="0.25">
      <c r="A97" t="str">
        <f>TableSPUEARCHT[[#This Row],[Study Package Code]]</f>
        <v>ARCH2023</v>
      </c>
      <c r="B97" s="2">
        <f>TableSPUEARCHT[[#This Row],[Ver]]</f>
        <v>3</v>
      </c>
      <c r="D97" t="str">
        <f>TableSPUEARCHT[[#This Row],[Structure Line]]</f>
        <v>Architecture Methods 2B - Information Visualisation</v>
      </c>
      <c r="E97" s="46">
        <f>TableSPUEARCHT[[#This Row],[Credit Points]]</f>
        <v>25</v>
      </c>
      <c r="F97">
        <v>4</v>
      </c>
      <c r="G97" t="s">
        <v>299</v>
      </c>
      <c r="H97">
        <v>0</v>
      </c>
      <c r="I97" t="s">
        <v>285</v>
      </c>
      <c r="J97" t="s">
        <v>70</v>
      </c>
      <c r="K97">
        <v>3</v>
      </c>
      <c r="L97" t="s">
        <v>189</v>
      </c>
      <c r="M97">
        <v>25</v>
      </c>
      <c r="N97" s="76">
        <v>44562</v>
      </c>
      <c r="O97" s="76"/>
      <c r="Q97" t="s">
        <v>70</v>
      </c>
      <c r="R97">
        <v>3</v>
      </c>
    </row>
    <row r="98" spans="1:18" x14ac:dyDescent="0.25">
      <c r="A98" t="str">
        <f>TableSPUEARCHT[[#This Row],[Study Package Code]]</f>
        <v>WORK2005</v>
      </c>
      <c r="B98" s="2">
        <f>TableSPUEARCHT[[#This Row],[Ver]]</f>
        <v>1</v>
      </c>
      <c r="D98" t="str">
        <f>TableSPUEARCHT[[#This Row],[Structure Line]]</f>
        <v>Go Global - Internship 2</v>
      </c>
      <c r="E98" s="46">
        <f>TableSPUEARCHT[[#This Row],[Credit Points]]</f>
        <v>25</v>
      </c>
      <c r="F98">
        <v>4</v>
      </c>
      <c r="G98" t="s">
        <v>299</v>
      </c>
      <c r="H98">
        <v>0</v>
      </c>
      <c r="I98" t="s">
        <v>285</v>
      </c>
      <c r="J98" t="s">
        <v>164</v>
      </c>
      <c r="K98">
        <v>1</v>
      </c>
      <c r="L98" t="s">
        <v>309</v>
      </c>
      <c r="M98">
        <v>25</v>
      </c>
      <c r="N98" s="76">
        <v>44743</v>
      </c>
      <c r="O98" s="76"/>
      <c r="Q98" t="s">
        <v>164</v>
      </c>
      <c r="R98">
        <v>1</v>
      </c>
    </row>
    <row r="99" spans="1:18" x14ac:dyDescent="0.25">
      <c r="A99" t="str">
        <f>TableSPUEARCHT[[#This Row],[Study Package Code]]</f>
        <v>WORK3000</v>
      </c>
      <c r="B99" s="2">
        <f>TableSPUEARCHT[[#This Row],[Ver]]</f>
        <v>2</v>
      </c>
      <c r="D99" t="str">
        <f>TableSPUEARCHT[[#This Row],[Structure Line]]</f>
        <v>Work Based Project</v>
      </c>
      <c r="E99" s="46">
        <f>TableSPUEARCHT[[#This Row],[Credit Points]]</f>
        <v>25</v>
      </c>
      <c r="F99">
        <v>4</v>
      </c>
      <c r="G99" t="s">
        <v>299</v>
      </c>
      <c r="H99">
        <v>0</v>
      </c>
      <c r="I99" t="s">
        <v>285</v>
      </c>
      <c r="J99" t="s">
        <v>163</v>
      </c>
      <c r="K99">
        <v>2</v>
      </c>
      <c r="L99" t="s">
        <v>303</v>
      </c>
      <c r="M99">
        <v>25</v>
      </c>
      <c r="N99" s="76">
        <v>42736</v>
      </c>
      <c r="O99" s="76"/>
      <c r="Q99" t="s">
        <v>163</v>
      </c>
      <c r="R99">
        <v>2</v>
      </c>
    </row>
  </sheetData>
  <conditionalFormatting sqref="O3:O38">
    <cfRule type="notContainsBlanks" dxfId="79" priority="20">
      <formula>LEN(TRIM(O3))&gt;0</formula>
    </cfRule>
  </conditionalFormatting>
  <conditionalFormatting sqref="O41:O46">
    <cfRule type="notContainsBlanks" dxfId="78" priority="19">
      <formula>LEN(TRIM(O41))&gt;0</formula>
    </cfRule>
  </conditionalFormatting>
  <conditionalFormatting sqref="O49:O52">
    <cfRule type="notContainsBlanks" dxfId="77" priority="18">
      <formula>LEN(TRIM(O49))&gt;0</formula>
    </cfRule>
  </conditionalFormatting>
  <conditionalFormatting sqref="O55:O58">
    <cfRule type="notContainsBlanks" dxfId="76" priority="17">
      <formula>LEN(TRIM(O55))&gt;0</formula>
    </cfRule>
  </conditionalFormatting>
  <conditionalFormatting sqref="O61:O64">
    <cfRule type="notContainsBlanks" dxfId="75" priority="16">
      <formula>LEN(TRIM(O61))&gt;0</formula>
    </cfRule>
  </conditionalFormatting>
  <conditionalFormatting sqref="O67:O72">
    <cfRule type="notContainsBlanks" dxfId="74" priority="15">
      <formula>LEN(TRIM(O67))&gt;0</formula>
    </cfRule>
  </conditionalFormatting>
  <conditionalFormatting sqref="O75:O78">
    <cfRule type="notContainsBlanks" dxfId="73" priority="14">
      <formula>LEN(TRIM(O75))&gt;0</formula>
    </cfRule>
  </conditionalFormatting>
  <conditionalFormatting sqref="O81:O84">
    <cfRule type="notContainsBlanks" dxfId="72" priority="13">
      <formula>LEN(TRIM(O81))&gt;0</formula>
    </cfRule>
  </conditionalFormatting>
  <conditionalFormatting sqref="O87:O90">
    <cfRule type="notContainsBlanks" dxfId="71" priority="12">
      <formula>LEN(TRIM(O87))&gt;0</formula>
    </cfRule>
  </conditionalFormatting>
  <conditionalFormatting sqref="O93:O99">
    <cfRule type="notContainsBlanks" dxfId="70" priority="11">
      <formula>LEN(TRIM(O93))&gt;0</formula>
    </cfRule>
  </conditionalFormatting>
  <conditionalFormatting sqref="Q2:R38">
    <cfRule type="expression" dxfId="69" priority="10">
      <formula>Q2&lt;&gt;J2</formula>
    </cfRule>
  </conditionalFormatting>
  <conditionalFormatting sqref="Q40:R46">
    <cfRule type="expression" dxfId="68" priority="9">
      <formula>Q40&lt;&gt;J40</formula>
    </cfRule>
  </conditionalFormatting>
  <conditionalFormatting sqref="Q48:R52">
    <cfRule type="expression" dxfId="67" priority="8">
      <formula>Q48&lt;&gt;J48</formula>
    </cfRule>
  </conditionalFormatting>
  <conditionalFormatting sqref="Q54:R58">
    <cfRule type="expression" dxfId="66" priority="7">
      <formula>Q54&lt;&gt;J54</formula>
    </cfRule>
  </conditionalFormatting>
  <conditionalFormatting sqref="Q60:R64">
    <cfRule type="expression" dxfId="65" priority="6">
      <formula>Q60&lt;&gt;J60</formula>
    </cfRule>
  </conditionalFormatting>
  <conditionalFormatting sqref="Q66:R72">
    <cfRule type="expression" dxfId="64" priority="5">
      <formula>Q66&lt;&gt;J66</formula>
    </cfRule>
  </conditionalFormatting>
  <conditionalFormatting sqref="Q74:R78">
    <cfRule type="expression" dxfId="63" priority="4">
      <formula>Q74&lt;&gt;J74</formula>
    </cfRule>
  </conditionalFormatting>
  <conditionalFormatting sqref="Q80:R84">
    <cfRule type="expression" dxfId="62" priority="3">
      <formula>Q80&lt;&gt;J80</formula>
    </cfRule>
  </conditionalFormatting>
  <conditionalFormatting sqref="Q86:R90">
    <cfRule type="expression" dxfId="61" priority="2">
      <formula>Q86&lt;&gt;J86</formula>
    </cfRule>
  </conditionalFormatting>
  <conditionalFormatting sqref="Q92:R99">
    <cfRule type="expression" dxfId="60" priority="1">
      <formula>Q92&lt;&gt;J92</formula>
    </cfRule>
  </conditionalFormatting>
  <pageMargins left="0.7" right="0.7" top="0.75" bottom="0.75"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31" workbookViewId="0">
      <selection activeCell="A31" sqref="A31"/>
    </sheetView>
  </sheetViews>
  <sheetFormatPr defaultRowHeight="15.75" x14ac:dyDescent="0.25"/>
  <cols>
    <col min="1" max="1" width="39.625" bestFit="1" customWidth="1"/>
    <col min="4" max="4" width="10" customWidth="1"/>
    <col min="5" max="5" width="9.125" customWidth="1"/>
    <col min="6" max="6" width="16.125" bestFit="1" customWidth="1"/>
    <col min="7" max="7" width="10.375" bestFit="1" customWidth="1"/>
  </cols>
  <sheetData>
    <row r="1" spans="1:7" x14ac:dyDescent="0.25">
      <c r="F1" s="80" t="s">
        <v>310</v>
      </c>
      <c r="G1" s="81">
        <v>45316</v>
      </c>
    </row>
    <row r="2" spans="1:7" x14ac:dyDescent="0.25">
      <c r="B2" t="s">
        <v>311</v>
      </c>
      <c r="D2" t="s">
        <v>312</v>
      </c>
    </row>
    <row r="3" spans="1:7" x14ac:dyDescent="0.25">
      <c r="A3" t="s">
        <v>313</v>
      </c>
      <c r="B3" t="s">
        <v>314</v>
      </c>
      <c r="C3" t="s">
        <v>315</v>
      </c>
      <c r="D3" t="s">
        <v>316</v>
      </c>
      <c r="E3" t="s">
        <v>317</v>
      </c>
    </row>
    <row r="4" spans="1:7" x14ac:dyDescent="0.25">
      <c r="A4" t="s">
        <v>122</v>
      </c>
      <c r="B4">
        <v>1</v>
      </c>
    </row>
    <row r="5" spans="1:7" x14ac:dyDescent="0.25">
      <c r="A5" t="s">
        <v>54</v>
      </c>
      <c r="D5">
        <v>1</v>
      </c>
    </row>
    <row r="6" spans="1:7" x14ac:dyDescent="0.25">
      <c r="A6" t="s">
        <v>47</v>
      </c>
      <c r="D6">
        <v>1</v>
      </c>
    </row>
    <row r="7" spans="1:7" x14ac:dyDescent="0.25">
      <c r="A7" t="s">
        <v>53</v>
      </c>
      <c r="B7">
        <v>1</v>
      </c>
    </row>
    <row r="8" spans="1:7" x14ac:dyDescent="0.25">
      <c r="A8" t="s">
        <v>132</v>
      </c>
      <c r="D8">
        <v>1</v>
      </c>
    </row>
    <row r="9" spans="1:7" x14ac:dyDescent="0.25">
      <c r="A9" t="s">
        <v>70</v>
      </c>
      <c r="D9">
        <v>1</v>
      </c>
    </row>
    <row r="10" spans="1:7" x14ac:dyDescent="0.25">
      <c r="A10" t="s">
        <v>71</v>
      </c>
      <c r="B10">
        <v>1</v>
      </c>
    </row>
    <row r="11" spans="1:7" x14ac:dyDescent="0.25">
      <c r="A11" t="s">
        <v>142</v>
      </c>
      <c r="B11">
        <v>1</v>
      </c>
    </row>
    <row r="12" spans="1:7" x14ac:dyDescent="0.25">
      <c r="A12" s="60" t="s">
        <v>95</v>
      </c>
      <c r="B12" s="60"/>
      <c r="C12" s="60"/>
      <c r="D12" s="60"/>
      <c r="E12" s="60"/>
    </row>
    <row r="13" spans="1:7" x14ac:dyDescent="0.25">
      <c r="A13" t="s">
        <v>152</v>
      </c>
      <c r="D13">
        <v>1</v>
      </c>
    </row>
    <row r="14" spans="1:7" x14ac:dyDescent="0.25">
      <c r="A14" t="s">
        <v>123</v>
      </c>
      <c r="B14">
        <v>1</v>
      </c>
    </row>
    <row r="15" spans="1:7" x14ac:dyDescent="0.25">
      <c r="A15" t="s">
        <v>133</v>
      </c>
      <c r="D15">
        <v>1</v>
      </c>
    </row>
    <row r="16" spans="1:7" x14ac:dyDescent="0.25">
      <c r="A16" t="s">
        <v>143</v>
      </c>
      <c r="B16">
        <v>1</v>
      </c>
    </row>
    <row r="17" spans="1:5" x14ac:dyDescent="0.25">
      <c r="A17" t="s">
        <v>42</v>
      </c>
      <c r="B17">
        <v>1</v>
      </c>
      <c r="C17">
        <v>1</v>
      </c>
      <c r="D17">
        <v>2</v>
      </c>
      <c r="E17">
        <v>1</v>
      </c>
    </row>
    <row r="18" spans="1:5" x14ac:dyDescent="0.25">
      <c r="A18" t="s">
        <v>121</v>
      </c>
      <c r="B18">
        <v>1</v>
      </c>
      <c r="D18">
        <v>1</v>
      </c>
    </row>
    <row r="19" spans="1:5" x14ac:dyDescent="0.25">
      <c r="A19" t="s">
        <v>125</v>
      </c>
      <c r="B19">
        <v>1</v>
      </c>
      <c r="D19">
        <v>1</v>
      </c>
    </row>
    <row r="20" spans="1:5" x14ac:dyDescent="0.25">
      <c r="A20" t="s">
        <v>126</v>
      </c>
      <c r="B20">
        <v>1</v>
      </c>
      <c r="D20">
        <v>1</v>
      </c>
    </row>
    <row r="21" spans="1:5" x14ac:dyDescent="0.25">
      <c r="A21" t="s">
        <v>124</v>
      </c>
      <c r="B21">
        <v>1</v>
      </c>
      <c r="D21">
        <v>1</v>
      </c>
    </row>
    <row r="22" spans="1:5" x14ac:dyDescent="0.25">
      <c r="A22" t="s">
        <v>135</v>
      </c>
      <c r="B22">
        <v>1</v>
      </c>
      <c r="D22">
        <v>1</v>
      </c>
    </row>
    <row r="23" spans="1:5" x14ac:dyDescent="0.25">
      <c r="A23" t="s">
        <v>131</v>
      </c>
      <c r="D23">
        <v>1</v>
      </c>
    </row>
    <row r="24" spans="1:5" x14ac:dyDescent="0.25">
      <c r="A24" t="s">
        <v>136</v>
      </c>
      <c r="B24">
        <v>1</v>
      </c>
      <c r="D24">
        <v>1</v>
      </c>
    </row>
    <row r="25" spans="1:5" x14ac:dyDescent="0.25">
      <c r="A25" t="s">
        <v>75</v>
      </c>
      <c r="D25">
        <v>1</v>
      </c>
    </row>
    <row r="26" spans="1:5" x14ac:dyDescent="0.25">
      <c r="A26" t="s">
        <v>146</v>
      </c>
      <c r="B26">
        <v>1</v>
      </c>
      <c r="D26">
        <v>1</v>
      </c>
    </row>
    <row r="27" spans="1:5" x14ac:dyDescent="0.25">
      <c r="A27" t="s">
        <v>145</v>
      </c>
      <c r="D27">
        <v>1</v>
      </c>
    </row>
    <row r="28" spans="1:5" x14ac:dyDescent="0.25">
      <c r="A28" t="s">
        <v>134</v>
      </c>
      <c r="B28">
        <v>1</v>
      </c>
    </row>
    <row r="29" spans="1:5" x14ac:dyDescent="0.25">
      <c r="A29" t="s">
        <v>144</v>
      </c>
      <c r="D29">
        <v>1</v>
      </c>
    </row>
    <row r="30" spans="1:5" x14ac:dyDescent="0.25">
      <c r="A30" t="s">
        <v>137</v>
      </c>
      <c r="B30">
        <v>1</v>
      </c>
      <c r="D30">
        <v>1</v>
      </c>
    </row>
    <row r="31" spans="1:5" x14ac:dyDescent="0.25">
      <c r="A31" t="s">
        <v>165</v>
      </c>
      <c r="B31">
        <v>1</v>
      </c>
      <c r="D31">
        <v>1</v>
      </c>
    </row>
    <row r="32" spans="1:5" x14ac:dyDescent="0.25">
      <c r="A32" t="s">
        <v>127</v>
      </c>
      <c r="B32">
        <v>1</v>
      </c>
      <c r="D32">
        <v>1</v>
      </c>
    </row>
    <row r="33" spans="1:5" x14ac:dyDescent="0.25">
      <c r="A33" t="s">
        <v>141</v>
      </c>
      <c r="B33">
        <v>1</v>
      </c>
    </row>
    <row r="34" spans="1:5" x14ac:dyDescent="0.25">
      <c r="A34" t="s">
        <v>161</v>
      </c>
      <c r="D34">
        <v>1</v>
      </c>
    </row>
    <row r="35" spans="1:5" x14ac:dyDescent="0.25">
      <c r="A35" t="s">
        <v>154</v>
      </c>
      <c r="B35">
        <v>1</v>
      </c>
      <c r="D35">
        <v>1</v>
      </c>
    </row>
    <row r="36" spans="1:5" x14ac:dyDescent="0.25">
      <c r="A36" t="s">
        <v>153</v>
      </c>
      <c r="B36">
        <v>1</v>
      </c>
    </row>
    <row r="37" spans="1:5" x14ac:dyDescent="0.25">
      <c r="A37" t="s">
        <v>46</v>
      </c>
      <c r="B37">
        <v>1</v>
      </c>
    </row>
    <row r="38" spans="1:5" x14ac:dyDescent="0.25">
      <c r="A38" t="s">
        <v>44</v>
      </c>
      <c r="D38">
        <v>1</v>
      </c>
    </row>
    <row r="39" spans="1:5" x14ac:dyDescent="0.25">
      <c r="A39" t="s">
        <v>68</v>
      </c>
      <c r="B39">
        <v>1</v>
      </c>
    </row>
    <row r="40" spans="1:5" x14ac:dyDescent="0.25">
      <c r="A40" t="s">
        <v>72</v>
      </c>
      <c r="D40">
        <v>1</v>
      </c>
    </row>
    <row r="41" spans="1:5" x14ac:dyDescent="0.25">
      <c r="A41" t="s">
        <v>74</v>
      </c>
      <c r="B41">
        <v>1</v>
      </c>
    </row>
    <row r="42" spans="1:5" x14ac:dyDescent="0.25">
      <c r="A42" s="60" t="s">
        <v>92</v>
      </c>
      <c r="B42" s="60"/>
      <c r="C42" s="60"/>
      <c r="D42" s="60"/>
      <c r="E42" s="60"/>
    </row>
    <row r="43" spans="1:5" x14ac:dyDescent="0.25">
      <c r="A43" s="60" t="s">
        <v>104</v>
      </c>
      <c r="B43" s="60"/>
      <c r="C43" s="60"/>
      <c r="D43" s="60"/>
      <c r="E43" s="60"/>
    </row>
    <row r="44" spans="1:5" x14ac:dyDescent="0.25">
      <c r="A44" s="60" t="s">
        <v>105</v>
      </c>
      <c r="B44" s="60"/>
      <c r="C44" s="60"/>
      <c r="D44" s="60"/>
      <c r="E44" s="60"/>
    </row>
    <row r="45" spans="1:5" x14ac:dyDescent="0.25">
      <c r="A45" s="60" t="s">
        <v>112</v>
      </c>
    </row>
    <row r="46" spans="1:5" x14ac:dyDescent="0.25">
      <c r="A46" s="60" t="s">
        <v>113</v>
      </c>
    </row>
    <row r="47" spans="1:5" x14ac:dyDescent="0.25">
      <c r="A47" s="60" t="s">
        <v>116</v>
      </c>
    </row>
    <row r="48" spans="1:5" x14ac:dyDescent="0.25">
      <c r="A48" t="s">
        <v>129</v>
      </c>
      <c r="B48">
        <v>1</v>
      </c>
    </row>
    <row r="49" spans="1:5" x14ac:dyDescent="0.25">
      <c r="A49" t="s">
        <v>128</v>
      </c>
      <c r="B49">
        <v>1</v>
      </c>
      <c r="C49">
        <v>1</v>
      </c>
      <c r="D49">
        <v>1</v>
      </c>
    </row>
    <row r="50" spans="1:5" x14ac:dyDescent="0.25">
      <c r="A50" t="s">
        <v>138</v>
      </c>
      <c r="B50">
        <v>1</v>
      </c>
      <c r="D50">
        <v>1</v>
      </c>
    </row>
    <row r="51" spans="1:5" x14ac:dyDescent="0.25">
      <c r="A51" t="s">
        <v>139</v>
      </c>
      <c r="D51">
        <v>1</v>
      </c>
    </row>
    <row r="52" spans="1:5" x14ac:dyDescent="0.25">
      <c r="A52" t="s">
        <v>148</v>
      </c>
      <c r="D52">
        <v>1</v>
      </c>
    </row>
    <row r="53" spans="1:5" x14ac:dyDescent="0.25">
      <c r="A53" t="s">
        <v>149</v>
      </c>
      <c r="D53">
        <v>1</v>
      </c>
    </row>
    <row r="54" spans="1:5" x14ac:dyDescent="0.25">
      <c r="A54" t="s">
        <v>155</v>
      </c>
      <c r="B54">
        <v>1</v>
      </c>
    </row>
    <row r="55" spans="1:5" x14ac:dyDescent="0.25">
      <c r="A55" t="s">
        <v>89</v>
      </c>
      <c r="B55">
        <v>1</v>
      </c>
      <c r="D55">
        <v>1</v>
      </c>
    </row>
    <row r="56" spans="1:5" x14ac:dyDescent="0.25">
      <c r="A56" t="s">
        <v>147</v>
      </c>
      <c r="B56">
        <v>1</v>
      </c>
    </row>
    <row r="57" spans="1:5" x14ac:dyDescent="0.25">
      <c r="A57" s="60" t="s">
        <v>163</v>
      </c>
      <c r="B57" s="60"/>
      <c r="C57" s="60"/>
      <c r="D57" s="60"/>
      <c r="E57" s="60"/>
    </row>
    <row r="58" spans="1:5" x14ac:dyDescent="0.25">
      <c r="A58" s="60"/>
      <c r="B58" s="60"/>
      <c r="C58" s="60"/>
      <c r="D58" s="60"/>
      <c r="E58" s="60"/>
    </row>
    <row r="59" spans="1:5" x14ac:dyDescent="0.25">
      <c r="A59" s="60"/>
      <c r="B59" s="60"/>
      <c r="C59" s="60"/>
      <c r="D59" s="60"/>
      <c r="E59" s="60"/>
    </row>
    <row r="60" spans="1:5" x14ac:dyDescent="0.25">
      <c r="A60" s="60"/>
      <c r="B60" s="60"/>
      <c r="C60" s="60"/>
      <c r="D60" s="60"/>
      <c r="E60" s="60"/>
    </row>
    <row r="61" spans="1:5" x14ac:dyDescent="0.25">
      <c r="A61" s="60"/>
      <c r="B61" s="60"/>
      <c r="C61" s="60"/>
      <c r="D61" s="60"/>
      <c r="E61" s="60"/>
    </row>
    <row r="62" spans="1:5" x14ac:dyDescent="0.25">
      <c r="A62" s="60"/>
      <c r="B62" s="60"/>
      <c r="C62" s="60"/>
      <c r="D62" s="60"/>
      <c r="E62" s="60"/>
    </row>
    <row r="63" spans="1:5" x14ac:dyDescent="0.25">
      <c r="A63" s="60"/>
      <c r="B63" s="60"/>
      <c r="C63" s="60"/>
      <c r="D63" s="60"/>
      <c r="E63" s="60"/>
    </row>
    <row r="64" spans="1:5" x14ac:dyDescent="0.25">
      <c r="A64" s="60"/>
      <c r="B64" s="60"/>
      <c r="C64" s="60"/>
      <c r="D64" s="60"/>
      <c r="E64" s="60"/>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schemas.microsoft.com/office/2006/documentManagement/types"/>
    <ds:schemaRef ds:uri="ba69df13-0c3c-4942-8695-6ca01564010c"/>
    <ds:schemaRef ds:uri="http://purl.org/dc/elements/1.1/"/>
    <ds:schemaRef ds:uri="http://schemas.microsoft.com/office/2006/metadata/properties"/>
    <ds:schemaRef ds:uri="http://schemas.microsoft.com/office/infopath/2007/PartnerControls"/>
    <ds:schemaRef ds:uri="2380bd5d-8f09-40a9-a9cb-2482ec2cd2ca"/>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0CAC0BAF-7E41-4C9C-97BF-58E2AC5E5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Interior Architecture</vt:lpstr>
      <vt:lpstr>Unitsets</vt:lpstr>
      <vt:lpstr>Handbook</vt:lpstr>
      <vt:lpstr>Structures</vt:lpstr>
      <vt:lpstr>Availabilities</vt:lpstr>
      <vt:lpstr>'Interior Architecture'!Print_Area</vt:lpstr>
      <vt:lpstr>RangeSpecSets</vt:lpstr>
      <vt:lpstr>RangeUnitsets</vt:lpstr>
      <vt:lpstr>TableAvailabilities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2024-03-05T02:47:13Z</cp:lastPrinted>
  <dcterms:created xsi:type="dcterms:W3CDTF">2022-02-28T04:48:12Z</dcterms:created>
  <dcterms:modified xsi:type="dcterms:W3CDTF">2024-03-05T02:47:54Z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