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comments1.xml" ContentType="application/vnd.openxmlformats-officedocument.spreadsheetml.comments+xml"/>
  <Override PartName="/xl/tables/table62.xml" ContentType="application/vnd.openxmlformats-officedocument.spreadsheetml.table+xml"/>
  <Override PartName="/xl/tables/table6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GJeicnqSACKueBjRMYEtH6CVi0U11kbQhCoUePWx4KygzbyklVbpTnT7j/W8bBVkwv0VvRUeCdXFdOtRe8ufpQ==" workbookSaltValue="CHFfAXWgNfk2Pz1rRUNvSA==" workbookSpinCount="100000" lockStructure="1"/>
  <bookViews>
    <workbookView xWindow="0" yWindow="0" windowWidth="28800" windowHeight="11700"/>
  </bookViews>
  <sheets>
    <sheet name="B-ARTS Planner" sheetId="10" r:id="rId1"/>
    <sheet name="Unitsets" sheetId="2" state="hidden" r:id="rId2"/>
    <sheet name="Handbook" sheetId="3" state="hidden" r:id="rId3"/>
    <sheet name="Structures" sheetId="8" state="hidden" r:id="rId4"/>
    <sheet name="Availabilities" sheetId="9" state="hidden" r:id="rId5"/>
    <sheet name="Issues Log" sheetId="12" state="hidden" r:id="rId6"/>
  </sheets>
  <definedNames>
    <definedName name="_xlnm._FilterDatabase" localSheetId="2" hidden="1">Handbook!$A$2:$I$2</definedName>
    <definedName name="_xlnm.Print_Area" localSheetId="0">'B-ARTS Planner'!$A$3:$L$119</definedName>
    <definedName name="RangeArtsMajor">Unitsets!$J$32:$BM$60</definedName>
    <definedName name="RangeSecMajor">Unitsets!$J$63:$DQ$91</definedName>
    <definedName name="RangeUnitsets">Unitsets!$J$3:$M$27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3" i="10" l="1"/>
  <c r="K83" i="10"/>
  <c r="J83" i="10"/>
  <c r="I83" i="10"/>
  <c r="H83" i="10"/>
  <c r="L61" i="10"/>
  <c r="K61" i="10"/>
  <c r="J61" i="10"/>
  <c r="I61" i="10"/>
  <c r="H61" i="10"/>
  <c r="L42" i="10"/>
  <c r="K42" i="10"/>
  <c r="J42" i="10"/>
  <c r="I42" i="10"/>
  <c r="H42" i="10"/>
  <c r="L30" i="10"/>
  <c r="K30" i="10"/>
  <c r="J30" i="10"/>
  <c r="I30" i="10"/>
  <c r="H30" i="10"/>
  <c r="K20" i="10"/>
  <c r="J20" i="10"/>
  <c r="I20" i="10"/>
  <c r="H20" i="10"/>
  <c r="L20" i="10"/>
  <c r="G76" i="3" l="1"/>
  <c r="H76" i="3"/>
  <c r="I76" i="3"/>
  <c r="J76" i="3"/>
  <c r="L76" i="3"/>
  <c r="M76" i="3"/>
  <c r="N76" i="3"/>
  <c r="O76" i="3"/>
  <c r="P76" i="3"/>
  <c r="Q76" i="3"/>
  <c r="R76" i="3"/>
  <c r="S76" i="3"/>
  <c r="T76" i="3"/>
  <c r="U76" i="3"/>
  <c r="V76" i="3"/>
  <c r="W76" i="3"/>
  <c r="X76" i="3"/>
  <c r="Y76" i="3"/>
  <c r="Z76" i="3"/>
  <c r="AB76" i="3"/>
  <c r="AC76" i="3"/>
  <c r="AD76" i="3"/>
  <c r="AE76" i="3"/>
  <c r="AF76" i="3"/>
  <c r="AG76" i="3"/>
  <c r="AH76" i="3"/>
  <c r="AI76" i="3"/>
  <c r="AJ76" i="3"/>
  <c r="AK76" i="3"/>
  <c r="AL76" i="3"/>
  <c r="AM76" i="3"/>
  <c r="AN76" i="3"/>
  <c r="BK85" i="2" l="1"/>
  <c r="BK84" i="2"/>
  <c r="BK83" i="2"/>
  <c r="BM91" i="2"/>
  <c r="BM90" i="2"/>
  <c r="BM89" i="2"/>
  <c r="BM88" i="2"/>
  <c r="BM87" i="2"/>
  <c r="BM86" i="2"/>
  <c r="BM85" i="2"/>
  <c r="BM84" i="2"/>
  <c r="BM83" i="2"/>
  <c r="BM82" i="2"/>
  <c r="BM81" i="2"/>
  <c r="BM80" i="2"/>
  <c r="BM79" i="2"/>
  <c r="BM78" i="2"/>
  <c r="BM77" i="2"/>
  <c r="BM76" i="2"/>
  <c r="BK91" i="2"/>
  <c r="BK90" i="2"/>
  <c r="BK89" i="2"/>
  <c r="BK88" i="2"/>
  <c r="BK87" i="2"/>
  <c r="BK86" i="2"/>
  <c r="BK82" i="2"/>
  <c r="BK81" i="2"/>
  <c r="BK80" i="2"/>
  <c r="BK79" i="2"/>
  <c r="BK78" i="2"/>
  <c r="BK77" i="2"/>
  <c r="BK76" i="2"/>
  <c r="BI91" i="2"/>
  <c r="BI90" i="2"/>
  <c r="BI89" i="2"/>
  <c r="BI88" i="2"/>
  <c r="BI87" i="2"/>
  <c r="BI86" i="2"/>
  <c r="BI85" i="2"/>
  <c r="BI84" i="2"/>
  <c r="BI83" i="2"/>
  <c r="BI82" i="2"/>
  <c r="BI81" i="2"/>
  <c r="BI80" i="2"/>
  <c r="BI79" i="2"/>
  <c r="BI78" i="2"/>
  <c r="BI77" i="2"/>
  <c r="BI76" i="2"/>
  <c r="BG91" i="2"/>
  <c r="BG90" i="2"/>
  <c r="BG89" i="2"/>
  <c r="BG88" i="2"/>
  <c r="BG87" i="2"/>
  <c r="BG86" i="2"/>
  <c r="BG85" i="2"/>
  <c r="BG84" i="2"/>
  <c r="BG83" i="2"/>
  <c r="BG82" i="2"/>
  <c r="BG81" i="2"/>
  <c r="BG80" i="2"/>
  <c r="BG79" i="2"/>
  <c r="BG78" i="2"/>
  <c r="BG77" i="2"/>
  <c r="BG76" i="2"/>
  <c r="BE91" i="2"/>
  <c r="BE90" i="2"/>
  <c r="BE89" i="2"/>
  <c r="BE88" i="2"/>
  <c r="BE87" i="2"/>
  <c r="BE86" i="2"/>
  <c r="BE85" i="2"/>
  <c r="BE84" i="2"/>
  <c r="BE83" i="2"/>
  <c r="BE82" i="2"/>
  <c r="BE81" i="2"/>
  <c r="BE80" i="2"/>
  <c r="BE79" i="2"/>
  <c r="BE78" i="2"/>
  <c r="BE77" i="2"/>
  <c r="BE76" i="2"/>
  <c r="BC91" i="2"/>
  <c r="BC90" i="2"/>
  <c r="BC89" i="2"/>
  <c r="BC88" i="2"/>
  <c r="BC87" i="2"/>
  <c r="BC86" i="2"/>
  <c r="BC85" i="2"/>
  <c r="BC84" i="2"/>
  <c r="BC83" i="2"/>
  <c r="BC82" i="2"/>
  <c r="BC81" i="2"/>
  <c r="BC80" i="2"/>
  <c r="BC79" i="2"/>
  <c r="BC78" i="2"/>
  <c r="BC77" i="2"/>
  <c r="BC76" i="2"/>
  <c r="BA91" i="2"/>
  <c r="BA90" i="2"/>
  <c r="BA89" i="2"/>
  <c r="BA88" i="2"/>
  <c r="BA87" i="2"/>
  <c r="BA86" i="2"/>
  <c r="BA85" i="2"/>
  <c r="BA84" i="2"/>
  <c r="BA83" i="2"/>
  <c r="BA82" i="2"/>
  <c r="BA81" i="2"/>
  <c r="BA80" i="2"/>
  <c r="BA79" i="2"/>
  <c r="BA78" i="2"/>
  <c r="BA77" i="2"/>
  <c r="BA76" i="2"/>
  <c r="AY91" i="2"/>
  <c r="AY90" i="2"/>
  <c r="AY89" i="2"/>
  <c r="AY88" i="2"/>
  <c r="AY87" i="2"/>
  <c r="AY86" i="2"/>
  <c r="AY85" i="2"/>
  <c r="AY84" i="2"/>
  <c r="AY83" i="2"/>
  <c r="AY82" i="2"/>
  <c r="AY81" i="2"/>
  <c r="AY80" i="2"/>
  <c r="AY79" i="2"/>
  <c r="AY78" i="2"/>
  <c r="AY77" i="2"/>
  <c r="AY76" i="2"/>
  <c r="AW91" i="2"/>
  <c r="AW90" i="2"/>
  <c r="AW89" i="2"/>
  <c r="AW88" i="2"/>
  <c r="AW87" i="2"/>
  <c r="AW86" i="2"/>
  <c r="AW85" i="2"/>
  <c r="AW84" i="2"/>
  <c r="AW83" i="2"/>
  <c r="AW82" i="2"/>
  <c r="AW81" i="2"/>
  <c r="AW80" i="2"/>
  <c r="AW79" i="2"/>
  <c r="AW78" i="2"/>
  <c r="AW77" i="2"/>
  <c r="AW76" i="2"/>
  <c r="AU91" i="2"/>
  <c r="AU90" i="2"/>
  <c r="AU89" i="2"/>
  <c r="AU88" i="2"/>
  <c r="AU87" i="2"/>
  <c r="AU86" i="2"/>
  <c r="AU85" i="2"/>
  <c r="AU84" i="2"/>
  <c r="AU83" i="2"/>
  <c r="AU82" i="2"/>
  <c r="AU81" i="2"/>
  <c r="AU80" i="2"/>
  <c r="AU79" i="2"/>
  <c r="AU78" i="2"/>
  <c r="AU77" i="2"/>
  <c r="AU76" i="2"/>
  <c r="AS91" i="2"/>
  <c r="AS90" i="2"/>
  <c r="AS89" i="2"/>
  <c r="AS88" i="2"/>
  <c r="AS87" i="2"/>
  <c r="AS86" i="2"/>
  <c r="AS85" i="2"/>
  <c r="AS84" i="2"/>
  <c r="AS83" i="2"/>
  <c r="AS82" i="2"/>
  <c r="AS81" i="2"/>
  <c r="AS80" i="2"/>
  <c r="AS79" i="2"/>
  <c r="AS78" i="2"/>
  <c r="AS77" i="2"/>
  <c r="AS76" i="2"/>
  <c r="AQ91" i="2"/>
  <c r="AQ90" i="2"/>
  <c r="AQ89" i="2"/>
  <c r="AQ88" i="2"/>
  <c r="AQ87" i="2"/>
  <c r="AQ86" i="2"/>
  <c r="AQ85" i="2"/>
  <c r="AQ84" i="2"/>
  <c r="AQ83" i="2"/>
  <c r="AQ82" i="2"/>
  <c r="AQ81" i="2"/>
  <c r="AQ80" i="2"/>
  <c r="AQ79" i="2"/>
  <c r="AQ78" i="2"/>
  <c r="AQ77" i="2"/>
  <c r="AQ76" i="2"/>
  <c r="AO91" i="2"/>
  <c r="AO90" i="2"/>
  <c r="AO89" i="2"/>
  <c r="AO88" i="2"/>
  <c r="AO87" i="2"/>
  <c r="AO86" i="2"/>
  <c r="AO85" i="2"/>
  <c r="AO84" i="2"/>
  <c r="AO83" i="2"/>
  <c r="AO82" i="2"/>
  <c r="AO81" i="2"/>
  <c r="AO80" i="2"/>
  <c r="AO79" i="2"/>
  <c r="AO78" i="2"/>
  <c r="AO77" i="2"/>
  <c r="AO76" i="2"/>
  <c r="AM91" i="2"/>
  <c r="AM90" i="2"/>
  <c r="AM89" i="2"/>
  <c r="AM88" i="2"/>
  <c r="AM87" i="2"/>
  <c r="AM86" i="2"/>
  <c r="AM85" i="2"/>
  <c r="AM84" i="2"/>
  <c r="AM83" i="2"/>
  <c r="AM82" i="2"/>
  <c r="AM81" i="2"/>
  <c r="AM80" i="2"/>
  <c r="AM79" i="2"/>
  <c r="AM78" i="2"/>
  <c r="AM77" i="2"/>
  <c r="AM76" i="2"/>
  <c r="AK91" i="2"/>
  <c r="AK90" i="2"/>
  <c r="AK89" i="2"/>
  <c r="AK88" i="2"/>
  <c r="AK87" i="2"/>
  <c r="AK86" i="2"/>
  <c r="AK85" i="2"/>
  <c r="AK84" i="2"/>
  <c r="AK83" i="2"/>
  <c r="AK82" i="2"/>
  <c r="AK81" i="2"/>
  <c r="AK80" i="2"/>
  <c r="AK79" i="2"/>
  <c r="AK78" i="2"/>
  <c r="AK77" i="2"/>
  <c r="AK76" i="2"/>
  <c r="AI91" i="2"/>
  <c r="AI90" i="2"/>
  <c r="AI89" i="2"/>
  <c r="AI88" i="2"/>
  <c r="AI87" i="2"/>
  <c r="AI86" i="2"/>
  <c r="AI85" i="2"/>
  <c r="AI84" i="2"/>
  <c r="AI83" i="2"/>
  <c r="AI82" i="2"/>
  <c r="AI81" i="2"/>
  <c r="AI80" i="2"/>
  <c r="AI79" i="2"/>
  <c r="AI78" i="2"/>
  <c r="AI77" i="2"/>
  <c r="AI76" i="2"/>
  <c r="AG91" i="2"/>
  <c r="AG90" i="2"/>
  <c r="AG89" i="2"/>
  <c r="AG88" i="2"/>
  <c r="AG87" i="2"/>
  <c r="AG86" i="2"/>
  <c r="AG85" i="2"/>
  <c r="AG84" i="2"/>
  <c r="AG83" i="2"/>
  <c r="AG82" i="2"/>
  <c r="AG81" i="2"/>
  <c r="AG80" i="2"/>
  <c r="AG79" i="2"/>
  <c r="AG78" i="2"/>
  <c r="AG77" i="2"/>
  <c r="AG76" i="2"/>
  <c r="AE91" i="2"/>
  <c r="AE90" i="2"/>
  <c r="AE89" i="2"/>
  <c r="AE88" i="2"/>
  <c r="AE87" i="2"/>
  <c r="AE86" i="2"/>
  <c r="AE85" i="2"/>
  <c r="AE84" i="2"/>
  <c r="AE83" i="2"/>
  <c r="AE82" i="2"/>
  <c r="AE81" i="2"/>
  <c r="AE80" i="2"/>
  <c r="AE79" i="2"/>
  <c r="AE78" i="2"/>
  <c r="AE77" i="2"/>
  <c r="AE76" i="2"/>
  <c r="AC91" i="2"/>
  <c r="AC90" i="2"/>
  <c r="AC89" i="2"/>
  <c r="AC88" i="2"/>
  <c r="AC87" i="2"/>
  <c r="AC86" i="2"/>
  <c r="AC85" i="2"/>
  <c r="AC84" i="2"/>
  <c r="AC83" i="2"/>
  <c r="AC82" i="2"/>
  <c r="AC81" i="2"/>
  <c r="AC80" i="2"/>
  <c r="AC79" i="2"/>
  <c r="AC78" i="2"/>
  <c r="AC77" i="2"/>
  <c r="AC76" i="2"/>
  <c r="AA91" i="2"/>
  <c r="AA90" i="2"/>
  <c r="AA89" i="2"/>
  <c r="AA88" i="2"/>
  <c r="AA87" i="2"/>
  <c r="AA86" i="2"/>
  <c r="AA85" i="2"/>
  <c r="AA84" i="2"/>
  <c r="AA83" i="2"/>
  <c r="AA82" i="2"/>
  <c r="AA81" i="2"/>
  <c r="AA80" i="2"/>
  <c r="AA79" i="2"/>
  <c r="AA78" i="2"/>
  <c r="AA77" i="2"/>
  <c r="AA76" i="2"/>
  <c r="Y91" i="2"/>
  <c r="Y90" i="2"/>
  <c r="Y89" i="2"/>
  <c r="Y88" i="2"/>
  <c r="Y87" i="2"/>
  <c r="Y86" i="2"/>
  <c r="Y85" i="2"/>
  <c r="Y84" i="2"/>
  <c r="Y83" i="2"/>
  <c r="Y82" i="2"/>
  <c r="Y81" i="2"/>
  <c r="Y80" i="2"/>
  <c r="Y79" i="2"/>
  <c r="Y78" i="2"/>
  <c r="Y77" i="2"/>
  <c r="Y76" i="2"/>
  <c r="W91" i="2"/>
  <c r="W90" i="2"/>
  <c r="W89" i="2"/>
  <c r="W88" i="2"/>
  <c r="W87" i="2"/>
  <c r="W86" i="2"/>
  <c r="W85" i="2"/>
  <c r="W84" i="2"/>
  <c r="W83" i="2"/>
  <c r="W82" i="2"/>
  <c r="W81" i="2"/>
  <c r="W80" i="2"/>
  <c r="W79" i="2"/>
  <c r="W78" i="2"/>
  <c r="W77" i="2"/>
  <c r="W76" i="2"/>
  <c r="U91" i="2"/>
  <c r="U90" i="2"/>
  <c r="U89" i="2"/>
  <c r="U88" i="2"/>
  <c r="U87" i="2"/>
  <c r="U86" i="2"/>
  <c r="U85" i="2"/>
  <c r="U84" i="2"/>
  <c r="U83" i="2"/>
  <c r="U82" i="2"/>
  <c r="U81" i="2"/>
  <c r="U80" i="2"/>
  <c r="U79" i="2"/>
  <c r="U78" i="2"/>
  <c r="U77" i="2"/>
  <c r="U76" i="2"/>
  <c r="S91" i="2"/>
  <c r="S90" i="2"/>
  <c r="S89" i="2"/>
  <c r="S88" i="2"/>
  <c r="S87" i="2"/>
  <c r="S86" i="2"/>
  <c r="S85" i="2"/>
  <c r="S84" i="2"/>
  <c r="S83" i="2"/>
  <c r="S82" i="2"/>
  <c r="S81" i="2"/>
  <c r="S80" i="2"/>
  <c r="S79" i="2"/>
  <c r="S78" i="2"/>
  <c r="S77" i="2"/>
  <c r="S76" i="2"/>
  <c r="Q91" i="2"/>
  <c r="Q90" i="2"/>
  <c r="Q89" i="2"/>
  <c r="Q88" i="2"/>
  <c r="Q87" i="2"/>
  <c r="Q86" i="2"/>
  <c r="Q85" i="2"/>
  <c r="Q84" i="2"/>
  <c r="Q83" i="2"/>
  <c r="Q82" i="2"/>
  <c r="Q81" i="2"/>
  <c r="Q80" i="2"/>
  <c r="Q79" i="2"/>
  <c r="Q78" i="2"/>
  <c r="Q77" i="2"/>
  <c r="Q76" i="2"/>
  <c r="O91" i="2"/>
  <c r="O90" i="2"/>
  <c r="O89" i="2"/>
  <c r="O88" i="2"/>
  <c r="O87" i="2"/>
  <c r="O86" i="2"/>
  <c r="O85" i="2"/>
  <c r="O84" i="2"/>
  <c r="O83" i="2"/>
  <c r="O82" i="2"/>
  <c r="O81" i="2"/>
  <c r="O80" i="2"/>
  <c r="O79" i="2"/>
  <c r="O78" i="2"/>
  <c r="O77" i="2"/>
  <c r="O76" i="2"/>
  <c r="M91" i="2"/>
  <c r="M90" i="2"/>
  <c r="M89" i="2"/>
  <c r="M88" i="2"/>
  <c r="M87" i="2"/>
  <c r="M86" i="2"/>
  <c r="M85" i="2"/>
  <c r="M84" i="2"/>
  <c r="M83" i="2"/>
  <c r="M82" i="2"/>
  <c r="M81" i="2"/>
  <c r="M80" i="2"/>
  <c r="M79" i="2"/>
  <c r="M78" i="2"/>
  <c r="M77" i="2"/>
  <c r="M76" i="2"/>
  <c r="K91" i="2"/>
  <c r="K90" i="2"/>
  <c r="K89" i="2"/>
  <c r="K88" i="2"/>
  <c r="K87" i="2"/>
  <c r="K86" i="2"/>
  <c r="K85" i="2"/>
  <c r="K84" i="2"/>
  <c r="K83" i="2"/>
  <c r="K82" i="2"/>
  <c r="K81" i="2"/>
  <c r="K80" i="2"/>
  <c r="K79" i="2"/>
  <c r="K78" i="2"/>
  <c r="K77" i="2"/>
  <c r="K76" i="2"/>
  <c r="G150" i="3" l="1"/>
  <c r="H150" i="3"/>
  <c r="I150" i="3"/>
  <c r="J150" i="3"/>
  <c r="L150" i="3"/>
  <c r="M150" i="3"/>
  <c r="N150" i="3"/>
  <c r="O150" i="3"/>
  <c r="P150" i="3"/>
  <c r="Q150" i="3"/>
  <c r="R150" i="3"/>
  <c r="S150" i="3"/>
  <c r="T150" i="3"/>
  <c r="U150" i="3"/>
  <c r="V150" i="3"/>
  <c r="W150" i="3"/>
  <c r="X150" i="3"/>
  <c r="Y150" i="3"/>
  <c r="Z150" i="3"/>
  <c r="AB150" i="3"/>
  <c r="AC150" i="3"/>
  <c r="AD150" i="3"/>
  <c r="AE150" i="3"/>
  <c r="AF150" i="3"/>
  <c r="AG150" i="3"/>
  <c r="AH150" i="3"/>
  <c r="AI150" i="3"/>
  <c r="AJ150" i="3"/>
  <c r="AK150" i="3"/>
  <c r="AL150" i="3"/>
  <c r="AM150" i="3"/>
  <c r="AN150" i="3"/>
  <c r="Y44" i="2"/>
  <c r="Y43" i="2"/>
  <c r="Y42" i="2"/>
  <c r="Y41" i="2"/>
  <c r="Y40" i="2"/>
  <c r="Y39" i="2"/>
  <c r="Y38" i="2"/>
  <c r="Y37" i="2"/>
  <c r="Y35" i="2"/>
  <c r="Y33" i="2"/>
  <c r="B84" i="10" l="1"/>
  <c r="C84" i="10"/>
  <c r="D84" i="10"/>
  <c r="F84" i="10"/>
  <c r="G84" i="10"/>
  <c r="G115" i="10" l="1"/>
  <c r="F115" i="10"/>
  <c r="D115" i="10"/>
  <c r="C115" i="10"/>
  <c r="B115" i="10"/>
  <c r="G114" i="10"/>
  <c r="F114" i="10"/>
  <c r="D114" i="10"/>
  <c r="C114" i="10"/>
  <c r="B114" i="10"/>
  <c r="G113" i="10"/>
  <c r="F113" i="10"/>
  <c r="D113" i="10"/>
  <c r="C113" i="10"/>
  <c r="B113" i="10"/>
  <c r="G112" i="10"/>
  <c r="F112" i="10"/>
  <c r="D112" i="10"/>
  <c r="C112" i="10"/>
  <c r="B112" i="10"/>
  <c r="G111" i="10"/>
  <c r="F111" i="10"/>
  <c r="D111" i="10"/>
  <c r="C111" i="10"/>
  <c r="B111" i="10"/>
  <c r="G110" i="10"/>
  <c r="F110" i="10"/>
  <c r="D110" i="10"/>
  <c r="C110" i="10"/>
  <c r="B110" i="10"/>
  <c r="G109" i="10"/>
  <c r="F109" i="10"/>
  <c r="D109" i="10"/>
  <c r="C109" i="10"/>
  <c r="B109" i="10"/>
  <c r="G108" i="10"/>
  <c r="F108" i="10"/>
  <c r="D108" i="10"/>
  <c r="C108" i="10"/>
  <c r="B108" i="10"/>
  <c r="G107" i="10"/>
  <c r="F107" i="10"/>
  <c r="D107" i="10"/>
  <c r="C107" i="10"/>
  <c r="B107" i="10"/>
  <c r="G106" i="10"/>
  <c r="F106" i="10"/>
  <c r="D106" i="10"/>
  <c r="C106" i="10"/>
  <c r="B106" i="10"/>
  <c r="G105" i="10"/>
  <c r="F105" i="10"/>
  <c r="D105" i="10"/>
  <c r="C105" i="10"/>
  <c r="B105" i="10"/>
  <c r="G104" i="10"/>
  <c r="F104" i="10"/>
  <c r="D104" i="10"/>
  <c r="C104" i="10"/>
  <c r="B104" i="10"/>
  <c r="G103" i="10"/>
  <c r="F103" i="10"/>
  <c r="D103" i="10"/>
  <c r="C103" i="10"/>
  <c r="B103" i="10"/>
  <c r="G102" i="10"/>
  <c r="F102" i="10"/>
  <c r="D102" i="10"/>
  <c r="C102" i="10"/>
  <c r="B102" i="10"/>
  <c r="G101" i="10"/>
  <c r="F101" i="10"/>
  <c r="D101" i="10"/>
  <c r="C101" i="10"/>
  <c r="B101" i="10"/>
  <c r="G100" i="10"/>
  <c r="F100" i="10"/>
  <c r="D100" i="10"/>
  <c r="C100" i="10"/>
  <c r="B100" i="10"/>
  <c r="G99" i="10"/>
  <c r="F99" i="10"/>
  <c r="D99" i="10"/>
  <c r="C99" i="10"/>
  <c r="B99" i="10"/>
  <c r="G98" i="10"/>
  <c r="F98" i="10"/>
  <c r="D98" i="10"/>
  <c r="C98" i="10"/>
  <c r="B98" i="10"/>
  <c r="G97" i="10"/>
  <c r="F97" i="10"/>
  <c r="D97" i="10"/>
  <c r="C97" i="10"/>
  <c r="B97" i="10"/>
  <c r="G96" i="10"/>
  <c r="F96" i="10"/>
  <c r="D96" i="10"/>
  <c r="C96" i="10"/>
  <c r="B96" i="10"/>
  <c r="G95" i="10"/>
  <c r="F95" i="10"/>
  <c r="D95" i="10"/>
  <c r="C95" i="10"/>
  <c r="B95" i="10"/>
  <c r="G94" i="10"/>
  <c r="F94" i="10"/>
  <c r="D94" i="10"/>
  <c r="C94" i="10"/>
  <c r="B94" i="10"/>
  <c r="AG75" i="2"/>
  <c r="AE75" i="2"/>
  <c r="AG74" i="2"/>
  <c r="AE74" i="2"/>
  <c r="AG73" i="2"/>
  <c r="AE73" i="2"/>
  <c r="AG72" i="2"/>
  <c r="AE72" i="2"/>
  <c r="AG71" i="2"/>
  <c r="AE71" i="2"/>
  <c r="AG70" i="2"/>
  <c r="AE70" i="2"/>
  <c r="AG69" i="2"/>
  <c r="AE69" i="2"/>
  <c r="AG68" i="2"/>
  <c r="AE68" i="2"/>
  <c r="AG66" i="2"/>
  <c r="AE66" i="2"/>
  <c r="AG64" i="2"/>
  <c r="AE64" i="2"/>
  <c r="AG63" i="2"/>
  <c r="AE63" i="2"/>
  <c r="G6" i="3" l="1"/>
  <c r="H6" i="3"/>
  <c r="I6" i="3"/>
  <c r="J6" i="3"/>
  <c r="G199" i="3"/>
  <c r="H199" i="3"/>
  <c r="I199" i="3"/>
  <c r="J199" i="3"/>
  <c r="G233" i="3" l="1"/>
  <c r="H233" i="3"/>
  <c r="I233" i="3"/>
  <c r="J233" i="3"/>
  <c r="G227" i="3" l="1"/>
  <c r="H227" i="3"/>
  <c r="I227" i="3"/>
  <c r="J227" i="3"/>
  <c r="G171" i="3" l="1"/>
  <c r="H171" i="3"/>
  <c r="I171" i="3"/>
  <c r="J171" i="3"/>
  <c r="G104" i="3" l="1"/>
  <c r="G100" i="3"/>
  <c r="G101" i="3"/>
  <c r="G103" i="3"/>
  <c r="G102" i="3"/>
  <c r="G105" i="3"/>
  <c r="H104" i="3"/>
  <c r="H100" i="3"/>
  <c r="H101" i="3"/>
  <c r="H103" i="3"/>
  <c r="H102" i="3"/>
  <c r="H105" i="3"/>
  <c r="I104" i="3"/>
  <c r="I100" i="3"/>
  <c r="I101" i="3"/>
  <c r="I103" i="3"/>
  <c r="I102" i="3"/>
  <c r="I105" i="3"/>
  <c r="J104" i="3"/>
  <c r="J100" i="3"/>
  <c r="J101" i="3"/>
  <c r="J103" i="3"/>
  <c r="J102" i="3"/>
  <c r="J105" i="3"/>
  <c r="E153" i="8" l="1"/>
  <c r="D153" i="8"/>
  <c r="B153" i="8"/>
  <c r="A153" i="8"/>
  <c r="E152" i="8"/>
  <c r="D152" i="8"/>
  <c r="B152" i="8"/>
  <c r="A152" i="8"/>
  <c r="E151" i="8"/>
  <c r="D151" i="8"/>
  <c r="B151" i="8"/>
  <c r="A151" i="8"/>
  <c r="E150" i="8"/>
  <c r="D150" i="8"/>
  <c r="B150" i="8"/>
  <c r="A150" i="8"/>
  <c r="E149" i="8"/>
  <c r="D149" i="8"/>
  <c r="B149" i="8"/>
  <c r="A149" i="8"/>
  <c r="E148" i="8"/>
  <c r="D148" i="8"/>
  <c r="B148" i="8"/>
  <c r="A148" i="8"/>
  <c r="E147" i="8"/>
  <c r="D147" i="8"/>
  <c r="B147" i="8"/>
  <c r="A147" i="8"/>
  <c r="E146" i="8"/>
  <c r="D146" i="8"/>
  <c r="B146" i="8"/>
  <c r="A146" i="8"/>
  <c r="R4" i="3" l="1"/>
  <c r="R6" i="3"/>
  <c r="R199" i="3"/>
  <c r="R233" i="3"/>
  <c r="R227" i="3"/>
  <c r="R171" i="3"/>
  <c r="R102" i="3"/>
  <c r="R105" i="3"/>
  <c r="R104" i="3"/>
  <c r="R100" i="3"/>
  <c r="R101" i="3"/>
  <c r="R103" i="3"/>
  <c r="R342" i="3"/>
  <c r="R286" i="3"/>
  <c r="R220" i="3"/>
  <c r="R146" i="3"/>
  <c r="R67" i="3"/>
  <c r="R35" i="3"/>
  <c r="R343" i="3"/>
  <c r="R335" i="3"/>
  <c r="R327" i="3"/>
  <c r="R319" i="3"/>
  <c r="R311" i="3"/>
  <c r="R303" i="3"/>
  <c r="R295" i="3"/>
  <c r="R287" i="3"/>
  <c r="R279" i="3"/>
  <c r="R271" i="3"/>
  <c r="R263" i="3"/>
  <c r="R248" i="3"/>
  <c r="R247" i="3"/>
  <c r="R239" i="3"/>
  <c r="R230" i="3"/>
  <c r="R221" i="3"/>
  <c r="R213" i="3"/>
  <c r="R205" i="3"/>
  <c r="R197" i="3"/>
  <c r="R189" i="3"/>
  <c r="R181" i="3"/>
  <c r="R173" i="3"/>
  <c r="R164" i="3"/>
  <c r="R156" i="3"/>
  <c r="R147" i="3"/>
  <c r="R139" i="3"/>
  <c r="R131" i="3"/>
  <c r="R123" i="3"/>
  <c r="R115" i="3"/>
  <c r="R107" i="3"/>
  <c r="R93" i="3"/>
  <c r="R85" i="3"/>
  <c r="R77" i="3"/>
  <c r="R68" i="3"/>
  <c r="R60" i="3"/>
  <c r="R52" i="3"/>
  <c r="R44" i="3"/>
  <c r="R36" i="3"/>
  <c r="R28" i="3"/>
  <c r="R20" i="3"/>
  <c r="R12" i="3"/>
  <c r="R302" i="3"/>
  <c r="R278" i="3"/>
  <c r="R229" i="3"/>
  <c r="R172" i="3"/>
  <c r="R84" i="3"/>
  <c r="R11" i="3"/>
  <c r="R341" i="3"/>
  <c r="R333" i="3"/>
  <c r="R325" i="3"/>
  <c r="R317" i="3"/>
  <c r="R309" i="3"/>
  <c r="R301" i="3"/>
  <c r="R293" i="3"/>
  <c r="R285" i="3"/>
  <c r="R277" i="3"/>
  <c r="R269" i="3"/>
  <c r="R261" i="3"/>
  <c r="R254" i="3"/>
  <c r="R245" i="3"/>
  <c r="R237" i="3"/>
  <c r="R228" i="3"/>
  <c r="R219" i="3"/>
  <c r="R211" i="3"/>
  <c r="R203" i="3"/>
  <c r="R195" i="3"/>
  <c r="R187" i="3"/>
  <c r="R179" i="3"/>
  <c r="R170" i="3"/>
  <c r="R162" i="3"/>
  <c r="R154" i="3"/>
  <c r="R145" i="3"/>
  <c r="R137" i="3"/>
  <c r="R129" i="3"/>
  <c r="R121" i="3"/>
  <c r="R113" i="3"/>
  <c r="R99" i="3"/>
  <c r="R91" i="3"/>
  <c r="R83" i="3"/>
  <c r="R74" i="3"/>
  <c r="R66" i="3"/>
  <c r="R58" i="3"/>
  <c r="R50" i="3"/>
  <c r="R42" i="3"/>
  <c r="R34" i="3"/>
  <c r="R26" i="3"/>
  <c r="R18" i="3"/>
  <c r="R10" i="3"/>
  <c r="R310" i="3"/>
  <c r="R270" i="3"/>
  <c r="R204" i="3"/>
  <c r="R138" i="3"/>
  <c r="R92" i="3"/>
  <c r="R59" i="3"/>
  <c r="R340" i="3"/>
  <c r="R332" i="3"/>
  <c r="R324" i="3"/>
  <c r="R316" i="3"/>
  <c r="R308" i="3"/>
  <c r="R300" i="3"/>
  <c r="R292" i="3"/>
  <c r="R284" i="3"/>
  <c r="R276" i="3"/>
  <c r="R268" i="3"/>
  <c r="R260" i="3"/>
  <c r="R253" i="3"/>
  <c r="R244" i="3"/>
  <c r="R236" i="3"/>
  <c r="R226" i="3"/>
  <c r="R218" i="3"/>
  <c r="R210" i="3"/>
  <c r="R202" i="3"/>
  <c r="R194" i="3"/>
  <c r="R186" i="3"/>
  <c r="R178" i="3"/>
  <c r="R169" i="3"/>
  <c r="R161" i="3"/>
  <c r="R153" i="3"/>
  <c r="R144" i="3"/>
  <c r="R136" i="3"/>
  <c r="R128" i="3"/>
  <c r="R120" i="3"/>
  <c r="R112" i="3"/>
  <c r="R98" i="3"/>
  <c r="R90" i="3"/>
  <c r="R82" i="3"/>
  <c r="R73" i="3"/>
  <c r="R65" i="3"/>
  <c r="R57" i="3"/>
  <c r="R49" i="3"/>
  <c r="R41" i="3"/>
  <c r="R33" i="3"/>
  <c r="R25" i="3"/>
  <c r="R17" i="3"/>
  <c r="R9" i="3"/>
  <c r="R334" i="3"/>
  <c r="R255" i="3"/>
  <c r="R196" i="3"/>
  <c r="R163" i="3"/>
  <c r="R114" i="3"/>
  <c r="R27" i="3"/>
  <c r="R339" i="3"/>
  <c r="R331" i="3"/>
  <c r="R323" i="3"/>
  <c r="R315" i="3"/>
  <c r="R307" i="3"/>
  <c r="R299" i="3"/>
  <c r="R291" i="3"/>
  <c r="R283" i="3"/>
  <c r="R275" i="3"/>
  <c r="R267" i="3"/>
  <c r="R259" i="3"/>
  <c r="R252" i="3"/>
  <c r="R243" i="3"/>
  <c r="R235" i="3"/>
  <c r="R225" i="3"/>
  <c r="R217" i="3"/>
  <c r="R209" i="3"/>
  <c r="R201" i="3"/>
  <c r="R193" i="3"/>
  <c r="R185" i="3"/>
  <c r="R177" i="3"/>
  <c r="R168" i="3"/>
  <c r="R160" i="3"/>
  <c r="R152" i="3"/>
  <c r="R143" i="3"/>
  <c r="R135" i="3"/>
  <c r="R127" i="3"/>
  <c r="R119" i="3"/>
  <c r="R111" i="3"/>
  <c r="R97" i="3"/>
  <c r="R89" i="3"/>
  <c r="R81" i="3"/>
  <c r="R72" i="3"/>
  <c r="R64" i="3"/>
  <c r="R56" i="3"/>
  <c r="R48" i="3"/>
  <c r="R40" i="3"/>
  <c r="R32" i="3"/>
  <c r="R24" i="3"/>
  <c r="R16" i="3"/>
  <c r="R8" i="3"/>
  <c r="R326" i="3"/>
  <c r="R294" i="3"/>
  <c r="R238" i="3"/>
  <c r="R180" i="3"/>
  <c r="R122" i="3"/>
  <c r="R19" i="3"/>
  <c r="R338" i="3"/>
  <c r="R330" i="3"/>
  <c r="R322" i="3"/>
  <c r="R314" i="3"/>
  <c r="R306" i="3"/>
  <c r="R298" i="3"/>
  <c r="R290" i="3"/>
  <c r="R282" i="3"/>
  <c r="R274" i="3"/>
  <c r="R266" i="3"/>
  <c r="R258" i="3"/>
  <c r="R251" i="3"/>
  <c r="R242" i="3"/>
  <c r="R234" i="3"/>
  <c r="R224" i="3"/>
  <c r="R216" i="3"/>
  <c r="R208" i="3"/>
  <c r="R192" i="3"/>
  <c r="R184" i="3"/>
  <c r="R176" i="3"/>
  <c r="R167" i="3"/>
  <c r="R159" i="3"/>
  <c r="R151" i="3"/>
  <c r="R142" i="3"/>
  <c r="R134" i="3"/>
  <c r="R126" i="3"/>
  <c r="R118" i="3"/>
  <c r="R110" i="3"/>
  <c r="R96" i="3"/>
  <c r="R88" i="3"/>
  <c r="R80" i="3"/>
  <c r="R71" i="3"/>
  <c r="R63" i="3"/>
  <c r="R55" i="3"/>
  <c r="R47" i="3"/>
  <c r="R39" i="3"/>
  <c r="R31" i="3"/>
  <c r="R23" i="3"/>
  <c r="R15" i="3"/>
  <c r="R7" i="3"/>
  <c r="R318" i="3"/>
  <c r="R246" i="3"/>
  <c r="R188" i="3"/>
  <c r="R130" i="3"/>
  <c r="R75" i="3"/>
  <c r="R43" i="3"/>
  <c r="R337" i="3"/>
  <c r="R329" i="3"/>
  <c r="R321" i="3"/>
  <c r="R313" i="3"/>
  <c r="R305" i="3"/>
  <c r="R297" i="3"/>
  <c r="R289" i="3"/>
  <c r="R281" i="3"/>
  <c r="R273" i="3"/>
  <c r="R265" i="3"/>
  <c r="R257" i="3"/>
  <c r="R250" i="3"/>
  <c r="R241" i="3"/>
  <c r="R232" i="3"/>
  <c r="R223" i="3"/>
  <c r="R215" i="3"/>
  <c r="R207" i="3"/>
  <c r="R200" i="3"/>
  <c r="R191" i="3"/>
  <c r="R183" i="3"/>
  <c r="R175" i="3"/>
  <c r="R166" i="3"/>
  <c r="R158" i="3"/>
  <c r="R149" i="3"/>
  <c r="R141" i="3"/>
  <c r="R133" i="3"/>
  <c r="R125" i="3"/>
  <c r="R117" i="3"/>
  <c r="R109" i="3"/>
  <c r="R95" i="3"/>
  <c r="R87" i="3"/>
  <c r="R79" i="3"/>
  <c r="R70" i="3"/>
  <c r="R62" i="3"/>
  <c r="R54" i="3"/>
  <c r="R46" i="3"/>
  <c r="R38" i="3"/>
  <c r="R30" i="3"/>
  <c r="R22" i="3"/>
  <c r="R14" i="3"/>
  <c r="R5" i="3"/>
  <c r="R262" i="3"/>
  <c r="R212" i="3"/>
  <c r="R155" i="3"/>
  <c r="R106" i="3"/>
  <c r="R51" i="3"/>
  <c r="R336" i="3"/>
  <c r="R328" i="3"/>
  <c r="R320" i="3"/>
  <c r="R312" i="3"/>
  <c r="R304" i="3"/>
  <c r="R296" i="3"/>
  <c r="R288" i="3"/>
  <c r="R280" i="3"/>
  <c r="R272" i="3"/>
  <c r="R264" i="3"/>
  <c r="R256" i="3"/>
  <c r="R249" i="3"/>
  <c r="R240" i="3"/>
  <c r="R231" i="3"/>
  <c r="R222" i="3"/>
  <c r="R214" i="3"/>
  <c r="R206" i="3"/>
  <c r="R198" i="3"/>
  <c r="R190" i="3"/>
  <c r="R182" i="3"/>
  <c r="R174" i="3"/>
  <c r="R165" i="3"/>
  <c r="R157" i="3"/>
  <c r="R148" i="3"/>
  <c r="R140" i="3"/>
  <c r="R132" i="3"/>
  <c r="R124" i="3"/>
  <c r="R116" i="3"/>
  <c r="R108" i="3"/>
  <c r="R94" i="3"/>
  <c r="R86" i="3"/>
  <c r="R78" i="3"/>
  <c r="R69" i="3"/>
  <c r="R61" i="3"/>
  <c r="R53" i="3"/>
  <c r="R45" i="3"/>
  <c r="R37" i="3"/>
  <c r="R29" i="3"/>
  <c r="R21" i="3"/>
  <c r="R13" i="3"/>
  <c r="A21" i="8" l="1"/>
  <c r="B21" i="8"/>
  <c r="D21" i="8"/>
  <c r="E21" i="8"/>
  <c r="G270" i="3" l="1"/>
  <c r="H107" i="10" s="1"/>
  <c r="H270" i="3"/>
  <c r="I107" i="10" s="1"/>
  <c r="I270" i="3"/>
  <c r="J107" i="10" s="1"/>
  <c r="J270" i="3"/>
  <c r="K107" i="10" s="1"/>
  <c r="G106" i="3"/>
  <c r="H106" i="3"/>
  <c r="I106" i="3"/>
  <c r="J106" i="3"/>
  <c r="G108" i="3" l="1"/>
  <c r="H108" i="3"/>
  <c r="I108" i="3"/>
  <c r="J108" i="3"/>
  <c r="J343" i="3" l="1"/>
  <c r="I343" i="3"/>
  <c r="H343" i="3"/>
  <c r="G343" i="3"/>
  <c r="J342" i="3"/>
  <c r="I342" i="3"/>
  <c r="H342" i="3"/>
  <c r="G342" i="3"/>
  <c r="J341" i="3"/>
  <c r="I341" i="3"/>
  <c r="H341" i="3"/>
  <c r="G341" i="3"/>
  <c r="J340" i="3"/>
  <c r="I340" i="3"/>
  <c r="H340" i="3"/>
  <c r="G340" i="3"/>
  <c r="J339" i="3"/>
  <c r="I339" i="3"/>
  <c r="H339" i="3"/>
  <c r="G339" i="3"/>
  <c r="J338" i="3"/>
  <c r="I338" i="3"/>
  <c r="H338" i="3"/>
  <c r="G338" i="3"/>
  <c r="J337" i="3"/>
  <c r="I337" i="3"/>
  <c r="H337" i="3"/>
  <c r="G337" i="3"/>
  <c r="J336" i="3"/>
  <c r="I336" i="3"/>
  <c r="H336" i="3"/>
  <c r="G336" i="3"/>
  <c r="J335" i="3"/>
  <c r="I335" i="3"/>
  <c r="H335" i="3"/>
  <c r="G335" i="3"/>
  <c r="J334" i="3"/>
  <c r="I334" i="3"/>
  <c r="H334" i="3"/>
  <c r="G334" i="3"/>
  <c r="J333" i="3"/>
  <c r="K115" i="10" s="1"/>
  <c r="I333" i="3"/>
  <c r="J115" i="10" s="1"/>
  <c r="H333" i="3"/>
  <c r="I115" i="10" s="1"/>
  <c r="G333" i="3"/>
  <c r="H115" i="10" s="1"/>
  <c r="J332" i="3"/>
  <c r="K114" i="10" s="1"/>
  <c r="I332" i="3"/>
  <c r="J114" i="10" s="1"/>
  <c r="H332" i="3"/>
  <c r="I114" i="10" s="1"/>
  <c r="G332" i="3"/>
  <c r="H114" i="10" s="1"/>
  <c r="J331" i="3"/>
  <c r="I331" i="3"/>
  <c r="H331" i="3"/>
  <c r="G331" i="3"/>
  <c r="J330" i="3"/>
  <c r="I330" i="3"/>
  <c r="H330" i="3"/>
  <c r="G330" i="3"/>
  <c r="J329" i="3"/>
  <c r="I329" i="3"/>
  <c r="H329" i="3"/>
  <c r="G329" i="3"/>
  <c r="J328" i="3"/>
  <c r="I328" i="3"/>
  <c r="H328" i="3"/>
  <c r="G328" i="3"/>
  <c r="J327" i="3"/>
  <c r="I327" i="3"/>
  <c r="H327" i="3"/>
  <c r="G327" i="3"/>
  <c r="J326" i="3"/>
  <c r="I326" i="3"/>
  <c r="H326" i="3"/>
  <c r="G326" i="3"/>
  <c r="J325" i="3"/>
  <c r="I325" i="3"/>
  <c r="H325" i="3"/>
  <c r="G325" i="3"/>
  <c r="J324" i="3"/>
  <c r="I324" i="3"/>
  <c r="H324" i="3"/>
  <c r="G324" i="3"/>
  <c r="J323" i="3"/>
  <c r="I323" i="3"/>
  <c r="H323" i="3"/>
  <c r="G323" i="3"/>
  <c r="J322" i="3"/>
  <c r="I322" i="3"/>
  <c r="H322" i="3"/>
  <c r="G322" i="3"/>
  <c r="J321" i="3"/>
  <c r="I321" i="3"/>
  <c r="H321" i="3"/>
  <c r="G321" i="3"/>
  <c r="J320" i="3"/>
  <c r="I320" i="3"/>
  <c r="H320" i="3"/>
  <c r="G320" i="3"/>
  <c r="J319" i="3"/>
  <c r="I319" i="3"/>
  <c r="H319" i="3"/>
  <c r="G319" i="3"/>
  <c r="J318" i="3"/>
  <c r="I318" i="3"/>
  <c r="H318" i="3"/>
  <c r="G318" i="3"/>
  <c r="J317" i="3"/>
  <c r="I317" i="3"/>
  <c r="H317" i="3"/>
  <c r="G317" i="3"/>
  <c r="J316" i="3"/>
  <c r="I316" i="3"/>
  <c r="H316" i="3"/>
  <c r="G316" i="3"/>
  <c r="J315" i="3"/>
  <c r="I315" i="3"/>
  <c r="H315" i="3"/>
  <c r="G315" i="3"/>
  <c r="J314" i="3"/>
  <c r="I314" i="3"/>
  <c r="H314" i="3"/>
  <c r="G314" i="3"/>
  <c r="J313" i="3"/>
  <c r="K113" i="10" s="1"/>
  <c r="I313" i="3"/>
  <c r="J113" i="10" s="1"/>
  <c r="H313" i="3"/>
  <c r="I113" i="10" s="1"/>
  <c r="G313" i="3"/>
  <c r="H113" i="10" s="1"/>
  <c r="J312" i="3"/>
  <c r="K112" i="10" s="1"/>
  <c r="I312" i="3"/>
  <c r="J112" i="10" s="1"/>
  <c r="H312" i="3"/>
  <c r="I112" i="10" s="1"/>
  <c r="G312" i="3"/>
  <c r="H112" i="10" s="1"/>
  <c r="J311" i="3"/>
  <c r="I311" i="3"/>
  <c r="H311" i="3"/>
  <c r="G311" i="3"/>
  <c r="J310" i="3"/>
  <c r="I310" i="3"/>
  <c r="H310" i="3"/>
  <c r="G310" i="3"/>
  <c r="J309" i="3"/>
  <c r="I309" i="3"/>
  <c r="H309" i="3"/>
  <c r="G309" i="3"/>
  <c r="J308" i="3"/>
  <c r="I308" i="3"/>
  <c r="H308" i="3"/>
  <c r="G308" i="3"/>
  <c r="J307" i="3"/>
  <c r="I307" i="3"/>
  <c r="H307" i="3"/>
  <c r="G307" i="3"/>
  <c r="J306" i="3"/>
  <c r="I306" i="3"/>
  <c r="H306" i="3"/>
  <c r="G306" i="3"/>
  <c r="J305" i="3"/>
  <c r="I305" i="3"/>
  <c r="H305" i="3"/>
  <c r="G305" i="3"/>
  <c r="J304" i="3"/>
  <c r="I304" i="3"/>
  <c r="H304" i="3"/>
  <c r="G304" i="3"/>
  <c r="J303" i="3"/>
  <c r="I303" i="3"/>
  <c r="H303" i="3"/>
  <c r="G303" i="3"/>
  <c r="J302" i="3"/>
  <c r="I302" i="3"/>
  <c r="H302" i="3"/>
  <c r="G302" i="3"/>
  <c r="J301" i="3"/>
  <c r="K111" i="10" s="1"/>
  <c r="I301" i="3"/>
  <c r="J111" i="10" s="1"/>
  <c r="H301" i="3"/>
  <c r="I111" i="10" s="1"/>
  <c r="G301" i="3"/>
  <c r="H111" i="10" s="1"/>
  <c r="J300" i="3"/>
  <c r="K110" i="10" s="1"/>
  <c r="I300" i="3"/>
  <c r="J110" i="10" s="1"/>
  <c r="H300" i="3"/>
  <c r="I110" i="10" s="1"/>
  <c r="G300" i="3"/>
  <c r="H110" i="10" s="1"/>
  <c r="J299" i="3"/>
  <c r="I299" i="3"/>
  <c r="H299" i="3"/>
  <c r="G299" i="3"/>
  <c r="J298" i="3"/>
  <c r="I298" i="3"/>
  <c r="H298" i="3"/>
  <c r="G298" i="3"/>
  <c r="J297" i="3"/>
  <c r="I297" i="3"/>
  <c r="H297" i="3"/>
  <c r="G297" i="3"/>
  <c r="J296" i="3"/>
  <c r="I296" i="3"/>
  <c r="H296" i="3"/>
  <c r="G296" i="3"/>
  <c r="J295" i="3"/>
  <c r="I295" i="3"/>
  <c r="H295" i="3"/>
  <c r="G295" i="3"/>
  <c r="J294" i="3"/>
  <c r="I294" i="3"/>
  <c r="H294" i="3"/>
  <c r="G294" i="3"/>
  <c r="J293" i="3"/>
  <c r="I293" i="3"/>
  <c r="H293" i="3"/>
  <c r="G293" i="3"/>
  <c r="J292" i="3"/>
  <c r="K109" i="10" s="1"/>
  <c r="I292" i="3"/>
  <c r="J109" i="10" s="1"/>
  <c r="H292" i="3"/>
  <c r="I109" i="10" s="1"/>
  <c r="G292" i="3"/>
  <c r="H109" i="10" s="1"/>
  <c r="J291" i="3"/>
  <c r="I291" i="3"/>
  <c r="H291" i="3"/>
  <c r="G291" i="3"/>
  <c r="J290" i="3"/>
  <c r="I290" i="3"/>
  <c r="H290" i="3"/>
  <c r="G290" i="3"/>
  <c r="J289" i="3"/>
  <c r="I289" i="3"/>
  <c r="H289" i="3"/>
  <c r="G289" i="3"/>
  <c r="J288" i="3"/>
  <c r="I288" i="3"/>
  <c r="H288" i="3"/>
  <c r="G288" i="3"/>
  <c r="J287" i="3"/>
  <c r="K108" i="10" s="1"/>
  <c r="I287" i="3"/>
  <c r="J108" i="10" s="1"/>
  <c r="H287" i="3"/>
  <c r="I108" i="10" s="1"/>
  <c r="G287" i="3"/>
  <c r="H108" i="10" s="1"/>
  <c r="J286" i="3"/>
  <c r="I286" i="3"/>
  <c r="H286" i="3"/>
  <c r="G286" i="3"/>
  <c r="J285" i="3"/>
  <c r="I285" i="3"/>
  <c r="H285" i="3"/>
  <c r="G285" i="3"/>
  <c r="J284" i="3"/>
  <c r="I284" i="3"/>
  <c r="H284" i="3"/>
  <c r="G284" i="3"/>
  <c r="J283" i="3"/>
  <c r="I283" i="3"/>
  <c r="H283" i="3"/>
  <c r="G283" i="3"/>
  <c r="J282" i="3"/>
  <c r="I282" i="3"/>
  <c r="H282" i="3"/>
  <c r="G282" i="3"/>
  <c r="J281" i="3"/>
  <c r="I281" i="3"/>
  <c r="H281" i="3"/>
  <c r="G281" i="3"/>
  <c r="J280" i="3"/>
  <c r="I280" i="3"/>
  <c r="H280" i="3"/>
  <c r="G280" i="3"/>
  <c r="J279" i="3"/>
  <c r="I279" i="3"/>
  <c r="H279" i="3"/>
  <c r="G279" i="3"/>
  <c r="J278" i="3"/>
  <c r="I278" i="3"/>
  <c r="H278" i="3"/>
  <c r="G278" i="3"/>
  <c r="J277" i="3"/>
  <c r="I277" i="3"/>
  <c r="H277" i="3"/>
  <c r="G277" i="3"/>
  <c r="J276" i="3"/>
  <c r="I276" i="3"/>
  <c r="H276" i="3"/>
  <c r="G276" i="3"/>
  <c r="J275" i="3"/>
  <c r="I275" i="3"/>
  <c r="H275" i="3"/>
  <c r="G275" i="3"/>
  <c r="J274" i="3"/>
  <c r="I274" i="3"/>
  <c r="H274" i="3"/>
  <c r="G274" i="3"/>
  <c r="J273" i="3"/>
  <c r="I273" i="3"/>
  <c r="H273" i="3"/>
  <c r="G273" i="3"/>
  <c r="J272" i="3"/>
  <c r="I272" i="3"/>
  <c r="H272" i="3"/>
  <c r="G272" i="3"/>
  <c r="J271" i="3"/>
  <c r="I271" i="3"/>
  <c r="H271" i="3"/>
  <c r="G271" i="3"/>
  <c r="J269" i="3"/>
  <c r="K106" i="10" s="1"/>
  <c r="I269" i="3"/>
  <c r="J106" i="10" s="1"/>
  <c r="H269" i="3"/>
  <c r="I106" i="10" s="1"/>
  <c r="G269" i="3"/>
  <c r="H106" i="10" s="1"/>
  <c r="J268" i="3"/>
  <c r="I268" i="3"/>
  <c r="H268" i="3"/>
  <c r="G268" i="3"/>
  <c r="J267" i="3"/>
  <c r="I267" i="3"/>
  <c r="H267" i="3"/>
  <c r="G267" i="3"/>
  <c r="J266" i="3"/>
  <c r="I266" i="3"/>
  <c r="H266" i="3"/>
  <c r="G266" i="3"/>
  <c r="J265" i="3"/>
  <c r="I265" i="3"/>
  <c r="H265" i="3"/>
  <c r="G265" i="3"/>
  <c r="J264" i="3"/>
  <c r="I264" i="3"/>
  <c r="H264" i="3"/>
  <c r="G264" i="3"/>
  <c r="J263" i="3"/>
  <c r="I263" i="3"/>
  <c r="H263" i="3"/>
  <c r="G263" i="3"/>
  <c r="J262" i="3"/>
  <c r="I262" i="3"/>
  <c r="H262" i="3"/>
  <c r="G262" i="3"/>
  <c r="J261" i="3"/>
  <c r="I261" i="3"/>
  <c r="H261" i="3"/>
  <c r="G261" i="3"/>
  <c r="J260" i="3"/>
  <c r="I260" i="3"/>
  <c r="H260" i="3"/>
  <c r="G260" i="3"/>
  <c r="J259" i="3"/>
  <c r="I259" i="3"/>
  <c r="H259" i="3"/>
  <c r="G259" i="3"/>
  <c r="J258" i="3"/>
  <c r="I258" i="3"/>
  <c r="H258" i="3"/>
  <c r="G258" i="3"/>
  <c r="J257" i="3"/>
  <c r="I257" i="3"/>
  <c r="H257" i="3"/>
  <c r="G257" i="3"/>
  <c r="J256" i="3"/>
  <c r="K105" i="10" s="1"/>
  <c r="I256" i="3"/>
  <c r="J105" i="10" s="1"/>
  <c r="H256" i="3"/>
  <c r="I105" i="10" s="1"/>
  <c r="G256" i="3"/>
  <c r="H105" i="10" s="1"/>
  <c r="J248" i="3"/>
  <c r="I248" i="3"/>
  <c r="H248" i="3"/>
  <c r="G248" i="3"/>
  <c r="J255" i="3"/>
  <c r="I255" i="3"/>
  <c r="H255" i="3"/>
  <c r="G255" i="3"/>
  <c r="J254" i="3"/>
  <c r="I254" i="3"/>
  <c r="H254" i="3"/>
  <c r="G254" i="3"/>
  <c r="J253" i="3"/>
  <c r="I253" i="3"/>
  <c r="H253" i="3"/>
  <c r="G253" i="3"/>
  <c r="J252" i="3"/>
  <c r="I252" i="3"/>
  <c r="H252" i="3"/>
  <c r="G252" i="3"/>
  <c r="J251" i="3"/>
  <c r="I251" i="3"/>
  <c r="H251" i="3"/>
  <c r="G251" i="3"/>
  <c r="J250" i="3"/>
  <c r="I250" i="3"/>
  <c r="H250" i="3"/>
  <c r="G250" i="3"/>
  <c r="J249" i="3"/>
  <c r="I249" i="3"/>
  <c r="H249" i="3"/>
  <c r="G249" i="3"/>
  <c r="J247" i="3"/>
  <c r="I247" i="3"/>
  <c r="H247" i="3"/>
  <c r="G247" i="3"/>
  <c r="J246" i="3"/>
  <c r="I246" i="3"/>
  <c r="H246" i="3"/>
  <c r="G246" i="3"/>
  <c r="J245" i="3"/>
  <c r="I245" i="3"/>
  <c r="H245" i="3"/>
  <c r="G245" i="3"/>
  <c r="J244" i="3"/>
  <c r="I244" i="3"/>
  <c r="H244" i="3"/>
  <c r="G244" i="3"/>
  <c r="J243" i="3"/>
  <c r="I243" i="3"/>
  <c r="H243" i="3"/>
  <c r="G243" i="3"/>
  <c r="J242" i="3"/>
  <c r="I242" i="3"/>
  <c r="H242" i="3"/>
  <c r="G242" i="3"/>
  <c r="J241" i="3"/>
  <c r="I241" i="3"/>
  <c r="H241" i="3"/>
  <c r="G241" i="3"/>
  <c r="J240" i="3"/>
  <c r="I240" i="3"/>
  <c r="H240" i="3"/>
  <c r="G240" i="3"/>
  <c r="J239" i="3"/>
  <c r="I239" i="3"/>
  <c r="H239" i="3"/>
  <c r="G239" i="3"/>
  <c r="J238" i="3"/>
  <c r="I238" i="3"/>
  <c r="H238" i="3"/>
  <c r="G238" i="3"/>
  <c r="J237" i="3"/>
  <c r="I237" i="3"/>
  <c r="H237" i="3"/>
  <c r="G237" i="3"/>
  <c r="J236" i="3"/>
  <c r="I236" i="3"/>
  <c r="H236" i="3"/>
  <c r="G236" i="3"/>
  <c r="J235" i="3"/>
  <c r="K104" i="10" s="1"/>
  <c r="I235" i="3"/>
  <c r="J104" i="10" s="1"/>
  <c r="H235" i="3"/>
  <c r="I104" i="10" s="1"/>
  <c r="G235" i="3"/>
  <c r="H104" i="10" s="1"/>
  <c r="J234" i="3"/>
  <c r="K103" i="10" s="1"/>
  <c r="I234" i="3"/>
  <c r="J103" i="10" s="1"/>
  <c r="H234" i="3"/>
  <c r="I103" i="10" s="1"/>
  <c r="G234" i="3"/>
  <c r="H103" i="10" s="1"/>
  <c r="J232" i="3"/>
  <c r="I232" i="3"/>
  <c r="H232" i="3"/>
  <c r="G232" i="3"/>
  <c r="J231" i="3"/>
  <c r="I231" i="3"/>
  <c r="H231" i="3"/>
  <c r="G231" i="3"/>
  <c r="J230" i="3"/>
  <c r="I230" i="3"/>
  <c r="H230" i="3"/>
  <c r="G230" i="3"/>
  <c r="J229" i="3"/>
  <c r="I229" i="3"/>
  <c r="H229" i="3"/>
  <c r="G229" i="3"/>
  <c r="J228" i="3"/>
  <c r="I228" i="3"/>
  <c r="H228" i="3"/>
  <c r="G228" i="3"/>
  <c r="J226" i="3"/>
  <c r="I226" i="3"/>
  <c r="H226" i="3"/>
  <c r="G226" i="3"/>
  <c r="J225" i="3"/>
  <c r="I225" i="3"/>
  <c r="H225" i="3"/>
  <c r="G225" i="3"/>
  <c r="J224" i="3"/>
  <c r="I224" i="3"/>
  <c r="H224" i="3"/>
  <c r="G224" i="3"/>
  <c r="J223" i="3"/>
  <c r="I223" i="3"/>
  <c r="H223" i="3"/>
  <c r="G223" i="3"/>
  <c r="J222" i="3"/>
  <c r="I222" i="3"/>
  <c r="H222" i="3"/>
  <c r="G222" i="3"/>
  <c r="J220" i="3"/>
  <c r="I220" i="3"/>
  <c r="H220" i="3"/>
  <c r="G220" i="3"/>
  <c r="J221" i="3"/>
  <c r="I221" i="3"/>
  <c r="H221" i="3"/>
  <c r="G221" i="3"/>
  <c r="J219" i="3"/>
  <c r="I219" i="3"/>
  <c r="H219" i="3"/>
  <c r="G219" i="3"/>
  <c r="J218" i="3"/>
  <c r="I218" i="3"/>
  <c r="H218" i="3"/>
  <c r="G218" i="3"/>
  <c r="J217" i="3"/>
  <c r="I217" i="3"/>
  <c r="H217" i="3"/>
  <c r="G217" i="3"/>
  <c r="J215" i="3"/>
  <c r="I215" i="3"/>
  <c r="H215" i="3"/>
  <c r="G215" i="3"/>
  <c r="J216" i="3"/>
  <c r="I216" i="3"/>
  <c r="H216" i="3"/>
  <c r="G216" i="3"/>
  <c r="J213" i="3"/>
  <c r="I213" i="3"/>
  <c r="H213" i="3"/>
  <c r="G213" i="3"/>
  <c r="J214" i="3"/>
  <c r="I214" i="3"/>
  <c r="H214" i="3"/>
  <c r="G214" i="3"/>
  <c r="J212" i="3"/>
  <c r="I212" i="3"/>
  <c r="H212" i="3"/>
  <c r="G212" i="3"/>
  <c r="J210" i="3"/>
  <c r="I210" i="3"/>
  <c r="H210" i="3"/>
  <c r="G210" i="3"/>
  <c r="J211" i="3"/>
  <c r="I211" i="3"/>
  <c r="H211" i="3"/>
  <c r="G211" i="3"/>
  <c r="J209" i="3"/>
  <c r="I209" i="3"/>
  <c r="H209" i="3"/>
  <c r="G209" i="3"/>
  <c r="J208" i="3"/>
  <c r="I208" i="3"/>
  <c r="H208" i="3"/>
  <c r="G208" i="3"/>
  <c r="J206" i="3"/>
  <c r="I206" i="3"/>
  <c r="H206" i="3"/>
  <c r="G206" i="3"/>
  <c r="J207" i="3"/>
  <c r="I207" i="3"/>
  <c r="H207" i="3"/>
  <c r="G207" i="3"/>
  <c r="J205" i="3"/>
  <c r="I205" i="3"/>
  <c r="H205" i="3"/>
  <c r="G205" i="3"/>
  <c r="J204" i="3"/>
  <c r="I204" i="3"/>
  <c r="H204" i="3"/>
  <c r="G204" i="3"/>
  <c r="J203" i="3"/>
  <c r="I203" i="3"/>
  <c r="H203" i="3"/>
  <c r="G203" i="3"/>
  <c r="J201" i="3"/>
  <c r="I201" i="3"/>
  <c r="H201" i="3"/>
  <c r="G201" i="3"/>
  <c r="J202" i="3"/>
  <c r="I202" i="3"/>
  <c r="H202" i="3"/>
  <c r="G202" i="3"/>
  <c r="J200" i="3"/>
  <c r="I200" i="3"/>
  <c r="H200" i="3"/>
  <c r="G200" i="3"/>
  <c r="J198" i="3"/>
  <c r="I198" i="3"/>
  <c r="H198" i="3"/>
  <c r="G198" i="3"/>
  <c r="J197" i="3"/>
  <c r="I197" i="3"/>
  <c r="H197" i="3"/>
  <c r="G197" i="3"/>
  <c r="J195" i="3"/>
  <c r="I195" i="3"/>
  <c r="H195" i="3"/>
  <c r="G195" i="3"/>
  <c r="J196" i="3"/>
  <c r="I196" i="3"/>
  <c r="H196" i="3"/>
  <c r="G196" i="3"/>
  <c r="J193" i="3"/>
  <c r="I193" i="3"/>
  <c r="H193" i="3"/>
  <c r="G193" i="3"/>
  <c r="J194" i="3"/>
  <c r="I194" i="3"/>
  <c r="H194" i="3"/>
  <c r="G194" i="3"/>
  <c r="J191" i="3"/>
  <c r="I191" i="3"/>
  <c r="H191" i="3"/>
  <c r="G191" i="3"/>
  <c r="J192" i="3"/>
  <c r="I192" i="3"/>
  <c r="H192" i="3"/>
  <c r="G192" i="3"/>
  <c r="J190" i="3"/>
  <c r="I190" i="3"/>
  <c r="H190" i="3"/>
  <c r="G190" i="3"/>
  <c r="J188" i="3"/>
  <c r="I188" i="3"/>
  <c r="H188" i="3"/>
  <c r="G188" i="3"/>
  <c r="J189" i="3"/>
  <c r="I189" i="3"/>
  <c r="H189" i="3"/>
  <c r="G189" i="3"/>
  <c r="J187" i="3"/>
  <c r="I187" i="3"/>
  <c r="H187" i="3"/>
  <c r="G187" i="3"/>
  <c r="J186" i="3"/>
  <c r="I186" i="3"/>
  <c r="H186" i="3"/>
  <c r="G186" i="3"/>
  <c r="J184" i="3"/>
  <c r="I184" i="3"/>
  <c r="H184" i="3"/>
  <c r="G184" i="3"/>
  <c r="J185" i="3"/>
  <c r="I185" i="3"/>
  <c r="H185" i="3"/>
  <c r="G185" i="3"/>
  <c r="J183" i="3"/>
  <c r="I183" i="3"/>
  <c r="H183" i="3"/>
  <c r="G183" i="3"/>
  <c r="J182" i="3"/>
  <c r="I182" i="3"/>
  <c r="H182" i="3"/>
  <c r="G182" i="3"/>
  <c r="J181" i="3"/>
  <c r="I181" i="3"/>
  <c r="H181" i="3"/>
  <c r="G181" i="3"/>
  <c r="J180" i="3"/>
  <c r="I180" i="3"/>
  <c r="H180" i="3"/>
  <c r="G180" i="3"/>
  <c r="J179" i="3"/>
  <c r="I179" i="3"/>
  <c r="H179" i="3"/>
  <c r="G179" i="3"/>
  <c r="J178" i="3"/>
  <c r="I178" i="3"/>
  <c r="H178" i="3"/>
  <c r="G178" i="3"/>
  <c r="J177" i="3"/>
  <c r="I177" i="3"/>
  <c r="H177" i="3"/>
  <c r="G177" i="3"/>
  <c r="J176" i="3"/>
  <c r="I176" i="3"/>
  <c r="H176" i="3"/>
  <c r="G176" i="3"/>
  <c r="J175" i="3"/>
  <c r="I175" i="3"/>
  <c r="H175" i="3"/>
  <c r="G175" i="3"/>
  <c r="J174" i="3"/>
  <c r="I174" i="3"/>
  <c r="H174" i="3"/>
  <c r="G174" i="3"/>
  <c r="J173" i="3"/>
  <c r="I173" i="3"/>
  <c r="H173" i="3"/>
  <c r="G173" i="3"/>
  <c r="J172" i="3"/>
  <c r="I172" i="3"/>
  <c r="H172" i="3"/>
  <c r="G172" i="3"/>
  <c r="J170" i="3"/>
  <c r="I170" i="3"/>
  <c r="H170" i="3"/>
  <c r="G170" i="3"/>
  <c r="J169" i="3"/>
  <c r="I169" i="3"/>
  <c r="H169" i="3"/>
  <c r="G169" i="3"/>
  <c r="J168" i="3"/>
  <c r="I168" i="3"/>
  <c r="H168" i="3"/>
  <c r="G168" i="3"/>
  <c r="J167" i="3"/>
  <c r="I167" i="3"/>
  <c r="H167" i="3"/>
  <c r="G167" i="3"/>
  <c r="J166" i="3"/>
  <c r="I166" i="3"/>
  <c r="H166" i="3"/>
  <c r="G166" i="3"/>
  <c r="J165" i="3"/>
  <c r="I165" i="3"/>
  <c r="H165" i="3"/>
  <c r="G165" i="3"/>
  <c r="J164" i="3"/>
  <c r="I164" i="3"/>
  <c r="H164" i="3"/>
  <c r="G164" i="3"/>
  <c r="J163" i="3"/>
  <c r="I163" i="3"/>
  <c r="H163" i="3"/>
  <c r="G163" i="3"/>
  <c r="J162" i="3"/>
  <c r="I162" i="3"/>
  <c r="H162" i="3"/>
  <c r="G162" i="3"/>
  <c r="J161" i="3"/>
  <c r="I161" i="3"/>
  <c r="H161" i="3"/>
  <c r="G161" i="3"/>
  <c r="J160" i="3"/>
  <c r="I160" i="3"/>
  <c r="H160" i="3"/>
  <c r="G160" i="3"/>
  <c r="J159" i="3"/>
  <c r="I159" i="3"/>
  <c r="H159" i="3"/>
  <c r="G159" i="3"/>
  <c r="J158" i="3"/>
  <c r="I158" i="3"/>
  <c r="H158" i="3"/>
  <c r="G158" i="3"/>
  <c r="J157" i="3"/>
  <c r="I157" i="3"/>
  <c r="H157" i="3"/>
  <c r="G157" i="3"/>
  <c r="J156" i="3"/>
  <c r="I156" i="3"/>
  <c r="H156" i="3"/>
  <c r="G156" i="3"/>
  <c r="J155" i="3"/>
  <c r="I155" i="3"/>
  <c r="H155" i="3"/>
  <c r="G155" i="3"/>
  <c r="J154" i="3"/>
  <c r="I154" i="3"/>
  <c r="H154" i="3"/>
  <c r="G154" i="3"/>
  <c r="J153" i="3"/>
  <c r="I153" i="3"/>
  <c r="H153" i="3"/>
  <c r="G153" i="3"/>
  <c r="J152" i="3"/>
  <c r="I152" i="3"/>
  <c r="H152" i="3"/>
  <c r="G152" i="3"/>
  <c r="J151" i="3"/>
  <c r="K102" i="10" s="1"/>
  <c r="I151" i="3"/>
  <c r="J102" i="10" s="1"/>
  <c r="H151" i="3"/>
  <c r="I102" i="10" s="1"/>
  <c r="G151" i="3"/>
  <c r="H102" i="10" s="1"/>
  <c r="J149" i="3"/>
  <c r="I149" i="3"/>
  <c r="H149" i="3"/>
  <c r="G149" i="3"/>
  <c r="J148" i="3"/>
  <c r="I148" i="3"/>
  <c r="H148" i="3"/>
  <c r="G148" i="3"/>
  <c r="J147" i="3"/>
  <c r="I147" i="3"/>
  <c r="H147" i="3"/>
  <c r="G147" i="3"/>
  <c r="J146" i="3"/>
  <c r="I146" i="3"/>
  <c r="H146" i="3"/>
  <c r="G146" i="3"/>
  <c r="J145" i="3"/>
  <c r="I145" i="3"/>
  <c r="H145" i="3"/>
  <c r="G145" i="3"/>
  <c r="J144" i="3"/>
  <c r="I144" i="3"/>
  <c r="H144" i="3"/>
  <c r="G144" i="3"/>
  <c r="J143" i="3"/>
  <c r="K101" i="10" s="1"/>
  <c r="I143" i="3"/>
  <c r="J101" i="10" s="1"/>
  <c r="H143" i="3"/>
  <c r="I101" i="10" s="1"/>
  <c r="G143" i="3"/>
  <c r="H101" i="10" s="1"/>
  <c r="J142" i="3"/>
  <c r="K100" i="10" s="1"/>
  <c r="I142" i="3"/>
  <c r="J100" i="10" s="1"/>
  <c r="H142" i="3"/>
  <c r="I100" i="10" s="1"/>
  <c r="G142" i="3"/>
  <c r="H100" i="10" s="1"/>
  <c r="J141" i="3"/>
  <c r="I141" i="3"/>
  <c r="H141" i="3"/>
  <c r="G141" i="3"/>
  <c r="J140" i="3"/>
  <c r="I140" i="3"/>
  <c r="H140" i="3"/>
  <c r="G140" i="3"/>
  <c r="J139" i="3"/>
  <c r="I139" i="3"/>
  <c r="H139" i="3"/>
  <c r="G139" i="3"/>
  <c r="J138" i="3"/>
  <c r="I138" i="3"/>
  <c r="H138" i="3"/>
  <c r="G138" i="3"/>
  <c r="J137" i="3"/>
  <c r="I137" i="3"/>
  <c r="H137" i="3"/>
  <c r="G137" i="3"/>
  <c r="J136" i="3"/>
  <c r="I136" i="3"/>
  <c r="H136" i="3"/>
  <c r="G136" i="3"/>
  <c r="J135" i="3"/>
  <c r="I135" i="3"/>
  <c r="H135" i="3"/>
  <c r="G135" i="3"/>
  <c r="J134" i="3"/>
  <c r="I134" i="3"/>
  <c r="H134" i="3"/>
  <c r="G134" i="3"/>
  <c r="J133" i="3"/>
  <c r="I133" i="3"/>
  <c r="H133" i="3"/>
  <c r="G133" i="3"/>
  <c r="J132" i="3"/>
  <c r="I132" i="3"/>
  <c r="H132" i="3"/>
  <c r="G132" i="3"/>
  <c r="J131" i="3"/>
  <c r="K99" i="10" s="1"/>
  <c r="I131" i="3"/>
  <c r="J99" i="10" s="1"/>
  <c r="H131" i="3"/>
  <c r="I99" i="10" s="1"/>
  <c r="G131" i="3"/>
  <c r="H99" i="10" s="1"/>
  <c r="J130" i="3"/>
  <c r="K98" i="10" s="1"/>
  <c r="I130" i="3"/>
  <c r="J98" i="10" s="1"/>
  <c r="H130" i="3"/>
  <c r="I98" i="10" s="1"/>
  <c r="G130" i="3"/>
  <c r="H98" i="10" s="1"/>
  <c r="J129" i="3"/>
  <c r="I129" i="3"/>
  <c r="H129" i="3"/>
  <c r="G129" i="3"/>
  <c r="J128" i="3"/>
  <c r="I128" i="3"/>
  <c r="H128" i="3"/>
  <c r="G128" i="3"/>
  <c r="J127" i="3"/>
  <c r="I127" i="3"/>
  <c r="H127" i="3"/>
  <c r="G127" i="3"/>
  <c r="J126" i="3"/>
  <c r="I126" i="3"/>
  <c r="H126" i="3"/>
  <c r="G126" i="3"/>
  <c r="J125" i="3"/>
  <c r="I125" i="3"/>
  <c r="H125" i="3"/>
  <c r="G125" i="3"/>
  <c r="J124" i="3"/>
  <c r="K97" i="10" s="1"/>
  <c r="I124" i="3"/>
  <c r="J97" i="10" s="1"/>
  <c r="H124" i="3"/>
  <c r="I97" i="10" s="1"/>
  <c r="G124" i="3"/>
  <c r="H97" i="10" s="1"/>
  <c r="J123" i="3"/>
  <c r="K96" i="10" s="1"/>
  <c r="I123" i="3"/>
  <c r="J96" i="10" s="1"/>
  <c r="H123" i="3"/>
  <c r="I96" i="10" s="1"/>
  <c r="G123" i="3"/>
  <c r="H96" i="10" s="1"/>
  <c r="J122" i="3"/>
  <c r="I122" i="3"/>
  <c r="H122" i="3"/>
  <c r="G122" i="3"/>
  <c r="J121" i="3"/>
  <c r="K95" i="10" s="1"/>
  <c r="I121" i="3"/>
  <c r="J95" i="10" s="1"/>
  <c r="H121" i="3"/>
  <c r="I95" i="10" s="1"/>
  <c r="G121" i="3"/>
  <c r="H95" i="10" s="1"/>
  <c r="J120" i="3"/>
  <c r="K94" i="10" s="1"/>
  <c r="I120" i="3"/>
  <c r="J94" i="10" s="1"/>
  <c r="H120" i="3"/>
  <c r="I94" i="10" s="1"/>
  <c r="G120" i="3"/>
  <c r="H94" i="10" s="1"/>
  <c r="J119" i="3"/>
  <c r="I119" i="3"/>
  <c r="H119" i="3"/>
  <c r="G119" i="3"/>
  <c r="J118" i="3"/>
  <c r="I118" i="3"/>
  <c r="H118" i="3"/>
  <c r="G118" i="3"/>
  <c r="J117" i="3"/>
  <c r="I117" i="3"/>
  <c r="H117" i="3"/>
  <c r="G117" i="3"/>
  <c r="J116" i="3"/>
  <c r="I116" i="3"/>
  <c r="H116" i="3"/>
  <c r="G116" i="3"/>
  <c r="J115" i="3"/>
  <c r="I115" i="3"/>
  <c r="H115" i="3"/>
  <c r="G115" i="3"/>
  <c r="J114" i="3"/>
  <c r="I114" i="3"/>
  <c r="H114" i="3"/>
  <c r="G114" i="3"/>
  <c r="J113" i="3"/>
  <c r="I113" i="3"/>
  <c r="H113" i="3"/>
  <c r="G113" i="3"/>
  <c r="J112" i="3"/>
  <c r="I112" i="3"/>
  <c r="H112" i="3"/>
  <c r="G112" i="3"/>
  <c r="J111" i="3"/>
  <c r="I111" i="3"/>
  <c r="H111" i="3"/>
  <c r="G111" i="3"/>
  <c r="J110" i="3"/>
  <c r="I110" i="3"/>
  <c r="H110" i="3"/>
  <c r="G110" i="3"/>
  <c r="J109" i="3"/>
  <c r="I109" i="3"/>
  <c r="H109" i="3"/>
  <c r="G109" i="3"/>
  <c r="J107" i="3"/>
  <c r="I107" i="3"/>
  <c r="H107" i="3"/>
  <c r="G107" i="3"/>
  <c r="J99" i="3"/>
  <c r="I99" i="3"/>
  <c r="H99" i="3"/>
  <c r="G99" i="3"/>
  <c r="J98" i="3"/>
  <c r="I98" i="3"/>
  <c r="H98" i="3"/>
  <c r="G98" i="3"/>
  <c r="J97" i="3"/>
  <c r="I97" i="3"/>
  <c r="H97" i="3"/>
  <c r="G97" i="3"/>
  <c r="J96" i="3"/>
  <c r="I96" i="3"/>
  <c r="H96" i="3"/>
  <c r="G96" i="3"/>
  <c r="J95" i="3"/>
  <c r="I95" i="3"/>
  <c r="H95" i="3"/>
  <c r="G95" i="3"/>
  <c r="J94" i="3"/>
  <c r="I94" i="3"/>
  <c r="H94" i="3"/>
  <c r="G94" i="3"/>
  <c r="J93" i="3"/>
  <c r="I93" i="3"/>
  <c r="H93" i="3"/>
  <c r="G93" i="3"/>
  <c r="J92" i="3"/>
  <c r="I92" i="3"/>
  <c r="H92" i="3"/>
  <c r="G92" i="3"/>
  <c r="J91" i="3"/>
  <c r="I91" i="3"/>
  <c r="H91" i="3"/>
  <c r="G91" i="3"/>
  <c r="J90" i="3"/>
  <c r="I90" i="3"/>
  <c r="H90" i="3"/>
  <c r="G90" i="3"/>
  <c r="J89" i="3"/>
  <c r="I89" i="3"/>
  <c r="H89" i="3"/>
  <c r="G89" i="3"/>
  <c r="J88" i="3"/>
  <c r="I88" i="3"/>
  <c r="H88" i="3"/>
  <c r="G88" i="3"/>
  <c r="J87" i="3"/>
  <c r="I87" i="3"/>
  <c r="H87" i="3"/>
  <c r="G87" i="3"/>
  <c r="J86" i="3"/>
  <c r="I86" i="3"/>
  <c r="H86" i="3"/>
  <c r="G86" i="3"/>
  <c r="J85" i="3"/>
  <c r="I85" i="3"/>
  <c r="H85" i="3"/>
  <c r="G85" i="3"/>
  <c r="J84" i="3"/>
  <c r="I84" i="3"/>
  <c r="H84" i="3"/>
  <c r="G84" i="3"/>
  <c r="J83" i="3"/>
  <c r="I83" i="3"/>
  <c r="H83" i="3"/>
  <c r="G83" i="3"/>
  <c r="J82" i="3"/>
  <c r="I82" i="3"/>
  <c r="H82" i="3"/>
  <c r="G82" i="3"/>
  <c r="J81" i="3"/>
  <c r="I81" i="3"/>
  <c r="H81" i="3"/>
  <c r="G81" i="3"/>
  <c r="J80" i="3"/>
  <c r="I80" i="3"/>
  <c r="H80" i="3"/>
  <c r="G80" i="3"/>
  <c r="J79" i="3"/>
  <c r="I79" i="3"/>
  <c r="H79" i="3"/>
  <c r="G79" i="3"/>
  <c r="J78" i="3"/>
  <c r="I78" i="3"/>
  <c r="H78" i="3"/>
  <c r="G78" i="3"/>
  <c r="J77" i="3"/>
  <c r="I77" i="3"/>
  <c r="H77" i="3"/>
  <c r="G77" i="3"/>
  <c r="J75" i="3"/>
  <c r="I75" i="3"/>
  <c r="H75" i="3"/>
  <c r="G75" i="3"/>
  <c r="J74" i="3"/>
  <c r="I74" i="3"/>
  <c r="H74" i="3"/>
  <c r="G74" i="3"/>
  <c r="J73" i="3"/>
  <c r="I73" i="3"/>
  <c r="H73" i="3"/>
  <c r="G73" i="3"/>
  <c r="J72" i="3"/>
  <c r="I72" i="3"/>
  <c r="H72" i="3"/>
  <c r="G72" i="3"/>
  <c r="J71" i="3"/>
  <c r="I71" i="3"/>
  <c r="H71" i="3"/>
  <c r="G71" i="3"/>
  <c r="J70" i="3"/>
  <c r="I70" i="3"/>
  <c r="H70" i="3"/>
  <c r="G70" i="3"/>
  <c r="J69" i="3"/>
  <c r="I69" i="3"/>
  <c r="H69" i="3"/>
  <c r="G69" i="3"/>
  <c r="J68" i="3"/>
  <c r="I68" i="3"/>
  <c r="H68" i="3"/>
  <c r="G68" i="3"/>
  <c r="J67" i="3"/>
  <c r="I67" i="3"/>
  <c r="H67" i="3"/>
  <c r="G67" i="3"/>
  <c r="J66" i="3"/>
  <c r="I66" i="3"/>
  <c r="H66" i="3"/>
  <c r="G66" i="3"/>
  <c r="J65" i="3"/>
  <c r="I65" i="3"/>
  <c r="H65" i="3"/>
  <c r="G65" i="3"/>
  <c r="J64" i="3"/>
  <c r="I64" i="3"/>
  <c r="H64" i="3"/>
  <c r="G64" i="3"/>
  <c r="J63" i="3"/>
  <c r="I63" i="3"/>
  <c r="H63" i="3"/>
  <c r="G63" i="3"/>
  <c r="J62" i="3"/>
  <c r="I62" i="3"/>
  <c r="H62" i="3"/>
  <c r="G62" i="3"/>
  <c r="J61" i="3"/>
  <c r="I61" i="3"/>
  <c r="H61" i="3"/>
  <c r="G61" i="3"/>
  <c r="J60" i="3"/>
  <c r="I60" i="3"/>
  <c r="H60" i="3"/>
  <c r="G60" i="3"/>
  <c r="J59" i="3"/>
  <c r="I59" i="3"/>
  <c r="H59" i="3"/>
  <c r="G59"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K84" i="10" s="1"/>
  <c r="I20" i="3"/>
  <c r="J84" i="10" s="1"/>
  <c r="H20" i="3"/>
  <c r="I84" i="10" s="1"/>
  <c r="G20" i="3"/>
  <c r="H84" i="10" s="1"/>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5" i="3"/>
  <c r="I5" i="3"/>
  <c r="H5" i="3"/>
  <c r="G5" i="3"/>
  <c r="A365" i="8" l="1"/>
  <c r="A366" i="8"/>
  <c r="B365" i="8"/>
  <c r="B366" i="8"/>
  <c r="D365" i="8"/>
  <c r="D366" i="8"/>
  <c r="E365" i="8"/>
  <c r="E366" i="8"/>
  <c r="A219" i="8" l="1"/>
  <c r="A189" i="8" l="1"/>
  <c r="B189" i="8"/>
  <c r="D189" i="8"/>
  <c r="E189" i="8"/>
  <c r="A157" i="8" l="1"/>
  <c r="B157" i="8"/>
  <c r="D157" i="8"/>
  <c r="E157" i="8"/>
  <c r="A51" i="8" l="1"/>
  <c r="B51" i="8"/>
  <c r="D51" i="8"/>
  <c r="E51" i="8"/>
  <c r="A83" i="8"/>
  <c r="A84" i="8"/>
  <c r="A85" i="8"/>
  <c r="A86" i="8"/>
  <c r="A87" i="8"/>
  <c r="A88" i="8"/>
  <c r="A89" i="8"/>
  <c r="A90" i="8"/>
  <c r="A91" i="8"/>
  <c r="A92" i="8"/>
  <c r="B83" i="8"/>
  <c r="B84" i="8"/>
  <c r="B85" i="8"/>
  <c r="B86" i="8"/>
  <c r="B87" i="8"/>
  <c r="B88" i="8"/>
  <c r="B89" i="8"/>
  <c r="B90" i="8"/>
  <c r="B91" i="8"/>
  <c r="B92" i="8"/>
  <c r="D83" i="8"/>
  <c r="D84" i="8"/>
  <c r="D85" i="8"/>
  <c r="D86" i="8"/>
  <c r="D87" i="8"/>
  <c r="D88" i="8"/>
  <c r="D89" i="8"/>
  <c r="D90" i="8"/>
  <c r="D91" i="8"/>
  <c r="D92" i="8"/>
  <c r="E83" i="8"/>
  <c r="E84" i="8"/>
  <c r="E85" i="8"/>
  <c r="E86" i="8"/>
  <c r="E87" i="8"/>
  <c r="E88" i="8"/>
  <c r="E89" i="8"/>
  <c r="E90" i="8"/>
  <c r="E91" i="8"/>
  <c r="E92" i="8"/>
  <c r="J4" i="3" l="1"/>
  <c r="I4" i="3"/>
  <c r="H4" i="3"/>
  <c r="G4" i="3"/>
  <c r="BM75" i="2" l="1"/>
  <c r="BM74" i="2"/>
  <c r="BM73" i="2"/>
  <c r="BM72" i="2"/>
  <c r="BM66" i="2"/>
  <c r="BM64" i="2"/>
  <c r="BM63" i="2"/>
  <c r="BK75" i="2"/>
  <c r="BK74" i="2"/>
  <c r="BK73" i="2"/>
  <c r="BK72" i="2"/>
  <c r="BK71" i="2"/>
  <c r="BK70" i="2"/>
  <c r="BK69" i="2"/>
  <c r="BK68" i="2"/>
  <c r="BK66" i="2"/>
  <c r="BK64" i="2"/>
  <c r="BK63" i="2"/>
  <c r="BI75" i="2"/>
  <c r="BI74" i="2"/>
  <c r="BI73" i="2"/>
  <c r="BI72" i="2"/>
  <c r="BI71" i="2"/>
  <c r="BI70" i="2"/>
  <c r="BI69" i="2"/>
  <c r="BI68" i="2"/>
  <c r="BI66" i="2"/>
  <c r="BI64" i="2"/>
  <c r="BI63" i="2"/>
  <c r="BG75" i="2"/>
  <c r="BG74" i="2"/>
  <c r="BG73" i="2"/>
  <c r="BG72" i="2"/>
  <c r="BG71" i="2"/>
  <c r="BG70" i="2"/>
  <c r="BG69" i="2"/>
  <c r="BG68" i="2"/>
  <c r="BG66" i="2"/>
  <c r="BG64" i="2"/>
  <c r="BG63" i="2"/>
  <c r="BE75" i="2"/>
  <c r="BE74" i="2"/>
  <c r="BE73" i="2"/>
  <c r="BE72" i="2"/>
  <c r="BE71" i="2"/>
  <c r="BE70" i="2"/>
  <c r="BE69" i="2"/>
  <c r="BE68" i="2"/>
  <c r="BE66" i="2"/>
  <c r="BE64" i="2"/>
  <c r="BE63" i="2"/>
  <c r="BC75" i="2"/>
  <c r="BC74" i="2"/>
  <c r="BC73" i="2"/>
  <c r="BC72" i="2"/>
  <c r="BC71" i="2"/>
  <c r="BC70" i="2"/>
  <c r="BC69" i="2"/>
  <c r="BC68" i="2"/>
  <c r="BC66" i="2"/>
  <c r="BC64" i="2"/>
  <c r="BC63" i="2"/>
  <c r="BA75" i="2"/>
  <c r="BA74" i="2"/>
  <c r="BA73" i="2"/>
  <c r="BA72" i="2"/>
  <c r="BA71" i="2"/>
  <c r="BA70" i="2"/>
  <c r="BA69" i="2"/>
  <c r="BA68" i="2"/>
  <c r="BA66" i="2"/>
  <c r="BA64" i="2"/>
  <c r="BA63" i="2"/>
  <c r="AY75" i="2"/>
  <c r="AY74" i="2"/>
  <c r="AY73" i="2"/>
  <c r="AY72" i="2"/>
  <c r="AY71" i="2"/>
  <c r="AY70" i="2"/>
  <c r="AY69" i="2"/>
  <c r="AY68" i="2"/>
  <c r="AY66" i="2"/>
  <c r="AY64" i="2"/>
  <c r="AY63" i="2"/>
  <c r="AW75" i="2"/>
  <c r="AW74" i="2"/>
  <c r="AW73" i="2"/>
  <c r="AW72" i="2"/>
  <c r="AW71" i="2"/>
  <c r="AW70" i="2"/>
  <c r="AW69" i="2"/>
  <c r="AW68" i="2"/>
  <c r="AW66" i="2"/>
  <c r="AW64" i="2"/>
  <c r="AW63" i="2"/>
  <c r="AU75" i="2"/>
  <c r="AU74" i="2"/>
  <c r="AU73" i="2"/>
  <c r="AU72" i="2"/>
  <c r="AU71" i="2"/>
  <c r="AU70" i="2"/>
  <c r="AU69" i="2"/>
  <c r="AU68" i="2"/>
  <c r="AU66" i="2"/>
  <c r="AU64" i="2"/>
  <c r="AU63" i="2"/>
  <c r="AS75" i="2"/>
  <c r="AS74" i="2"/>
  <c r="AS73" i="2"/>
  <c r="AS72" i="2"/>
  <c r="AS71" i="2"/>
  <c r="AS70" i="2"/>
  <c r="AS69" i="2"/>
  <c r="AS68" i="2"/>
  <c r="AS66" i="2"/>
  <c r="AS64" i="2"/>
  <c r="AS63" i="2"/>
  <c r="AQ75" i="2"/>
  <c r="AQ74" i="2"/>
  <c r="AQ73" i="2"/>
  <c r="AQ72" i="2"/>
  <c r="AQ71" i="2"/>
  <c r="AQ70" i="2"/>
  <c r="AQ69" i="2"/>
  <c r="AQ68" i="2"/>
  <c r="AQ66" i="2"/>
  <c r="AQ64" i="2"/>
  <c r="AQ63" i="2"/>
  <c r="AO75" i="2"/>
  <c r="AO74" i="2"/>
  <c r="AO73" i="2"/>
  <c r="AO72" i="2"/>
  <c r="AO71" i="2"/>
  <c r="AO70" i="2"/>
  <c r="AO69" i="2"/>
  <c r="AO68" i="2"/>
  <c r="AO66" i="2"/>
  <c r="AO64" i="2"/>
  <c r="AO63" i="2"/>
  <c r="AM75" i="2"/>
  <c r="AM74" i="2"/>
  <c r="AM73" i="2"/>
  <c r="AM72" i="2"/>
  <c r="AM71" i="2"/>
  <c r="AM70" i="2"/>
  <c r="AM69" i="2"/>
  <c r="AM68" i="2"/>
  <c r="AM66" i="2"/>
  <c r="AM64" i="2"/>
  <c r="AM63" i="2"/>
  <c r="AK75" i="2"/>
  <c r="AK74" i="2"/>
  <c r="AK73" i="2"/>
  <c r="AK72" i="2"/>
  <c r="AK71" i="2"/>
  <c r="AK70" i="2"/>
  <c r="AK69" i="2"/>
  <c r="AK68" i="2"/>
  <c r="AK66" i="2"/>
  <c r="AK64" i="2"/>
  <c r="AK63" i="2"/>
  <c r="AI75" i="2"/>
  <c r="AI74" i="2"/>
  <c r="AI73" i="2"/>
  <c r="AI72" i="2"/>
  <c r="AI71" i="2"/>
  <c r="AI70" i="2"/>
  <c r="AI69" i="2"/>
  <c r="AI68" i="2"/>
  <c r="AI66" i="2"/>
  <c r="AI64" i="2"/>
  <c r="AI63" i="2"/>
  <c r="AC75" i="2"/>
  <c r="AC74" i="2"/>
  <c r="AC73" i="2"/>
  <c r="AC72" i="2"/>
  <c r="AC71" i="2"/>
  <c r="AC70" i="2"/>
  <c r="AC69" i="2"/>
  <c r="AC68" i="2"/>
  <c r="AC66" i="2"/>
  <c r="AC64" i="2"/>
  <c r="AC63" i="2"/>
  <c r="AA75" i="2"/>
  <c r="AA74" i="2"/>
  <c r="AA73" i="2"/>
  <c r="AA72" i="2"/>
  <c r="AA71" i="2"/>
  <c r="AA70" i="2"/>
  <c r="AA69" i="2"/>
  <c r="AA68" i="2"/>
  <c r="AA66" i="2"/>
  <c r="AA64" i="2"/>
  <c r="AA63" i="2"/>
  <c r="Y75" i="2"/>
  <c r="Y74" i="2"/>
  <c r="Y73" i="2"/>
  <c r="Y72" i="2"/>
  <c r="Y71" i="2"/>
  <c r="Y70" i="2"/>
  <c r="Y69" i="2"/>
  <c r="Y68" i="2"/>
  <c r="Y66" i="2"/>
  <c r="Y64" i="2"/>
  <c r="Y63" i="2"/>
  <c r="W75" i="2"/>
  <c r="W74" i="2"/>
  <c r="W73" i="2"/>
  <c r="W72" i="2"/>
  <c r="W71" i="2"/>
  <c r="W70" i="2"/>
  <c r="W69" i="2"/>
  <c r="W68" i="2"/>
  <c r="W66" i="2"/>
  <c r="W64" i="2"/>
  <c r="W63" i="2"/>
  <c r="U75" i="2"/>
  <c r="U74" i="2"/>
  <c r="U73" i="2"/>
  <c r="U72" i="2"/>
  <c r="U71" i="2"/>
  <c r="U70" i="2"/>
  <c r="U69" i="2"/>
  <c r="U68" i="2"/>
  <c r="U66" i="2"/>
  <c r="U64" i="2"/>
  <c r="U63" i="2"/>
  <c r="S63" i="2"/>
  <c r="S64" i="2"/>
  <c r="S66" i="2"/>
  <c r="S68" i="2"/>
  <c r="S69" i="2"/>
  <c r="S70" i="2"/>
  <c r="S71" i="2"/>
  <c r="S72" i="2"/>
  <c r="S73" i="2"/>
  <c r="S74" i="2"/>
  <c r="S75" i="2"/>
  <c r="Q75" i="2"/>
  <c r="Q74" i="2"/>
  <c r="Q73" i="2"/>
  <c r="Q72" i="2"/>
  <c r="Q71" i="2"/>
  <c r="Q70" i="2"/>
  <c r="Q69" i="2"/>
  <c r="Q68" i="2"/>
  <c r="Q66" i="2"/>
  <c r="Q64" i="2"/>
  <c r="Q63" i="2"/>
  <c r="O63" i="2"/>
  <c r="O75" i="2"/>
  <c r="O74" i="2"/>
  <c r="O73" i="2"/>
  <c r="O72" i="2"/>
  <c r="O71" i="2"/>
  <c r="O70" i="2"/>
  <c r="O69" i="2"/>
  <c r="O68" i="2"/>
  <c r="O66" i="2"/>
  <c r="O64" i="2"/>
  <c r="M63" i="2"/>
  <c r="K63" i="2"/>
  <c r="M75" i="2"/>
  <c r="M74" i="2"/>
  <c r="M73" i="2"/>
  <c r="M72" i="2"/>
  <c r="M71" i="2"/>
  <c r="M70" i="2"/>
  <c r="M69" i="2"/>
  <c r="M68" i="2"/>
  <c r="M66" i="2"/>
  <c r="M64" i="2"/>
  <c r="K75" i="2"/>
  <c r="K74" i="2"/>
  <c r="K73" i="2"/>
  <c r="K72" i="2"/>
  <c r="K71" i="2"/>
  <c r="K70" i="2"/>
  <c r="K69" i="2"/>
  <c r="K68" i="2"/>
  <c r="K66" i="2"/>
  <c r="K64" i="2"/>
  <c r="A61" i="10" l="1"/>
  <c r="A42" i="10"/>
  <c r="G8" i="10"/>
  <c r="G7" i="10"/>
  <c r="G6" i="10"/>
  <c r="L7" i="10"/>
  <c r="G5" i="10"/>
  <c r="L6" i="10"/>
  <c r="A56" i="10" s="1"/>
  <c r="L5" i="10"/>
  <c r="A14" i="10" l="1"/>
  <c r="C14" i="10" s="1"/>
  <c r="A77" i="10"/>
  <c r="D77" i="10" s="1"/>
  <c r="A19" i="10"/>
  <c r="K56" i="10"/>
  <c r="I56" i="10"/>
  <c r="J56" i="10"/>
  <c r="H56" i="10"/>
  <c r="A13" i="10"/>
  <c r="D13" i="10" s="1"/>
  <c r="A24" i="10"/>
  <c r="G56" i="10"/>
  <c r="F56" i="10"/>
  <c r="D56" i="10"/>
  <c r="C56" i="10"/>
  <c r="B56" i="10"/>
  <c r="A21" i="10"/>
  <c r="A36" i="10"/>
  <c r="A55" i="10"/>
  <c r="A51" i="10"/>
  <c r="A47" i="10"/>
  <c r="A43" i="10"/>
  <c r="A58" i="10"/>
  <c r="A54" i="10"/>
  <c r="A50" i="10"/>
  <c r="A46" i="10"/>
  <c r="A37" i="10"/>
  <c r="A27" i="10"/>
  <c r="A57" i="10"/>
  <c r="A53" i="10"/>
  <c r="A49" i="10"/>
  <c r="A45" i="10"/>
  <c r="A12" i="10"/>
  <c r="A52" i="10"/>
  <c r="A16" i="10"/>
  <c r="E16" i="10" s="1"/>
  <c r="A11" i="10"/>
  <c r="E11" i="10" s="1"/>
  <c r="A17" i="10"/>
  <c r="A32" i="10"/>
  <c r="A48" i="10"/>
  <c r="A44" i="10"/>
  <c r="A22" i="10"/>
  <c r="A26" i="10"/>
  <c r="A31" i="10"/>
  <c r="A34" i="10"/>
  <c r="A28" i="10"/>
  <c r="A38" i="10"/>
  <c r="A62" i="10"/>
  <c r="A66" i="10"/>
  <c r="A70" i="10"/>
  <c r="A74" i="10"/>
  <c r="A63" i="10"/>
  <c r="A67" i="10"/>
  <c r="A71" i="10"/>
  <c r="A75" i="10"/>
  <c r="A29" i="10"/>
  <c r="A39" i="10"/>
  <c r="A23" i="10"/>
  <c r="A33" i="10"/>
  <c r="A64" i="10"/>
  <c r="A68" i="10"/>
  <c r="A72" i="10"/>
  <c r="A76" i="10"/>
  <c r="A18" i="10"/>
  <c r="A65" i="10"/>
  <c r="A69" i="10"/>
  <c r="A73" i="10"/>
  <c r="DH75" i="2"/>
  <c r="DH74" i="2"/>
  <c r="DH73" i="2"/>
  <c r="DH72" i="2"/>
  <c r="DH71" i="2"/>
  <c r="DH70" i="2"/>
  <c r="DH69" i="2"/>
  <c r="DH68" i="2"/>
  <c r="DD75" i="2"/>
  <c r="DD74" i="2"/>
  <c r="DD73" i="2"/>
  <c r="DD72" i="2"/>
  <c r="DD71" i="2"/>
  <c r="DD70" i="2"/>
  <c r="DD69" i="2"/>
  <c r="DD68" i="2"/>
  <c r="CZ75" i="2"/>
  <c r="CZ74" i="2"/>
  <c r="CZ73" i="2"/>
  <c r="CZ72" i="2"/>
  <c r="CZ71" i="2"/>
  <c r="CZ70" i="2"/>
  <c r="CZ69" i="2"/>
  <c r="CZ68" i="2"/>
  <c r="CV75" i="2"/>
  <c r="CV74" i="2"/>
  <c r="CV73" i="2"/>
  <c r="CV72" i="2"/>
  <c r="CV71" i="2"/>
  <c r="CV70" i="2"/>
  <c r="CV69" i="2"/>
  <c r="CV68" i="2"/>
  <c r="CR75" i="2"/>
  <c r="CR74" i="2"/>
  <c r="CR73" i="2"/>
  <c r="CR72" i="2"/>
  <c r="CR71" i="2"/>
  <c r="CR70" i="2"/>
  <c r="CR69" i="2"/>
  <c r="CR68" i="2"/>
  <c r="CN75" i="2"/>
  <c r="CN74" i="2"/>
  <c r="CN73" i="2"/>
  <c r="CN72" i="2"/>
  <c r="CN71" i="2"/>
  <c r="CN70" i="2"/>
  <c r="CN69" i="2"/>
  <c r="CN68" i="2"/>
  <c r="CJ75" i="2"/>
  <c r="CJ74" i="2"/>
  <c r="CJ73" i="2"/>
  <c r="CJ72" i="2"/>
  <c r="CJ71" i="2"/>
  <c r="CJ70" i="2"/>
  <c r="CJ69" i="2"/>
  <c r="CJ68" i="2"/>
  <c r="CF75" i="2"/>
  <c r="CF74" i="2"/>
  <c r="CF73" i="2"/>
  <c r="CF72" i="2"/>
  <c r="CF71" i="2"/>
  <c r="CF70" i="2"/>
  <c r="CF69" i="2"/>
  <c r="CF68" i="2"/>
  <c r="CB75" i="2"/>
  <c r="CB74" i="2"/>
  <c r="CB73" i="2"/>
  <c r="CB72" i="2"/>
  <c r="CB71" i="2"/>
  <c r="CB70" i="2"/>
  <c r="CB69" i="2"/>
  <c r="CB68" i="2"/>
  <c r="BP75" i="2"/>
  <c r="BP74" i="2"/>
  <c r="BP73" i="2"/>
  <c r="BP72" i="2"/>
  <c r="BP71" i="2"/>
  <c r="BP70" i="2"/>
  <c r="BP69" i="2"/>
  <c r="BP68" i="2"/>
  <c r="E17" i="10" l="1"/>
  <c r="E18" i="10" s="1"/>
  <c r="E19" i="10" s="1"/>
  <c r="E12" i="10"/>
  <c r="E13" i="10" s="1"/>
  <c r="E14" i="10" s="1"/>
  <c r="D12" i="10"/>
  <c r="D90" i="10"/>
  <c r="G90" i="10"/>
  <c r="H90" i="10"/>
  <c r="K90" i="10"/>
  <c r="J90" i="10"/>
  <c r="B90" i="10"/>
  <c r="C90" i="10"/>
  <c r="I90" i="10"/>
  <c r="F90" i="10"/>
  <c r="D86" i="10"/>
  <c r="C86" i="10"/>
  <c r="F86" i="10"/>
  <c r="J86" i="10"/>
  <c r="I86" i="10"/>
  <c r="G86" i="10"/>
  <c r="K86" i="10"/>
  <c r="H86" i="10"/>
  <c r="B86" i="10"/>
  <c r="G85" i="10"/>
  <c r="H85" i="10"/>
  <c r="F85" i="10"/>
  <c r="D85" i="10"/>
  <c r="C85" i="10"/>
  <c r="B85" i="10"/>
  <c r="K85" i="10"/>
  <c r="I85" i="10"/>
  <c r="J85" i="10"/>
  <c r="G89" i="10"/>
  <c r="C89" i="10"/>
  <c r="D89" i="10"/>
  <c r="H89" i="10"/>
  <c r="F89" i="10"/>
  <c r="B89" i="10"/>
  <c r="J89" i="10"/>
  <c r="K89" i="10"/>
  <c r="I89" i="10"/>
  <c r="K91" i="10"/>
  <c r="I91" i="10"/>
  <c r="H91" i="10"/>
  <c r="G91" i="10"/>
  <c r="B91" i="10"/>
  <c r="D91" i="10"/>
  <c r="F91" i="10"/>
  <c r="J91" i="10"/>
  <c r="C91" i="10"/>
  <c r="G93" i="10"/>
  <c r="H93" i="10"/>
  <c r="F93" i="10"/>
  <c r="D93" i="10"/>
  <c r="C93" i="10"/>
  <c r="K93" i="10"/>
  <c r="B93" i="10"/>
  <c r="J93" i="10"/>
  <c r="I93" i="10"/>
  <c r="K87" i="10"/>
  <c r="H87" i="10"/>
  <c r="I87" i="10"/>
  <c r="B87" i="10"/>
  <c r="F87" i="10"/>
  <c r="J87" i="10"/>
  <c r="C87" i="10"/>
  <c r="G87" i="10"/>
  <c r="D87" i="10"/>
  <c r="I92" i="10"/>
  <c r="H92" i="10"/>
  <c r="G92" i="10"/>
  <c r="F92" i="10"/>
  <c r="J92" i="10"/>
  <c r="D92" i="10"/>
  <c r="B92" i="10"/>
  <c r="C92" i="10"/>
  <c r="K92" i="10"/>
  <c r="I88" i="10"/>
  <c r="H88" i="10"/>
  <c r="G88" i="10"/>
  <c r="F88" i="10"/>
  <c r="C88" i="10"/>
  <c r="J88" i="10"/>
  <c r="D88" i="10"/>
  <c r="B88" i="10"/>
  <c r="K88" i="10"/>
  <c r="F77" i="10"/>
  <c r="G77" i="10"/>
  <c r="F14" i="10"/>
  <c r="H77" i="10"/>
  <c r="G14" i="10"/>
  <c r="J77" i="10"/>
  <c r="C77" i="10"/>
  <c r="I77" i="10"/>
  <c r="K77" i="10"/>
  <c r="D14" i="10"/>
  <c r="B77" i="10"/>
  <c r="B14" i="10"/>
  <c r="K69" i="10"/>
  <c r="J69" i="10"/>
  <c r="I69" i="10"/>
  <c r="H69" i="10"/>
  <c r="D24" i="10"/>
  <c r="I70" i="10"/>
  <c r="H70" i="10"/>
  <c r="K70" i="10"/>
  <c r="J70" i="10"/>
  <c r="H66" i="10"/>
  <c r="I66" i="10"/>
  <c r="K66" i="10"/>
  <c r="J66" i="10"/>
  <c r="K75" i="10"/>
  <c r="J75" i="10"/>
  <c r="I75" i="10"/>
  <c r="H75" i="10"/>
  <c r="K73" i="10"/>
  <c r="J73" i="10"/>
  <c r="I73" i="10"/>
  <c r="H73" i="10"/>
  <c r="H76" i="10"/>
  <c r="I76" i="10"/>
  <c r="K76" i="10"/>
  <c r="J76" i="10"/>
  <c r="I72" i="10"/>
  <c r="H72" i="10"/>
  <c r="K72" i="10"/>
  <c r="J72" i="10"/>
  <c r="K71" i="10"/>
  <c r="J71" i="10"/>
  <c r="I71" i="10"/>
  <c r="H71" i="10"/>
  <c r="I74" i="10"/>
  <c r="H74" i="10"/>
  <c r="K74" i="10"/>
  <c r="J74" i="10"/>
  <c r="I68" i="10"/>
  <c r="K68" i="10"/>
  <c r="J68" i="10"/>
  <c r="H68" i="10"/>
  <c r="K67" i="10"/>
  <c r="J67" i="10"/>
  <c r="I67" i="10"/>
  <c r="H67" i="10"/>
  <c r="K65" i="10"/>
  <c r="J65" i="10"/>
  <c r="I65" i="10"/>
  <c r="H65" i="10"/>
  <c r="K58" i="10"/>
  <c r="J58" i="10"/>
  <c r="I58" i="10"/>
  <c r="H58" i="10"/>
  <c r="K57" i="10"/>
  <c r="J57" i="10"/>
  <c r="H57" i="10"/>
  <c r="I57" i="10"/>
  <c r="K47" i="10"/>
  <c r="J47" i="10"/>
  <c r="I47" i="10"/>
  <c r="H47" i="10"/>
  <c r="K51" i="10"/>
  <c r="J51" i="10"/>
  <c r="I51" i="10"/>
  <c r="H51" i="10"/>
  <c r="K55" i="10"/>
  <c r="J55" i="10"/>
  <c r="I55" i="10"/>
  <c r="H55" i="10"/>
  <c r="K44" i="10"/>
  <c r="I44" i="10"/>
  <c r="J44" i="10"/>
  <c r="H44" i="10"/>
  <c r="K48" i="10"/>
  <c r="J48" i="10"/>
  <c r="H48" i="10"/>
  <c r="I48" i="10"/>
  <c r="K53" i="10"/>
  <c r="J53" i="10"/>
  <c r="I53" i="10"/>
  <c r="H53" i="10"/>
  <c r="K52" i="10"/>
  <c r="J52" i="10"/>
  <c r="H52" i="10"/>
  <c r="I52" i="10"/>
  <c r="K46" i="10"/>
  <c r="J46" i="10"/>
  <c r="I46" i="10"/>
  <c r="H46" i="10"/>
  <c r="K50" i="10"/>
  <c r="J50" i="10"/>
  <c r="H50" i="10"/>
  <c r="I50" i="10"/>
  <c r="K54" i="10"/>
  <c r="J54" i="10"/>
  <c r="H54" i="10"/>
  <c r="I54" i="10"/>
  <c r="K45" i="10"/>
  <c r="J45" i="10"/>
  <c r="I45" i="10"/>
  <c r="H45" i="10"/>
  <c r="K49" i="10"/>
  <c r="J49" i="10"/>
  <c r="I49" i="10"/>
  <c r="H49" i="10"/>
  <c r="C24" i="10"/>
  <c r="F24" i="10"/>
  <c r="C13" i="10"/>
  <c r="B13" i="10"/>
  <c r="F13" i="10"/>
  <c r="G13" i="10"/>
  <c r="B24" i="10"/>
  <c r="G24" i="10"/>
  <c r="G34" i="10"/>
  <c r="F34" i="10"/>
  <c r="B34" i="10"/>
  <c r="D34" i="10"/>
  <c r="C34" i="10"/>
  <c r="D33" i="10"/>
  <c r="B33" i="10"/>
  <c r="G33" i="10"/>
  <c r="F33" i="10"/>
  <c r="C33" i="10"/>
  <c r="B69" i="10"/>
  <c r="G69" i="10"/>
  <c r="F69" i="10"/>
  <c r="C69" i="10"/>
  <c r="D69" i="10"/>
  <c r="B23" i="10"/>
  <c r="G23" i="10"/>
  <c r="F23" i="10"/>
  <c r="D23" i="10"/>
  <c r="C23" i="10"/>
  <c r="G70" i="10"/>
  <c r="F70" i="10"/>
  <c r="D70" i="10"/>
  <c r="C70" i="10"/>
  <c r="B70" i="10"/>
  <c r="F26" i="10"/>
  <c r="D26" i="10"/>
  <c r="C26" i="10"/>
  <c r="B26" i="10"/>
  <c r="G26" i="10"/>
  <c r="E26" i="10"/>
  <c r="E27" i="10" s="1"/>
  <c r="E28" i="10" s="1"/>
  <c r="E29" i="10" s="1"/>
  <c r="F49" i="10"/>
  <c r="C49" i="10"/>
  <c r="B49" i="10"/>
  <c r="G49" i="10"/>
  <c r="D49" i="10"/>
  <c r="C58" i="10"/>
  <c r="B58" i="10"/>
  <c r="G58" i="10"/>
  <c r="D58" i="10"/>
  <c r="F58" i="10"/>
  <c r="C39" i="10"/>
  <c r="B39" i="10"/>
  <c r="F39" i="10"/>
  <c r="G39" i="10"/>
  <c r="D39" i="10"/>
  <c r="G18" i="10"/>
  <c r="D18" i="10"/>
  <c r="F18" i="10"/>
  <c r="C18" i="10"/>
  <c r="B18" i="10"/>
  <c r="C29" i="10"/>
  <c r="B29" i="10"/>
  <c r="F29" i="10"/>
  <c r="G29" i="10"/>
  <c r="D29" i="10"/>
  <c r="G62" i="10"/>
  <c r="F62" i="10"/>
  <c r="D62" i="10"/>
  <c r="C62" i="10"/>
  <c r="B62" i="10"/>
  <c r="D22" i="10"/>
  <c r="C22" i="10"/>
  <c r="B22" i="10"/>
  <c r="G22" i="10"/>
  <c r="F22" i="10"/>
  <c r="F57" i="10"/>
  <c r="D57" i="10"/>
  <c r="C57" i="10"/>
  <c r="B57" i="10"/>
  <c r="G57" i="10"/>
  <c r="G47" i="10"/>
  <c r="F47" i="10"/>
  <c r="B47" i="10"/>
  <c r="D47" i="10"/>
  <c r="C47" i="10"/>
  <c r="F38" i="10"/>
  <c r="D38" i="10"/>
  <c r="G38" i="10"/>
  <c r="C38" i="10"/>
  <c r="B38" i="10"/>
  <c r="F11" i="10"/>
  <c r="D11" i="10"/>
  <c r="C11" i="10"/>
  <c r="B11" i="10"/>
  <c r="G11" i="10"/>
  <c r="G27" i="10"/>
  <c r="D27" i="10"/>
  <c r="C27" i="10"/>
  <c r="F27" i="10"/>
  <c r="B27" i="10"/>
  <c r="G51" i="10"/>
  <c r="F51" i="10"/>
  <c r="B51" i="10"/>
  <c r="C51" i="10"/>
  <c r="D51" i="10"/>
  <c r="F36" i="10"/>
  <c r="D36" i="10"/>
  <c r="C36" i="10"/>
  <c r="B36" i="10"/>
  <c r="G36" i="10"/>
  <c r="E36" i="10"/>
  <c r="E37" i="10" s="1"/>
  <c r="E38" i="10" s="1"/>
  <c r="E39" i="10" s="1"/>
  <c r="B65" i="10"/>
  <c r="G65" i="10"/>
  <c r="F65" i="10"/>
  <c r="C65" i="10"/>
  <c r="D65" i="10"/>
  <c r="G43" i="10"/>
  <c r="F43" i="10"/>
  <c r="B43" i="10"/>
  <c r="D43" i="10"/>
  <c r="C43" i="10"/>
  <c r="G75" i="10"/>
  <c r="F75" i="10"/>
  <c r="D75" i="10"/>
  <c r="C75" i="10"/>
  <c r="B75" i="10"/>
  <c r="D72" i="10"/>
  <c r="C72" i="10"/>
  <c r="B72" i="10"/>
  <c r="F72" i="10"/>
  <c r="G72" i="10"/>
  <c r="F28" i="10"/>
  <c r="D28" i="10"/>
  <c r="B28" i="10"/>
  <c r="G28" i="10"/>
  <c r="C28" i="10"/>
  <c r="C16" i="10"/>
  <c r="B16" i="10"/>
  <c r="F16" i="10"/>
  <c r="G16" i="10"/>
  <c r="D16" i="10"/>
  <c r="G37" i="10"/>
  <c r="D37" i="10"/>
  <c r="C37" i="10"/>
  <c r="F37" i="10"/>
  <c r="B37" i="10"/>
  <c r="G55" i="10"/>
  <c r="F55" i="10"/>
  <c r="D55" i="10"/>
  <c r="B55" i="10"/>
  <c r="C55" i="10"/>
  <c r="G21" i="10"/>
  <c r="F21" i="10"/>
  <c r="C21" i="10"/>
  <c r="E21" i="10"/>
  <c r="E22" i="10" s="1"/>
  <c r="E23" i="10" s="1"/>
  <c r="E24" i="10" s="1"/>
  <c r="D21" i="10"/>
  <c r="B21" i="10"/>
  <c r="D76" i="10"/>
  <c r="C76" i="10"/>
  <c r="B76" i="10"/>
  <c r="F76" i="10"/>
  <c r="G76" i="10"/>
  <c r="G71" i="10"/>
  <c r="F71" i="10"/>
  <c r="D71" i="10"/>
  <c r="C71" i="10"/>
  <c r="B71" i="10"/>
  <c r="D68" i="10"/>
  <c r="C68" i="10"/>
  <c r="B68" i="10"/>
  <c r="F68" i="10"/>
  <c r="G68" i="10"/>
  <c r="G67" i="10"/>
  <c r="F67" i="10"/>
  <c r="D67" i="10"/>
  <c r="C67" i="10"/>
  <c r="B67" i="10"/>
  <c r="F44" i="10"/>
  <c r="D44" i="10"/>
  <c r="C44" i="10"/>
  <c r="G44" i="10"/>
  <c r="B44" i="10"/>
  <c r="B19" i="10"/>
  <c r="G19" i="10"/>
  <c r="F19" i="10"/>
  <c r="D19" i="10"/>
  <c r="C19" i="10"/>
  <c r="C46" i="10"/>
  <c r="D46" i="10"/>
  <c r="G46" i="10"/>
  <c r="F46" i="10"/>
  <c r="B46" i="10"/>
  <c r="G66" i="10"/>
  <c r="F66" i="10"/>
  <c r="D66" i="10"/>
  <c r="C66" i="10"/>
  <c r="B66" i="10"/>
  <c r="D17" i="10"/>
  <c r="C17" i="10"/>
  <c r="B17" i="10"/>
  <c r="G17" i="10"/>
  <c r="F17" i="10"/>
  <c r="D64" i="10"/>
  <c r="C64" i="10"/>
  <c r="B64" i="10"/>
  <c r="F64" i="10"/>
  <c r="G64" i="10"/>
  <c r="F48" i="10"/>
  <c r="D48" i="10"/>
  <c r="C48" i="10"/>
  <c r="G48" i="10"/>
  <c r="B48" i="10"/>
  <c r="F52" i="10"/>
  <c r="D52" i="10"/>
  <c r="C52" i="10"/>
  <c r="G52" i="10"/>
  <c r="B52" i="10"/>
  <c r="C12" i="10"/>
  <c r="B12" i="10"/>
  <c r="F12" i="10"/>
  <c r="G12" i="10"/>
  <c r="C50" i="10"/>
  <c r="D50" i="10"/>
  <c r="G50" i="10"/>
  <c r="F50" i="10"/>
  <c r="B50" i="10"/>
  <c r="F53" i="10"/>
  <c r="C53" i="10"/>
  <c r="B53" i="10"/>
  <c r="G53" i="10"/>
  <c r="D53" i="10"/>
  <c r="G63" i="10"/>
  <c r="F63" i="10"/>
  <c r="D63" i="10"/>
  <c r="C63" i="10"/>
  <c r="B63" i="10"/>
  <c r="B73" i="10"/>
  <c r="G73" i="10"/>
  <c r="F73" i="10"/>
  <c r="C73" i="10"/>
  <c r="D73" i="10"/>
  <c r="G74" i="10"/>
  <c r="F74" i="10"/>
  <c r="D74" i="10"/>
  <c r="C74" i="10"/>
  <c r="B74" i="10"/>
  <c r="G31" i="10"/>
  <c r="F31" i="10"/>
  <c r="C31" i="10"/>
  <c r="B31" i="10"/>
  <c r="E31" i="10"/>
  <c r="E32" i="10" s="1"/>
  <c r="E33" i="10" s="1"/>
  <c r="E34" i="10" s="1"/>
  <c r="D31" i="10"/>
  <c r="D32" i="10"/>
  <c r="C32" i="10"/>
  <c r="G32" i="10"/>
  <c r="F32" i="10"/>
  <c r="B32" i="10"/>
  <c r="C45" i="10"/>
  <c r="B45" i="10"/>
  <c r="G45" i="10"/>
  <c r="F45" i="10"/>
  <c r="D45" i="10"/>
  <c r="C54" i="10"/>
  <c r="D54" i="10"/>
  <c r="G54" i="10"/>
  <c r="F54" i="10"/>
  <c r="B54" i="10"/>
  <c r="BM68" i="2" l="1"/>
  <c r="BM69" i="2"/>
  <c r="BM70" i="2"/>
  <c r="BM71" i="2"/>
  <c r="K43" i="10" l="1"/>
  <c r="J43" i="10"/>
  <c r="I43" i="10"/>
  <c r="H43" i="10"/>
  <c r="H29" i="10" l="1"/>
  <c r="H62" i="10"/>
  <c r="I29" i="10"/>
  <c r="I62" i="10"/>
  <c r="J29" i="10"/>
  <c r="J62" i="10"/>
  <c r="K29" i="10"/>
  <c r="K62" i="10"/>
  <c r="K37" i="10"/>
  <c r="J37" i="10"/>
  <c r="I37" i="10"/>
  <c r="H37" i="10"/>
  <c r="K31" i="10"/>
  <c r="J31" i="10"/>
  <c r="I31" i="10"/>
  <c r="H31" i="10"/>
  <c r="K32" i="10"/>
  <c r="J32" i="10"/>
  <c r="I32" i="10"/>
  <c r="H32" i="10"/>
  <c r="K36" i="10"/>
  <c r="J36" i="10"/>
  <c r="I36" i="10"/>
  <c r="H36" i="10"/>
  <c r="K27" i="10"/>
  <c r="J27" i="10"/>
  <c r="I27" i="10"/>
  <c r="H27" i="10"/>
  <c r="K22" i="10"/>
  <c r="J22" i="10"/>
  <c r="I22" i="10"/>
  <c r="H22" i="10"/>
  <c r="K21" i="10"/>
  <c r="J21" i="10"/>
  <c r="I21" i="10"/>
  <c r="H21" i="10"/>
  <c r="K26" i="10"/>
  <c r="J26" i="10"/>
  <c r="I26" i="10"/>
  <c r="H26" i="10"/>
  <c r="K17" i="10"/>
  <c r="J17" i="10"/>
  <c r="I17" i="10"/>
  <c r="H17" i="10"/>
  <c r="K12" i="10"/>
  <c r="J12" i="10"/>
  <c r="I12" i="10"/>
  <c r="H12" i="10"/>
  <c r="K18" i="10"/>
  <c r="J18" i="10"/>
  <c r="I18" i="10"/>
  <c r="H18" i="10"/>
  <c r="K33" i="10"/>
  <c r="J33" i="10"/>
  <c r="I33" i="10"/>
  <c r="H33" i="10"/>
  <c r="K38" i="10"/>
  <c r="J38" i="10"/>
  <c r="I38" i="10"/>
  <c r="H38" i="10"/>
  <c r="K34" i="10"/>
  <c r="J34" i="10"/>
  <c r="I34" i="10"/>
  <c r="H34" i="10"/>
  <c r="K24" i="10"/>
  <c r="J24" i="10"/>
  <c r="I24" i="10"/>
  <c r="H24" i="10"/>
  <c r="K23" i="10"/>
  <c r="J23" i="10"/>
  <c r="I23" i="10"/>
  <c r="H23" i="10"/>
  <c r="K28" i="10"/>
  <c r="J28" i="10"/>
  <c r="I28" i="10"/>
  <c r="H28" i="10"/>
  <c r="K13" i="10"/>
  <c r="J13" i="10"/>
  <c r="I13" i="10"/>
  <c r="H13" i="10"/>
  <c r="K64" i="10"/>
  <c r="J64" i="10"/>
  <c r="I64" i="10"/>
  <c r="H64" i="10"/>
  <c r="K63" i="10"/>
  <c r="J63" i="10"/>
  <c r="I63" i="10"/>
  <c r="H63" i="10"/>
  <c r="K11" i="10"/>
  <c r="J11" i="10"/>
  <c r="I11" i="10"/>
  <c r="H11" i="10"/>
  <c r="K16" i="10"/>
  <c r="J16" i="10"/>
  <c r="I16" i="10"/>
  <c r="H16" i="10"/>
  <c r="H14" i="10" l="1"/>
  <c r="H19" i="10"/>
  <c r="H39" i="10"/>
  <c r="I14" i="10"/>
  <c r="I19" i="10"/>
  <c r="I39" i="10"/>
  <c r="J14" i="10"/>
  <c r="J19" i="10"/>
  <c r="J39" i="10"/>
  <c r="K14" i="10"/>
  <c r="K19" i="10"/>
  <c r="K39" i="10"/>
  <c r="A421" i="8"/>
  <c r="B421" i="8"/>
  <c r="D421" i="8"/>
  <c r="E421" i="8"/>
  <c r="A420" i="8" l="1"/>
  <c r="B420" i="8"/>
  <c r="D420" i="8"/>
  <c r="E420" i="8"/>
  <c r="E419" i="8" l="1"/>
  <c r="D419" i="8"/>
  <c r="B419" i="8"/>
  <c r="A419" i="8"/>
  <c r="E418" i="8"/>
  <c r="D418" i="8"/>
  <c r="B418" i="8"/>
  <c r="A418" i="8"/>
  <c r="E417" i="8"/>
  <c r="D417" i="8"/>
  <c r="B417" i="8"/>
  <c r="A417" i="8"/>
  <c r="E416" i="8"/>
  <c r="D416" i="8"/>
  <c r="B416" i="8"/>
  <c r="A416" i="8"/>
  <c r="E415" i="8"/>
  <c r="D415" i="8"/>
  <c r="B415" i="8"/>
  <c r="A415" i="8"/>
  <c r="E414" i="8"/>
  <c r="D414" i="8"/>
  <c r="B414" i="8"/>
  <c r="A414" i="8"/>
  <c r="E413" i="8"/>
  <c r="D413" i="8"/>
  <c r="B413" i="8"/>
  <c r="A413" i="8"/>
  <c r="E412" i="8"/>
  <c r="D412" i="8"/>
  <c r="B412" i="8"/>
  <c r="A412" i="8"/>
  <c r="E411" i="8"/>
  <c r="D411" i="8"/>
  <c r="B411" i="8"/>
  <c r="A411" i="8"/>
  <c r="E410" i="8"/>
  <c r="D410" i="8"/>
  <c r="B410" i="8"/>
  <c r="A410" i="8"/>
  <c r="AN6" i="3" l="1"/>
  <c r="AN199" i="3"/>
  <c r="AN233" i="3"/>
  <c r="AN227" i="3"/>
  <c r="AN171" i="3"/>
  <c r="AN104" i="3"/>
  <c r="AN103" i="3"/>
  <c r="AN100" i="3"/>
  <c r="AN101" i="3"/>
  <c r="AN102" i="3"/>
  <c r="AN105" i="3"/>
  <c r="AN106" i="3"/>
  <c r="AN270" i="3"/>
  <c r="AN108" i="3"/>
  <c r="AN184" i="3"/>
  <c r="AN213" i="3"/>
  <c r="AN195" i="3"/>
  <c r="AN188" i="3"/>
  <c r="AN215" i="3"/>
  <c r="AN191" i="3"/>
  <c r="AN220" i="3"/>
  <c r="AN193" i="3"/>
  <c r="AN201" i="3"/>
  <c r="AN198" i="3"/>
  <c r="AN210" i="3"/>
  <c r="AN206" i="3"/>
  <c r="AN322" i="3"/>
  <c r="AN324" i="3"/>
  <c r="AN330" i="3"/>
  <c r="AN323" i="3"/>
  <c r="AN327" i="3"/>
  <c r="AN329" i="3"/>
  <c r="AN222" i="3"/>
  <c r="AN15" i="3"/>
  <c r="AN16" i="3"/>
  <c r="AN117" i="3"/>
  <c r="AN272" i="3"/>
  <c r="AN275" i="3"/>
  <c r="AN277" i="3"/>
  <c r="AN281" i="3"/>
  <c r="AN278" i="3"/>
  <c r="AN283" i="3"/>
  <c r="AN279" i="3"/>
  <c r="AN286" i="3"/>
  <c r="AN245" i="3"/>
  <c r="AN243" i="3"/>
  <c r="AN152" i="3"/>
  <c r="AN141" i="3"/>
  <c r="AN113" i="3"/>
  <c r="AN111" i="3"/>
  <c r="AN109" i="3"/>
  <c r="AN115" i="3"/>
  <c r="AN114" i="3"/>
  <c r="AN263" i="3"/>
  <c r="AN260" i="3"/>
  <c r="AN93" i="3"/>
  <c r="AN259" i="3"/>
  <c r="AN26" i="3"/>
  <c r="AN291" i="3"/>
  <c r="AN5" i="3"/>
  <c r="AN4" i="3"/>
  <c r="AN7" i="3"/>
  <c r="AN8" i="3"/>
  <c r="AN9" i="3"/>
  <c r="AN10" i="3"/>
  <c r="AN11" i="3"/>
  <c r="AN12" i="3"/>
  <c r="AN13" i="3"/>
  <c r="AN14" i="3"/>
  <c r="AN17" i="3"/>
  <c r="AN18" i="3"/>
  <c r="AN19" i="3"/>
  <c r="AN20" i="3"/>
  <c r="AN21" i="3"/>
  <c r="AN22" i="3"/>
  <c r="AN23" i="3"/>
  <c r="AN24" i="3"/>
  <c r="AN25" i="3"/>
  <c r="AN27" i="3"/>
  <c r="AN28" i="3"/>
  <c r="AN29" i="3"/>
  <c r="AN30" i="3"/>
  <c r="AN31" i="3"/>
  <c r="AN32" i="3"/>
  <c r="AN33" i="3"/>
  <c r="AN34" i="3"/>
  <c r="AN35"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N64" i="3"/>
  <c r="AN65" i="3"/>
  <c r="AN66" i="3"/>
  <c r="AN67" i="3"/>
  <c r="AN68" i="3"/>
  <c r="AN69" i="3"/>
  <c r="AN70" i="3"/>
  <c r="AN71" i="3"/>
  <c r="AN72" i="3"/>
  <c r="AN73" i="3"/>
  <c r="AN74" i="3"/>
  <c r="AN75" i="3"/>
  <c r="AN77" i="3"/>
  <c r="AN78" i="3"/>
  <c r="AN79" i="3"/>
  <c r="AN80" i="3"/>
  <c r="AN81" i="3"/>
  <c r="AN82" i="3"/>
  <c r="AN83" i="3"/>
  <c r="AN84" i="3"/>
  <c r="AN85" i="3"/>
  <c r="AN86" i="3"/>
  <c r="AN87" i="3"/>
  <c r="AN88" i="3"/>
  <c r="AN89" i="3"/>
  <c r="AN90" i="3"/>
  <c r="AN91" i="3"/>
  <c r="AN92" i="3"/>
  <c r="AN94" i="3"/>
  <c r="AN95" i="3"/>
  <c r="AN96" i="3"/>
  <c r="AN97" i="3"/>
  <c r="AN98" i="3"/>
  <c r="AN99" i="3"/>
  <c r="AN107" i="3"/>
  <c r="AN110" i="3"/>
  <c r="AN112" i="3"/>
  <c r="AN116" i="3"/>
  <c r="AN118" i="3"/>
  <c r="AN119" i="3"/>
  <c r="AN120" i="3"/>
  <c r="AN121" i="3"/>
  <c r="AN122" i="3"/>
  <c r="AN123" i="3"/>
  <c r="AN124" i="3"/>
  <c r="AN125" i="3"/>
  <c r="AN126" i="3"/>
  <c r="AN127" i="3"/>
  <c r="AN128" i="3"/>
  <c r="AN129" i="3"/>
  <c r="AN130" i="3"/>
  <c r="AN131" i="3"/>
  <c r="AN132" i="3"/>
  <c r="AN133" i="3"/>
  <c r="AN134" i="3"/>
  <c r="AN135" i="3"/>
  <c r="AN136" i="3"/>
  <c r="AN137" i="3"/>
  <c r="AN138" i="3"/>
  <c r="AN139" i="3"/>
  <c r="AN140" i="3"/>
  <c r="AN142" i="3"/>
  <c r="AN143" i="3"/>
  <c r="AN144" i="3"/>
  <c r="AN145" i="3"/>
  <c r="AN146" i="3"/>
  <c r="AN147" i="3"/>
  <c r="AN148" i="3"/>
  <c r="AN149" i="3"/>
  <c r="AN151" i="3"/>
  <c r="AN153" i="3"/>
  <c r="AN154" i="3"/>
  <c r="AN155" i="3"/>
  <c r="AN156" i="3"/>
  <c r="AN157" i="3"/>
  <c r="AN158" i="3"/>
  <c r="AN159" i="3"/>
  <c r="AN160" i="3"/>
  <c r="AN161" i="3"/>
  <c r="AN162" i="3"/>
  <c r="AN163" i="3"/>
  <c r="AN164" i="3"/>
  <c r="AN165" i="3"/>
  <c r="AN166" i="3"/>
  <c r="AN167" i="3"/>
  <c r="AN168" i="3"/>
  <c r="AN169" i="3"/>
  <c r="AN170" i="3"/>
  <c r="AN172" i="3"/>
  <c r="AN173" i="3"/>
  <c r="AN174" i="3"/>
  <c r="AN175" i="3"/>
  <c r="AN176" i="3"/>
  <c r="AN177" i="3"/>
  <c r="AN178" i="3"/>
  <c r="AN179" i="3"/>
  <c r="AN180" i="3"/>
  <c r="AN181" i="3"/>
  <c r="AN182" i="3"/>
  <c r="AN183" i="3"/>
  <c r="AN185" i="3"/>
  <c r="AN186" i="3"/>
  <c r="AN187" i="3"/>
  <c r="AN189" i="3"/>
  <c r="AN190" i="3"/>
  <c r="AN192" i="3"/>
  <c r="AN194" i="3"/>
  <c r="AN196" i="3"/>
  <c r="AN197" i="3"/>
  <c r="AN200" i="3"/>
  <c r="AN202" i="3"/>
  <c r="AN203" i="3"/>
  <c r="AN204" i="3"/>
  <c r="AN205" i="3"/>
  <c r="AN207" i="3"/>
  <c r="AN208" i="3"/>
  <c r="AN209" i="3"/>
  <c r="AN211" i="3"/>
  <c r="AN212" i="3"/>
  <c r="AN214" i="3"/>
  <c r="AN216" i="3"/>
  <c r="AN217" i="3"/>
  <c r="AN218" i="3"/>
  <c r="AN219" i="3"/>
  <c r="AN221" i="3"/>
  <c r="AN223" i="3"/>
  <c r="AN224" i="3"/>
  <c r="AN225" i="3"/>
  <c r="AN226" i="3"/>
  <c r="AN228" i="3"/>
  <c r="AN229" i="3"/>
  <c r="AN230" i="3"/>
  <c r="AN231" i="3"/>
  <c r="AN232" i="3"/>
  <c r="AN234" i="3"/>
  <c r="AN235" i="3"/>
  <c r="AN236" i="3"/>
  <c r="AN237" i="3"/>
  <c r="AN238" i="3"/>
  <c r="AN239" i="3"/>
  <c r="AN240" i="3"/>
  <c r="AN241" i="3"/>
  <c r="AN242" i="3"/>
  <c r="AN244" i="3"/>
  <c r="AN246" i="3"/>
  <c r="AN248" i="3"/>
  <c r="AN247" i="3"/>
  <c r="AN249" i="3"/>
  <c r="AN250" i="3"/>
  <c r="AN251" i="3"/>
  <c r="AN252" i="3"/>
  <c r="AN253" i="3"/>
  <c r="AN254" i="3"/>
  <c r="AN255" i="3"/>
  <c r="AN256" i="3"/>
  <c r="AN257" i="3"/>
  <c r="AN258" i="3"/>
  <c r="AN261" i="3"/>
  <c r="AN262" i="3"/>
  <c r="AN264" i="3"/>
  <c r="AN265" i="3"/>
  <c r="AN266" i="3"/>
  <c r="AN267" i="3"/>
  <c r="AN268" i="3"/>
  <c r="AN269" i="3"/>
  <c r="AN271" i="3"/>
  <c r="AN273" i="3"/>
  <c r="AN274" i="3"/>
  <c r="AN276" i="3"/>
  <c r="AN280" i="3"/>
  <c r="AN282" i="3"/>
  <c r="AN284" i="3"/>
  <c r="AN285" i="3"/>
  <c r="AN287" i="3"/>
  <c r="AN288" i="3"/>
  <c r="AN289" i="3"/>
  <c r="AN290" i="3"/>
  <c r="AN292" i="3"/>
  <c r="AN293" i="3"/>
  <c r="AN294" i="3"/>
  <c r="AN295" i="3"/>
  <c r="AN296" i="3"/>
  <c r="AN297" i="3"/>
  <c r="AN298" i="3"/>
  <c r="AN299" i="3"/>
  <c r="AN300" i="3"/>
  <c r="AN301" i="3"/>
  <c r="AN302" i="3"/>
  <c r="AN303" i="3"/>
  <c r="AN304" i="3"/>
  <c r="AN305" i="3"/>
  <c r="AN306" i="3"/>
  <c r="AN307" i="3"/>
  <c r="AN308" i="3"/>
  <c r="AN309" i="3"/>
  <c r="AN310" i="3"/>
  <c r="AN311" i="3"/>
  <c r="AN312" i="3"/>
  <c r="AN313" i="3"/>
  <c r="AN314" i="3"/>
  <c r="AN315" i="3"/>
  <c r="AN316" i="3"/>
  <c r="AN317" i="3"/>
  <c r="AN318" i="3"/>
  <c r="AN319" i="3"/>
  <c r="AN320" i="3"/>
  <c r="AN321" i="3"/>
  <c r="AN325" i="3"/>
  <c r="AN326" i="3"/>
  <c r="AN328" i="3"/>
  <c r="AN331" i="3"/>
  <c r="AN332" i="3"/>
  <c r="AN333" i="3"/>
  <c r="AN334" i="3"/>
  <c r="AN335" i="3"/>
  <c r="AN336" i="3"/>
  <c r="AN337" i="3"/>
  <c r="AN338" i="3"/>
  <c r="AN339" i="3"/>
  <c r="AN340" i="3"/>
  <c r="AN341" i="3"/>
  <c r="AN342" i="3"/>
  <c r="AN343" i="3"/>
  <c r="A394" i="8"/>
  <c r="A395" i="8"/>
  <c r="B394" i="8"/>
  <c r="B395" i="8"/>
  <c r="D394" i="8"/>
  <c r="D395" i="8"/>
  <c r="E394" i="8"/>
  <c r="E395" i="8"/>
  <c r="A393" i="8" l="1"/>
  <c r="B393" i="8"/>
  <c r="D393" i="8"/>
  <c r="E393" i="8"/>
  <c r="A392" i="8"/>
  <c r="B392" i="8"/>
  <c r="D392" i="8"/>
  <c r="E392" i="8"/>
  <c r="A391" i="8"/>
  <c r="B391" i="8"/>
  <c r="D391" i="8"/>
  <c r="E391" i="8"/>
  <c r="E407" i="8" l="1"/>
  <c r="D407" i="8"/>
  <c r="B407" i="8"/>
  <c r="A407" i="8"/>
  <c r="E406" i="8"/>
  <c r="D406" i="8"/>
  <c r="B406" i="8"/>
  <c r="A406" i="8"/>
  <c r="E405" i="8"/>
  <c r="D405" i="8"/>
  <c r="B405" i="8"/>
  <c r="A405" i="8"/>
  <c r="E404" i="8"/>
  <c r="D404" i="8"/>
  <c r="B404" i="8"/>
  <c r="A404" i="8"/>
  <c r="E403" i="8"/>
  <c r="D403" i="8"/>
  <c r="B403" i="8"/>
  <c r="A403" i="8"/>
  <c r="E402" i="8"/>
  <c r="D402" i="8"/>
  <c r="B402" i="8"/>
  <c r="A402" i="8"/>
  <c r="E401" i="8"/>
  <c r="D401" i="8"/>
  <c r="B401" i="8"/>
  <c r="A401" i="8"/>
  <c r="E400" i="8"/>
  <c r="D400" i="8"/>
  <c r="B400" i="8"/>
  <c r="A400" i="8"/>
  <c r="E399" i="8"/>
  <c r="D399" i="8"/>
  <c r="B399" i="8"/>
  <c r="A399" i="8"/>
  <c r="E398" i="8"/>
  <c r="D398" i="8"/>
  <c r="B398" i="8"/>
  <c r="A398" i="8"/>
  <c r="AM199" i="3" l="1"/>
  <c r="AM6" i="3"/>
  <c r="AM233" i="3"/>
  <c r="AM227" i="3"/>
  <c r="AM171" i="3"/>
  <c r="AM104" i="3"/>
  <c r="AM100" i="3"/>
  <c r="AM102" i="3"/>
  <c r="AM101" i="3"/>
  <c r="AM105" i="3"/>
  <c r="AM103" i="3"/>
  <c r="AM106" i="3"/>
  <c r="AM270" i="3"/>
  <c r="AM108" i="3"/>
  <c r="AM184" i="3"/>
  <c r="AM188" i="3"/>
  <c r="AM215" i="3"/>
  <c r="AM191" i="3"/>
  <c r="AM220" i="3"/>
  <c r="AM193" i="3"/>
  <c r="AM201" i="3"/>
  <c r="AM206" i="3"/>
  <c r="AM195" i="3"/>
  <c r="AM213" i="3"/>
  <c r="AM198" i="3"/>
  <c r="AM210" i="3"/>
  <c r="AM329" i="3"/>
  <c r="AM330" i="3"/>
  <c r="AM324" i="3"/>
  <c r="AM322" i="3"/>
  <c r="AM327" i="3"/>
  <c r="AM323" i="3"/>
  <c r="AM15" i="3"/>
  <c r="AM16" i="3"/>
  <c r="AM222" i="3"/>
  <c r="AM117" i="3"/>
  <c r="AM272" i="3"/>
  <c r="AM279" i="3"/>
  <c r="AM275" i="3"/>
  <c r="AM281" i="3"/>
  <c r="AM277" i="3"/>
  <c r="AM278" i="3"/>
  <c r="AM283" i="3"/>
  <c r="AM286" i="3"/>
  <c r="AM243" i="3"/>
  <c r="AM245" i="3"/>
  <c r="AM152" i="3"/>
  <c r="AM141" i="3"/>
  <c r="AM115" i="3"/>
  <c r="AM114" i="3"/>
  <c r="AM263" i="3"/>
  <c r="AM111" i="3"/>
  <c r="AM109" i="3"/>
  <c r="AM113" i="3"/>
  <c r="AM260" i="3"/>
  <c r="AM93" i="3"/>
  <c r="AM259" i="3"/>
  <c r="AM26" i="3"/>
  <c r="AM291" i="3"/>
  <c r="AM5" i="3"/>
  <c r="AM4" i="3"/>
  <c r="AM7" i="3"/>
  <c r="AM8" i="3"/>
  <c r="AM9" i="3"/>
  <c r="AM10" i="3"/>
  <c r="AM11" i="3"/>
  <c r="AM12" i="3"/>
  <c r="AM13" i="3"/>
  <c r="AM14" i="3"/>
  <c r="AM17" i="3"/>
  <c r="AM18" i="3"/>
  <c r="AM19" i="3"/>
  <c r="AM20" i="3"/>
  <c r="AM21" i="3"/>
  <c r="AM22" i="3"/>
  <c r="AM23" i="3"/>
  <c r="AM24" i="3"/>
  <c r="AM25"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7" i="3"/>
  <c r="AM78" i="3"/>
  <c r="AM79" i="3"/>
  <c r="AM80" i="3"/>
  <c r="AM81" i="3"/>
  <c r="AM82" i="3"/>
  <c r="AM83" i="3"/>
  <c r="AM84" i="3"/>
  <c r="AM85" i="3"/>
  <c r="AM86" i="3"/>
  <c r="AM87" i="3"/>
  <c r="AM88" i="3"/>
  <c r="AM89" i="3"/>
  <c r="AM90" i="3"/>
  <c r="AM91" i="3"/>
  <c r="AM92" i="3"/>
  <c r="AM94" i="3"/>
  <c r="AM95" i="3"/>
  <c r="AM96" i="3"/>
  <c r="AM97" i="3"/>
  <c r="AM98" i="3"/>
  <c r="AM99" i="3"/>
  <c r="AM107" i="3"/>
  <c r="AM110" i="3"/>
  <c r="AM112" i="3"/>
  <c r="AM116" i="3"/>
  <c r="AM118" i="3"/>
  <c r="AM119" i="3"/>
  <c r="AM120" i="3"/>
  <c r="AM121" i="3"/>
  <c r="AM122" i="3"/>
  <c r="AM123" i="3"/>
  <c r="AM124" i="3"/>
  <c r="AM125" i="3"/>
  <c r="AM126" i="3"/>
  <c r="AM127" i="3"/>
  <c r="AM128" i="3"/>
  <c r="AM129" i="3"/>
  <c r="AM130" i="3"/>
  <c r="AM131" i="3"/>
  <c r="AM132" i="3"/>
  <c r="AM133" i="3"/>
  <c r="AM134" i="3"/>
  <c r="AM135" i="3"/>
  <c r="AM136" i="3"/>
  <c r="AM137" i="3"/>
  <c r="AM138" i="3"/>
  <c r="AM139" i="3"/>
  <c r="AM140" i="3"/>
  <c r="AM142" i="3"/>
  <c r="AM143" i="3"/>
  <c r="AM144" i="3"/>
  <c r="AM145" i="3"/>
  <c r="AM146" i="3"/>
  <c r="AM147" i="3"/>
  <c r="AM148" i="3"/>
  <c r="AM149" i="3"/>
  <c r="AM151" i="3"/>
  <c r="AM153" i="3"/>
  <c r="AM154" i="3"/>
  <c r="AM155" i="3"/>
  <c r="AM156" i="3"/>
  <c r="AM157" i="3"/>
  <c r="AM158" i="3"/>
  <c r="AM159" i="3"/>
  <c r="AM160" i="3"/>
  <c r="AM161" i="3"/>
  <c r="AM162" i="3"/>
  <c r="AM163" i="3"/>
  <c r="AM164" i="3"/>
  <c r="AM165" i="3"/>
  <c r="AM166" i="3"/>
  <c r="AM167" i="3"/>
  <c r="AM168" i="3"/>
  <c r="AM169" i="3"/>
  <c r="AM170" i="3"/>
  <c r="AM172" i="3"/>
  <c r="AM173" i="3"/>
  <c r="AM174" i="3"/>
  <c r="AM175" i="3"/>
  <c r="AM176" i="3"/>
  <c r="AM177" i="3"/>
  <c r="AM178" i="3"/>
  <c r="AM179" i="3"/>
  <c r="AM180" i="3"/>
  <c r="AM181" i="3"/>
  <c r="AM182" i="3"/>
  <c r="AM183" i="3"/>
  <c r="AM185" i="3"/>
  <c r="AM186" i="3"/>
  <c r="AM187" i="3"/>
  <c r="AM189" i="3"/>
  <c r="AM190" i="3"/>
  <c r="AM192" i="3"/>
  <c r="AM194" i="3"/>
  <c r="AM196" i="3"/>
  <c r="AM197" i="3"/>
  <c r="AM200" i="3"/>
  <c r="AM202" i="3"/>
  <c r="AM203" i="3"/>
  <c r="AM204" i="3"/>
  <c r="AM205" i="3"/>
  <c r="AM207" i="3"/>
  <c r="AM208" i="3"/>
  <c r="AM209" i="3"/>
  <c r="AM211" i="3"/>
  <c r="AM212" i="3"/>
  <c r="AM214" i="3"/>
  <c r="AM216" i="3"/>
  <c r="AM217" i="3"/>
  <c r="AM218" i="3"/>
  <c r="AM219" i="3"/>
  <c r="AM221" i="3"/>
  <c r="AM223" i="3"/>
  <c r="AM224" i="3"/>
  <c r="AM225" i="3"/>
  <c r="AM226" i="3"/>
  <c r="AM228" i="3"/>
  <c r="AM229" i="3"/>
  <c r="AM230" i="3"/>
  <c r="AM231" i="3"/>
  <c r="AM232" i="3"/>
  <c r="AM234" i="3"/>
  <c r="AM235" i="3"/>
  <c r="AM236" i="3"/>
  <c r="AM237" i="3"/>
  <c r="AM238" i="3"/>
  <c r="AM239" i="3"/>
  <c r="AM240" i="3"/>
  <c r="AM241" i="3"/>
  <c r="AM242" i="3"/>
  <c r="AM244" i="3"/>
  <c r="AM246" i="3"/>
  <c r="AM248" i="3"/>
  <c r="AM247" i="3"/>
  <c r="AM249" i="3"/>
  <c r="AM250" i="3"/>
  <c r="AM251" i="3"/>
  <c r="AM252" i="3"/>
  <c r="AM253" i="3"/>
  <c r="AM254" i="3"/>
  <c r="AM255" i="3"/>
  <c r="AM256" i="3"/>
  <c r="AM257" i="3"/>
  <c r="AM258" i="3"/>
  <c r="AM261" i="3"/>
  <c r="AM262" i="3"/>
  <c r="AM264" i="3"/>
  <c r="AM265" i="3"/>
  <c r="AM266" i="3"/>
  <c r="AM267" i="3"/>
  <c r="AM268" i="3"/>
  <c r="AM269" i="3"/>
  <c r="AM271" i="3"/>
  <c r="AM273" i="3"/>
  <c r="AM274" i="3"/>
  <c r="AM276" i="3"/>
  <c r="AM280" i="3"/>
  <c r="AM282" i="3"/>
  <c r="AM284" i="3"/>
  <c r="AM285" i="3"/>
  <c r="AM287" i="3"/>
  <c r="AM288" i="3"/>
  <c r="AM289" i="3"/>
  <c r="AM290" i="3"/>
  <c r="AM292" i="3"/>
  <c r="AM293" i="3"/>
  <c r="AM294" i="3"/>
  <c r="AM295" i="3"/>
  <c r="AM296" i="3"/>
  <c r="AM297" i="3"/>
  <c r="AM298" i="3"/>
  <c r="AM299" i="3"/>
  <c r="AM300" i="3"/>
  <c r="AM301" i="3"/>
  <c r="AM302" i="3"/>
  <c r="AM303" i="3"/>
  <c r="AM304" i="3"/>
  <c r="AM305" i="3"/>
  <c r="AM306" i="3"/>
  <c r="AM307" i="3"/>
  <c r="AM308" i="3"/>
  <c r="AM309" i="3"/>
  <c r="AM310" i="3"/>
  <c r="AM311" i="3"/>
  <c r="AM312" i="3"/>
  <c r="AM313" i="3"/>
  <c r="AM314" i="3"/>
  <c r="AM315" i="3"/>
  <c r="AM316" i="3"/>
  <c r="AM317" i="3"/>
  <c r="AM318" i="3"/>
  <c r="AM319" i="3"/>
  <c r="AM320" i="3"/>
  <c r="AM321" i="3"/>
  <c r="AM325" i="3"/>
  <c r="AM326" i="3"/>
  <c r="AM328" i="3"/>
  <c r="AM331" i="3"/>
  <c r="AM332" i="3"/>
  <c r="AM333" i="3"/>
  <c r="AM334" i="3"/>
  <c r="AM335" i="3"/>
  <c r="AM336" i="3"/>
  <c r="AM337" i="3"/>
  <c r="AM338" i="3"/>
  <c r="AM339" i="3"/>
  <c r="AM340" i="3"/>
  <c r="AM341" i="3"/>
  <c r="AM342" i="3"/>
  <c r="AM343" i="3"/>
  <c r="E390" i="8"/>
  <c r="D390" i="8"/>
  <c r="B390" i="8"/>
  <c r="A390" i="8"/>
  <c r="E389" i="8"/>
  <c r="D389" i="8"/>
  <c r="B389" i="8"/>
  <c r="A389" i="8"/>
  <c r="E388" i="8"/>
  <c r="D388" i="8"/>
  <c r="B388" i="8"/>
  <c r="A388" i="8"/>
  <c r="E387" i="8"/>
  <c r="D387" i="8"/>
  <c r="B387" i="8"/>
  <c r="A387" i="8"/>
  <c r="E386" i="8"/>
  <c r="D386" i="8"/>
  <c r="B386" i="8"/>
  <c r="A386" i="8"/>
  <c r="E385" i="8"/>
  <c r="D385" i="8"/>
  <c r="B385" i="8"/>
  <c r="A385" i="8"/>
  <c r="E384" i="8"/>
  <c r="D384" i="8"/>
  <c r="B384" i="8"/>
  <c r="A384" i="8"/>
  <c r="E383" i="8"/>
  <c r="D383" i="8"/>
  <c r="B383" i="8"/>
  <c r="A383" i="8"/>
  <c r="E382" i="8"/>
  <c r="D382" i="8"/>
  <c r="B382" i="8"/>
  <c r="A382" i="8"/>
  <c r="E381" i="8"/>
  <c r="D381" i="8"/>
  <c r="B381" i="8"/>
  <c r="A381" i="8"/>
  <c r="AL6" i="3" l="1"/>
  <c r="AL199" i="3"/>
  <c r="AL233" i="3"/>
  <c r="AL227" i="3"/>
  <c r="AL171" i="3"/>
  <c r="AL100" i="3"/>
  <c r="AL104" i="3"/>
  <c r="AL101" i="3"/>
  <c r="AL103" i="3"/>
  <c r="AL102" i="3"/>
  <c r="AL105" i="3"/>
  <c r="AL106" i="3"/>
  <c r="AL270" i="3"/>
  <c r="AL108" i="3"/>
  <c r="AL201" i="3"/>
  <c r="AL206" i="3"/>
  <c r="AL198" i="3"/>
  <c r="AL210" i="3"/>
  <c r="AL184" i="3"/>
  <c r="AL213" i="3"/>
  <c r="AL188" i="3"/>
  <c r="AL215" i="3"/>
  <c r="AL195" i="3"/>
  <c r="AL191" i="3"/>
  <c r="AL220" i="3"/>
  <c r="AL193" i="3"/>
  <c r="AL322" i="3"/>
  <c r="AL329" i="3"/>
  <c r="AL324" i="3"/>
  <c r="AL327" i="3"/>
  <c r="AL323" i="3"/>
  <c r="AL330" i="3"/>
  <c r="AL16" i="3"/>
  <c r="AL15" i="3"/>
  <c r="AL222" i="3"/>
  <c r="AL117" i="3"/>
  <c r="AL272" i="3"/>
  <c r="AL275" i="3"/>
  <c r="AL277" i="3"/>
  <c r="AL278" i="3"/>
  <c r="AL283" i="3"/>
  <c r="AL286" i="3"/>
  <c r="AL279" i="3"/>
  <c r="AL281" i="3"/>
  <c r="AL245" i="3"/>
  <c r="AL243" i="3"/>
  <c r="AL152" i="3"/>
  <c r="AL141" i="3"/>
  <c r="AL114" i="3"/>
  <c r="AL263" i="3"/>
  <c r="AL260" i="3"/>
  <c r="AL113" i="3"/>
  <c r="AL111" i="3"/>
  <c r="AL109" i="3"/>
  <c r="AL115" i="3"/>
  <c r="AL93" i="3"/>
  <c r="AL259" i="3"/>
  <c r="AL26" i="3"/>
  <c r="AL291" i="3"/>
  <c r="AL5" i="3"/>
  <c r="AL4" i="3"/>
  <c r="AL7" i="3"/>
  <c r="AL8" i="3"/>
  <c r="AL9" i="3"/>
  <c r="AL10" i="3"/>
  <c r="AL11" i="3"/>
  <c r="AL12" i="3"/>
  <c r="AL13" i="3"/>
  <c r="AL14" i="3"/>
  <c r="AL17" i="3"/>
  <c r="AL18" i="3"/>
  <c r="AL19" i="3"/>
  <c r="AL20" i="3"/>
  <c r="AL21" i="3"/>
  <c r="AL22" i="3"/>
  <c r="AL23" i="3"/>
  <c r="AL24" i="3"/>
  <c r="AL25"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7" i="3"/>
  <c r="AL78" i="3"/>
  <c r="AL79" i="3"/>
  <c r="AL80" i="3"/>
  <c r="AL81" i="3"/>
  <c r="AL82" i="3"/>
  <c r="AL83" i="3"/>
  <c r="AL84" i="3"/>
  <c r="AL85" i="3"/>
  <c r="AL86" i="3"/>
  <c r="AL87" i="3"/>
  <c r="AL88" i="3"/>
  <c r="AL89" i="3"/>
  <c r="AL90" i="3"/>
  <c r="AL91" i="3"/>
  <c r="AL92" i="3"/>
  <c r="AL94" i="3"/>
  <c r="AL95" i="3"/>
  <c r="AL96" i="3"/>
  <c r="AL97" i="3"/>
  <c r="AL98" i="3"/>
  <c r="AL99" i="3"/>
  <c r="AL107" i="3"/>
  <c r="AL110" i="3"/>
  <c r="AL112" i="3"/>
  <c r="AL116" i="3"/>
  <c r="AL118" i="3"/>
  <c r="AL119" i="3"/>
  <c r="AL120" i="3"/>
  <c r="AL121" i="3"/>
  <c r="AL122" i="3"/>
  <c r="AL123" i="3"/>
  <c r="AL124" i="3"/>
  <c r="AL125" i="3"/>
  <c r="AL126" i="3"/>
  <c r="AL127" i="3"/>
  <c r="AL128" i="3"/>
  <c r="AL129" i="3"/>
  <c r="AL130" i="3"/>
  <c r="AL131" i="3"/>
  <c r="AL132" i="3"/>
  <c r="AL133" i="3"/>
  <c r="AL134" i="3"/>
  <c r="AL135" i="3"/>
  <c r="AL136" i="3"/>
  <c r="AL137" i="3"/>
  <c r="AL138" i="3"/>
  <c r="AL139" i="3"/>
  <c r="AL140" i="3"/>
  <c r="AL142" i="3"/>
  <c r="AL143" i="3"/>
  <c r="AL144" i="3"/>
  <c r="AL145" i="3"/>
  <c r="AL146" i="3"/>
  <c r="AL147" i="3"/>
  <c r="AL148" i="3"/>
  <c r="AL149" i="3"/>
  <c r="AL151" i="3"/>
  <c r="AL153" i="3"/>
  <c r="AL154" i="3"/>
  <c r="AL155" i="3"/>
  <c r="AL156" i="3"/>
  <c r="AL157" i="3"/>
  <c r="AL158" i="3"/>
  <c r="AL159" i="3"/>
  <c r="AL160" i="3"/>
  <c r="AL161" i="3"/>
  <c r="AL162" i="3"/>
  <c r="AL163" i="3"/>
  <c r="AL164" i="3"/>
  <c r="AL165" i="3"/>
  <c r="AL166" i="3"/>
  <c r="AL167" i="3"/>
  <c r="AL168" i="3"/>
  <c r="AL169" i="3"/>
  <c r="AL170" i="3"/>
  <c r="AL172" i="3"/>
  <c r="AL173" i="3"/>
  <c r="AL174" i="3"/>
  <c r="AL175" i="3"/>
  <c r="AL176" i="3"/>
  <c r="AL177" i="3"/>
  <c r="AL178" i="3"/>
  <c r="AL179" i="3"/>
  <c r="AL180" i="3"/>
  <c r="AL181" i="3"/>
  <c r="AL182" i="3"/>
  <c r="AL183" i="3"/>
  <c r="AL185" i="3"/>
  <c r="AL186" i="3"/>
  <c r="AL187" i="3"/>
  <c r="AL189" i="3"/>
  <c r="AL190" i="3"/>
  <c r="AL192" i="3"/>
  <c r="AL194" i="3"/>
  <c r="AL196" i="3"/>
  <c r="AL197" i="3"/>
  <c r="AL200" i="3"/>
  <c r="AL202" i="3"/>
  <c r="AL203" i="3"/>
  <c r="AL204" i="3"/>
  <c r="AL205" i="3"/>
  <c r="AL207" i="3"/>
  <c r="AL208" i="3"/>
  <c r="AL209" i="3"/>
  <c r="AL211" i="3"/>
  <c r="AL212" i="3"/>
  <c r="AL214" i="3"/>
  <c r="AL216" i="3"/>
  <c r="AL217" i="3"/>
  <c r="AL218" i="3"/>
  <c r="AL219" i="3"/>
  <c r="AL221" i="3"/>
  <c r="AL223" i="3"/>
  <c r="AL224" i="3"/>
  <c r="AL225" i="3"/>
  <c r="AL226" i="3"/>
  <c r="AL228" i="3"/>
  <c r="AL229" i="3"/>
  <c r="AL230" i="3"/>
  <c r="AL231" i="3"/>
  <c r="AL232" i="3"/>
  <c r="AL234" i="3"/>
  <c r="AL235" i="3"/>
  <c r="AL236" i="3"/>
  <c r="AL237" i="3"/>
  <c r="AL238" i="3"/>
  <c r="AL239" i="3"/>
  <c r="AL240" i="3"/>
  <c r="AL241" i="3"/>
  <c r="AL242" i="3"/>
  <c r="AL244" i="3"/>
  <c r="AL246" i="3"/>
  <c r="AL248" i="3"/>
  <c r="AL247" i="3"/>
  <c r="AL249" i="3"/>
  <c r="AL250" i="3"/>
  <c r="AL251" i="3"/>
  <c r="AL252" i="3"/>
  <c r="AL253" i="3"/>
  <c r="AL254" i="3"/>
  <c r="AL255" i="3"/>
  <c r="AL256" i="3"/>
  <c r="AL257" i="3"/>
  <c r="AL258" i="3"/>
  <c r="AL261" i="3"/>
  <c r="AL262" i="3"/>
  <c r="AL264" i="3"/>
  <c r="AL265" i="3"/>
  <c r="AL266" i="3"/>
  <c r="AL267" i="3"/>
  <c r="AL268" i="3"/>
  <c r="AL269" i="3"/>
  <c r="AL271" i="3"/>
  <c r="AL273" i="3"/>
  <c r="AL274" i="3"/>
  <c r="AL276" i="3"/>
  <c r="AL280" i="3"/>
  <c r="AL282" i="3"/>
  <c r="AL284" i="3"/>
  <c r="AL285" i="3"/>
  <c r="AL287" i="3"/>
  <c r="AL288" i="3"/>
  <c r="AL289" i="3"/>
  <c r="AL290" i="3"/>
  <c r="AL292" i="3"/>
  <c r="AL293" i="3"/>
  <c r="AL294" i="3"/>
  <c r="AL295" i="3"/>
  <c r="AL296" i="3"/>
  <c r="AL297" i="3"/>
  <c r="AL298" i="3"/>
  <c r="AL299" i="3"/>
  <c r="AL300" i="3"/>
  <c r="AL301" i="3"/>
  <c r="AL302" i="3"/>
  <c r="AL303" i="3"/>
  <c r="AL304" i="3"/>
  <c r="AL305" i="3"/>
  <c r="AL306" i="3"/>
  <c r="AL307" i="3"/>
  <c r="AL308" i="3"/>
  <c r="AL309" i="3"/>
  <c r="AL310" i="3"/>
  <c r="AL311" i="3"/>
  <c r="AL312" i="3"/>
  <c r="AL313" i="3"/>
  <c r="AL314" i="3"/>
  <c r="AL315" i="3"/>
  <c r="AL316" i="3"/>
  <c r="AL317" i="3"/>
  <c r="AL318" i="3"/>
  <c r="AL319" i="3"/>
  <c r="AL320" i="3"/>
  <c r="AL321" i="3"/>
  <c r="AL325" i="3"/>
  <c r="AL326" i="3"/>
  <c r="AL328" i="3"/>
  <c r="AL331" i="3"/>
  <c r="AL332" i="3"/>
  <c r="AL333" i="3"/>
  <c r="AL334" i="3"/>
  <c r="AL335" i="3"/>
  <c r="AL336" i="3"/>
  <c r="AL337" i="3"/>
  <c r="AL338" i="3"/>
  <c r="AL339" i="3"/>
  <c r="AL340" i="3"/>
  <c r="AL341" i="3"/>
  <c r="AL342" i="3"/>
  <c r="AL343" i="3"/>
  <c r="E378" i="8"/>
  <c r="D378" i="8"/>
  <c r="B378" i="8"/>
  <c r="A378" i="8"/>
  <c r="E377" i="8"/>
  <c r="D377" i="8"/>
  <c r="B377" i="8"/>
  <c r="A377" i="8"/>
  <c r="E376" i="8"/>
  <c r="D376" i="8"/>
  <c r="B376" i="8"/>
  <c r="A376" i="8"/>
  <c r="E375" i="8"/>
  <c r="D375" i="8"/>
  <c r="B375" i="8"/>
  <c r="A375" i="8"/>
  <c r="E374" i="8"/>
  <c r="D374" i="8"/>
  <c r="B374" i="8"/>
  <c r="A374" i="8"/>
  <c r="E373" i="8"/>
  <c r="D373" i="8"/>
  <c r="B373" i="8"/>
  <c r="A373" i="8"/>
  <c r="E372" i="8"/>
  <c r="D372" i="8"/>
  <c r="B372" i="8"/>
  <c r="A372" i="8"/>
  <c r="E371" i="8"/>
  <c r="D371" i="8"/>
  <c r="B371" i="8"/>
  <c r="A371" i="8"/>
  <c r="AK6" i="3" l="1"/>
  <c r="AK199" i="3"/>
  <c r="AK233" i="3"/>
  <c r="AK227" i="3"/>
  <c r="AK171" i="3"/>
  <c r="AK104" i="3"/>
  <c r="AK100" i="3"/>
  <c r="AK101" i="3"/>
  <c r="AK105" i="3"/>
  <c r="AK102" i="3"/>
  <c r="AK103" i="3"/>
  <c r="AK106" i="3"/>
  <c r="AK270" i="3"/>
  <c r="AK108" i="3"/>
  <c r="AK191" i="3"/>
  <c r="AK220" i="3"/>
  <c r="AK215" i="3"/>
  <c r="AK201" i="3"/>
  <c r="AK195" i="3"/>
  <c r="AK206" i="3"/>
  <c r="AK188" i="3"/>
  <c r="AK198" i="3"/>
  <c r="AK210" i="3"/>
  <c r="AK193" i="3"/>
  <c r="AK184" i="3"/>
  <c r="AK213" i="3"/>
  <c r="AK330" i="3"/>
  <c r="AK322" i="3"/>
  <c r="AK323" i="3"/>
  <c r="AK329" i="3"/>
  <c r="AK327" i="3"/>
  <c r="AK324" i="3"/>
  <c r="AK15" i="3"/>
  <c r="AK16" i="3"/>
  <c r="AK222" i="3"/>
  <c r="AK117" i="3"/>
  <c r="AK272" i="3"/>
  <c r="AK281" i="3"/>
  <c r="AK275" i="3"/>
  <c r="AK279" i="3"/>
  <c r="AK277" i="3"/>
  <c r="AK278" i="3"/>
  <c r="AK283" i="3"/>
  <c r="AK286" i="3"/>
  <c r="AK245" i="3"/>
  <c r="AK243" i="3"/>
  <c r="AK152" i="3"/>
  <c r="AK141" i="3"/>
  <c r="AK263" i="3"/>
  <c r="AK111" i="3"/>
  <c r="AK113" i="3"/>
  <c r="AK115" i="3"/>
  <c r="AK109" i="3"/>
  <c r="AK260" i="3"/>
  <c r="AK114" i="3"/>
  <c r="AK93" i="3"/>
  <c r="AK259" i="3"/>
  <c r="AK26" i="3"/>
  <c r="AK291" i="3"/>
  <c r="AK5" i="3"/>
  <c r="AK4" i="3"/>
  <c r="AK7" i="3"/>
  <c r="AK8" i="3"/>
  <c r="AK9" i="3"/>
  <c r="AK10" i="3"/>
  <c r="AK11" i="3"/>
  <c r="AK12" i="3"/>
  <c r="AK13" i="3"/>
  <c r="AK14" i="3"/>
  <c r="AK17" i="3"/>
  <c r="AK18" i="3"/>
  <c r="AK19" i="3"/>
  <c r="AK20" i="3"/>
  <c r="AK21" i="3"/>
  <c r="AK22" i="3"/>
  <c r="AK23" i="3"/>
  <c r="AK24" i="3"/>
  <c r="AK25" i="3"/>
  <c r="AK27" i="3"/>
  <c r="AK28" i="3"/>
  <c r="AK29" i="3"/>
  <c r="AK30" i="3"/>
  <c r="AK31" i="3"/>
  <c r="AK32" i="3"/>
  <c r="AK33" i="3"/>
  <c r="AK34" i="3"/>
  <c r="AK35" i="3"/>
  <c r="AK36" i="3"/>
  <c r="AK37" i="3"/>
  <c r="AK38" i="3"/>
  <c r="AK39" i="3"/>
  <c r="AK40" i="3"/>
  <c r="AK41" i="3"/>
  <c r="AK42" i="3"/>
  <c r="AK43" i="3"/>
  <c r="AK44" i="3"/>
  <c r="AK45" i="3"/>
  <c r="AK46" i="3"/>
  <c r="AK47" i="3"/>
  <c r="AK48" i="3"/>
  <c r="AK49" i="3"/>
  <c r="AK50" i="3"/>
  <c r="AK51" i="3"/>
  <c r="AK52" i="3"/>
  <c r="AK53" i="3"/>
  <c r="AK54" i="3"/>
  <c r="AK55" i="3"/>
  <c r="AK56" i="3"/>
  <c r="AK57" i="3"/>
  <c r="AK58" i="3"/>
  <c r="AK59" i="3"/>
  <c r="AK60" i="3"/>
  <c r="AK61" i="3"/>
  <c r="AK62" i="3"/>
  <c r="AK63" i="3"/>
  <c r="AK64" i="3"/>
  <c r="AK65" i="3"/>
  <c r="AK66" i="3"/>
  <c r="AK67" i="3"/>
  <c r="AK68" i="3"/>
  <c r="AK69" i="3"/>
  <c r="AK70" i="3"/>
  <c r="AK71" i="3"/>
  <c r="AK72" i="3"/>
  <c r="AK73" i="3"/>
  <c r="AK74" i="3"/>
  <c r="AK75" i="3"/>
  <c r="AK77" i="3"/>
  <c r="AK78" i="3"/>
  <c r="AK79" i="3"/>
  <c r="AK80" i="3"/>
  <c r="AK81" i="3"/>
  <c r="AK82" i="3"/>
  <c r="AK83" i="3"/>
  <c r="AK84" i="3"/>
  <c r="AK85" i="3"/>
  <c r="AK86" i="3"/>
  <c r="AK87" i="3"/>
  <c r="AK88" i="3"/>
  <c r="AK89" i="3"/>
  <c r="AK90" i="3"/>
  <c r="AK91" i="3"/>
  <c r="AK92" i="3"/>
  <c r="AK94" i="3"/>
  <c r="AK95" i="3"/>
  <c r="AK96" i="3"/>
  <c r="AK97" i="3"/>
  <c r="AK98" i="3"/>
  <c r="AK99" i="3"/>
  <c r="AK107" i="3"/>
  <c r="AK110" i="3"/>
  <c r="AK112" i="3"/>
  <c r="AK116" i="3"/>
  <c r="AK118" i="3"/>
  <c r="AK119" i="3"/>
  <c r="AK120" i="3"/>
  <c r="AK121" i="3"/>
  <c r="AK122" i="3"/>
  <c r="AK123" i="3"/>
  <c r="AK124" i="3"/>
  <c r="AK125" i="3"/>
  <c r="AK126" i="3"/>
  <c r="AK127" i="3"/>
  <c r="AK128" i="3"/>
  <c r="AK129" i="3"/>
  <c r="AK130" i="3"/>
  <c r="AK131" i="3"/>
  <c r="AK132" i="3"/>
  <c r="AK133" i="3"/>
  <c r="AK134" i="3"/>
  <c r="AK135" i="3"/>
  <c r="AK136" i="3"/>
  <c r="AK137" i="3"/>
  <c r="AK138" i="3"/>
  <c r="AK139" i="3"/>
  <c r="AK140" i="3"/>
  <c r="AK142" i="3"/>
  <c r="AK143" i="3"/>
  <c r="AK144" i="3"/>
  <c r="AK145" i="3"/>
  <c r="AK146" i="3"/>
  <c r="AK147" i="3"/>
  <c r="AK148" i="3"/>
  <c r="AK149" i="3"/>
  <c r="AK151" i="3"/>
  <c r="AK153" i="3"/>
  <c r="AK154" i="3"/>
  <c r="AK155" i="3"/>
  <c r="AK156" i="3"/>
  <c r="AK157" i="3"/>
  <c r="AK158" i="3"/>
  <c r="AK159" i="3"/>
  <c r="AK160" i="3"/>
  <c r="AK161" i="3"/>
  <c r="AK162" i="3"/>
  <c r="AK163" i="3"/>
  <c r="AK164" i="3"/>
  <c r="AK165" i="3"/>
  <c r="AK166" i="3"/>
  <c r="AK167" i="3"/>
  <c r="AK168" i="3"/>
  <c r="AK169" i="3"/>
  <c r="AK170" i="3"/>
  <c r="AK172" i="3"/>
  <c r="AK173" i="3"/>
  <c r="AK174" i="3"/>
  <c r="AK175" i="3"/>
  <c r="AK176" i="3"/>
  <c r="AK177" i="3"/>
  <c r="AK178" i="3"/>
  <c r="AK179" i="3"/>
  <c r="AK180" i="3"/>
  <c r="AK181" i="3"/>
  <c r="AK182" i="3"/>
  <c r="AK183" i="3"/>
  <c r="AK185" i="3"/>
  <c r="AK186" i="3"/>
  <c r="AK187" i="3"/>
  <c r="AK189" i="3"/>
  <c r="AK190" i="3"/>
  <c r="AK192" i="3"/>
  <c r="AK194" i="3"/>
  <c r="AK196" i="3"/>
  <c r="AK197" i="3"/>
  <c r="AK200" i="3"/>
  <c r="AK202" i="3"/>
  <c r="AK203" i="3"/>
  <c r="AK204" i="3"/>
  <c r="AK205" i="3"/>
  <c r="AK207" i="3"/>
  <c r="AK208" i="3"/>
  <c r="AK209" i="3"/>
  <c r="AK211" i="3"/>
  <c r="AK212" i="3"/>
  <c r="AK214" i="3"/>
  <c r="AK216" i="3"/>
  <c r="AK217" i="3"/>
  <c r="AK218" i="3"/>
  <c r="AK219" i="3"/>
  <c r="AK221" i="3"/>
  <c r="AK223" i="3"/>
  <c r="AK224" i="3"/>
  <c r="AK225" i="3"/>
  <c r="AK226" i="3"/>
  <c r="AK228" i="3"/>
  <c r="AK229" i="3"/>
  <c r="AK230" i="3"/>
  <c r="AK231" i="3"/>
  <c r="AK232" i="3"/>
  <c r="AK234" i="3"/>
  <c r="AK235" i="3"/>
  <c r="AK236" i="3"/>
  <c r="AK237" i="3"/>
  <c r="AK238" i="3"/>
  <c r="AK239" i="3"/>
  <c r="AK240" i="3"/>
  <c r="AK241" i="3"/>
  <c r="AK242" i="3"/>
  <c r="AK244" i="3"/>
  <c r="AK246" i="3"/>
  <c r="AK248" i="3"/>
  <c r="AK247" i="3"/>
  <c r="AK249" i="3"/>
  <c r="AK250" i="3"/>
  <c r="AK251" i="3"/>
  <c r="AK252" i="3"/>
  <c r="AK253" i="3"/>
  <c r="AK254" i="3"/>
  <c r="AK255" i="3"/>
  <c r="AK256" i="3"/>
  <c r="AK257" i="3"/>
  <c r="AK258" i="3"/>
  <c r="AK261" i="3"/>
  <c r="AK262" i="3"/>
  <c r="AK264" i="3"/>
  <c r="AK265" i="3"/>
  <c r="AK266" i="3"/>
  <c r="AK267" i="3"/>
  <c r="AK268" i="3"/>
  <c r="AK269" i="3"/>
  <c r="AK271" i="3"/>
  <c r="AK273" i="3"/>
  <c r="AK274" i="3"/>
  <c r="AK276" i="3"/>
  <c r="AK280" i="3"/>
  <c r="AK282" i="3"/>
  <c r="AK284" i="3"/>
  <c r="AK285" i="3"/>
  <c r="AK287" i="3"/>
  <c r="AK288" i="3"/>
  <c r="AK289" i="3"/>
  <c r="AK290" i="3"/>
  <c r="AK292" i="3"/>
  <c r="AK293" i="3"/>
  <c r="AK294" i="3"/>
  <c r="AK295" i="3"/>
  <c r="AK296" i="3"/>
  <c r="AK297" i="3"/>
  <c r="AK298" i="3"/>
  <c r="AK299" i="3"/>
  <c r="AK300" i="3"/>
  <c r="AK301" i="3"/>
  <c r="AK302" i="3"/>
  <c r="AK303" i="3"/>
  <c r="AK304" i="3"/>
  <c r="AK305" i="3"/>
  <c r="AK306" i="3"/>
  <c r="AK307" i="3"/>
  <c r="AK308" i="3"/>
  <c r="AK309" i="3"/>
  <c r="AK310" i="3"/>
  <c r="AK311" i="3"/>
  <c r="AK312" i="3"/>
  <c r="AK313" i="3"/>
  <c r="AK314" i="3"/>
  <c r="AK315" i="3"/>
  <c r="AK316" i="3"/>
  <c r="AK317" i="3"/>
  <c r="AK318" i="3"/>
  <c r="AK319" i="3"/>
  <c r="AK320" i="3"/>
  <c r="AK321" i="3"/>
  <c r="AK325" i="3"/>
  <c r="AK326" i="3"/>
  <c r="AK328" i="3"/>
  <c r="AK331" i="3"/>
  <c r="AK332" i="3"/>
  <c r="AK333" i="3"/>
  <c r="AK334" i="3"/>
  <c r="AK335" i="3"/>
  <c r="AK336" i="3"/>
  <c r="AK337" i="3"/>
  <c r="AK338" i="3"/>
  <c r="AK339" i="3"/>
  <c r="AK340" i="3"/>
  <c r="AK341" i="3"/>
  <c r="AK342" i="3"/>
  <c r="AK343" i="3"/>
  <c r="E368" i="8"/>
  <c r="D368" i="8"/>
  <c r="B368" i="8"/>
  <c r="A368" i="8"/>
  <c r="E367" i="8"/>
  <c r="D367" i="8"/>
  <c r="B367" i="8"/>
  <c r="A367" i="8"/>
  <c r="E364" i="8"/>
  <c r="D364" i="8"/>
  <c r="B364" i="8"/>
  <c r="A364" i="8"/>
  <c r="E363" i="8"/>
  <c r="D363" i="8"/>
  <c r="B363" i="8"/>
  <c r="A363" i="8"/>
  <c r="E362" i="8"/>
  <c r="D362" i="8"/>
  <c r="B362" i="8"/>
  <c r="A362" i="8"/>
  <c r="E361" i="8"/>
  <c r="D361" i="8"/>
  <c r="B361" i="8"/>
  <c r="A361" i="8"/>
  <c r="E360" i="8"/>
  <c r="D360" i="8"/>
  <c r="B360" i="8"/>
  <c r="A360" i="8"/>
  <c r="E359" i="8"/>
  <c r="D359" i="8"/>
  <c r="B359" i="8"/>
  <c r="A359" i="8"/>
  <c r="E358" i="8"/>
  <c r="D358" i="8"/>
  <c r="B358" i="8"/>
  <c r="A358" i="8"/>
  <c r="E357" i="8"/>
  <c r="D357" i="8"/>
  <c r="B357" i="8"/>
  <c r="A357" i="8"/>
  <c r="AJ199" i="3" l="1"/>
  <c r="AJ6" i="3"/>
  <c r="AJ233" i="3"/>
  <c r="AJ227" i="3"/>
  <c r="AJ171" i="3"/>
  <c r="AJ104" i="3"/>
  <c r="AJ100" i="3"/>
  <c r="AJ101" i="3"/>
  <c r="AJ103" i="3"/>
  <c r="AJ102" i="3"/>
  <c r="AJ105" i="3"/>
  <c r="AJ106" i="3"/>
  <c r="AJ270" i="3"/>
  <c r="AJ108" i="3"/>
  <c r="AJ198" i="3"/>
  <c r="AJ210" i="3"/>
  <c r="AJ188" i="3"/>
  <c r="AJ215" i="3"/>
  <c r="AJ191" i="3"/>
  <c r="AJ220" i="3"/>
  <c r="AJ184" i="3"/>
  <c r="AJ193" i="3"/>
  <c r="AJ206" i="3"/>
  <c r="AJ201" i="3"/>
  <c r="AJ195" i="3"/>
  <c r="AJ213" i="3"/>
  <c r="AJ329" i="3"/>
  <c r="AJ327" i="3"/>
  <c r="AJ323" i="3"/>
  <c r="AJ330" i="3"/>
  <c r="AJ324" i="3"/>
  <c r="AJ322" i="3"/>
  <c r="AJ222" i="3"/>
  <c r="AJ15" i="3"/>
  <c r="AJ16" i="3"/>
  <c r="AJ117" i="3"/>
  <c r="AJ272" i="3"/>
  <c r="AJ278" i="3"/>
  <c r="AJ283" i="3"/>
  <c r="AJ279" i="3"/>
  <c r="AJ281" i="3"/>
  <c r="AJ275" i="3"/>
  <c r="AJ286" i="3"/>
  <c r="AJ277" i="3"/>
  <c r="AJ245" i="3"/>
  <c r="AJ243" i="3"/>
  <c r="AJ152" i="3"/>
  <c r="AJ141" i="3"/>
  <c r="AJ111" i="3"/>
  <c r="AJ109" i="3"/>
  <c r="AJ260" i="3"/>
  <c r="AJ115" i="3"/>
  <c r="AJ114" i="3"/>
  <c r="AJ113" i="3"/>
  <c r="AJ263" i="3"/>
  <c r="AJ93" i="3"/>
  <c r="AJ259" i="3"/>
  <c r="AJ26" i="3"/>
  <c r="AJ291" i="3"/>
  <c r="AJ5" i="3"/>
  <c r="AJ4" i="3"/>
  <c r="AJ7" i="3"/>
  <c r="AJ8" i="3"/>
  <c r="AJ9" i="3"/>
  <c r="AJ10" i="3"/>
  <c r="AJ11" i="3"/>
  <c r="AJ12" i="3"/>
  <c r="AJ13" i="3"/>
  <c r="AJ14" i="3"/>
  <c r="AJ17" i="3"/>
  <c r="AJ18" i="3"/>
  <c r="AJ19" i="3"/>
  <c r="AJ20" i="3"/>
  <c r="AJ21" i="3"/>
  <c r="AJ22" i="3"/>
  <c r="AJ23" i="3"/>
  <c r="AJ24" i="3"/>
  <c r="AJ25"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7" i="3"/>
  <c r="AJ78" i="3"/>
  <c r="AJ79" i="3"/>
  <c r="AJ80" i="3"/>
  <c r="AJ81" i="3"/>
  <c r="AJ82" i="3"/>
  <c r="AJ83" i="3"/>
  <c r="AJ84" i="3"/>
  <c r="AJ85" i="3"/>
  <c r="AJ86" i="3"/>
  <c r="AJ87" i="3"/>
  <c r="AJ88" i="3"/>
  <c r="AJ89" i="3"/>
  <c r="AJ90" i="3"/>
  <c r="AJ91" i="3"/>
  <c r="AJ92" i="3"/>
  <c r="AJ94" i="3"/>
  <c r="AJ95" i="3"/>
  <c r="AJ96" i="3"/>
  <c r="AJ97" i="3"/>
  <c r="AJ98" i="3"/>
  <c r="AJ99" i="3"/>
  <c r="AJ107" i="3"/>
  <c r="AJ110" i="3"/>
  <c r="AJ112" i="3"/>
  <c r="AJ116" i="3"/>
  <c r="AJ118" i="3"/>
  <c r="AJ119" i="3"/>
  <c r="AJ120" i="3"/>
  <c r="AJ121" i="3"/>
  <c r="AJ122" i="3"/>
  <c r="AJ123" i="3"/>
  <c r="AJ124" i="3"/>
  <c r="AJ125" i="3"/>
  <c r="AJ126" i="3"/>
  <c r="AJ127" i="3"/>
  <c r="AJ128" i="3"/>
  <c r="AJ129" i="3"/>
  <c r="AJ130" i="3"/>
  <c r="AJ131" i="3"/>
  <c r="AJ132" i="3"/>
  <c r="AJ133" i="3"/>
  <c r="AJ134" i="3"/>
  <c r="AJ135" i="3"/>
  <c r="AJ136" i="3"/>
  <c r="AJ137" i="3"/>
  <c r="AJ138" i="3"/>
  <c r="AJ139" i="3"/>
  <c r="AJ140" i="3"/>
  <c r="AJ142" i="3"/>
  <c r="AJ143" i="3"/>
  <c r="AJ144" i="3"/>
  <c r="AJ145" i="3"/>
  <c r="AJ146" i="3"/>
  <c r="AJ147" i="3"/>
  <c r="AJ148" i="3"/>
  <c r="AJ149" i="3"/>
  <c r="AJ151" i="3"/>
  <c r="AJ153" i="3"/>
  <c r="AJ154" i="3"/>
  <c r="AJ155" i="3"/>
  <c r="AJ156" i="3"/>
  <c r="AJ157" i="3"/>
  <c r="AJ158" i="3"/>
  <c r="AJ159" i="3"/>
  <c r="AJ160" i="3"/>
  <c r="AJ161" i="3"/>
  <c r="AJ162" i="3"/>
  <c r="AJ163" i="3"/>
  <c r="AJ164" i="3"/>
  <c r="AJ165" i="3"/>
  <c r="AJ166" i="3"/>
  <c r="AJ167" i="3"/>
  <c r="AJ168" i="3"/>
  <c r="AJ169" i="3"/>
  <c r="AJ170" i="3"/>
  <c r="AJ172" i="3"/>
  <c r="AJ173" i="3"/>
  <c r="AJ174" i="3"/>
  <c r="AJ175" i="3"/>
  <c r="AJ176" i="3"/>
  <c r="AJ177" i="3"/>
  <c r="AJ178" i="3"/>
  <c r="AJ179" i="3"/>
  <c r="AJ180" i="3"/>
  <c r="AJ181" i="3"/>
  <c r="AJ182" i="3"/>
  <c r="AJ183" i="3"/>
  <c r="AJ185" i="3"/>
  <c r="AJ186" i="3"/>
  <c r="AJ187" i="3"/>
  <c r="AJ189" i="3"/>
  <c r="AJ190" i="3"/>
  <c r="AJ192" i="3"/>
  <c r="AJ194" i="3"/>
  <c r="AJ196" i="3"/>
  <c r="AJ197" i="3"/>
  <c r="AJ200" i="3"/>
  <c r="AJ202" i="3"/>
  <c r="AJ203" i="3"/>
  <c r="AJ204" i="3"/>
  <c r="AJ205" i="3"/>
  <c r="AJ207" i="3"/>
  <c r="AJ208" i="3"/>
  <c r="AJ209" i="3"/>
  <c r="AJ211" i="3"/>
  <c r="AJ212" i="3"/>
  <c r="AJ214" i="3"/>
  <c r="AJ216" i="3"/>
  <c r="AJ217" i="3"/>
  <c r="AJ218" i="3"/>
  <c r="AJ219" i="3"/>
  <c r="AJ221" i="3"/>
  <c r="AJ223" i="3"/>
  <c r="AJ224" i="3"/>
  <c r="AJ225" i="3"/>
  <c r="AJ226" i="3"/>
  <c r="AJ228" i="3"/>
  <c r="AJ229" i="3"/>
  <c r="AJ230" i="3"/>
  <c r="AJ231" i="3"/>
  <c r="AJ232" i="3"/>
  <c r="AJ234" i="3"/>
  <c r="AJ235" i="3"/>
  <c r="AJ236" i="3"/>
  <c r="AJ237" i="3"/>
  <c r="AJ238" i="3"/>
  <c r="AJ239" i="3"/>
  <c r="AJ240" i="3"/>
  <c r="AJ241" i="3"/>
  <c r="AJ242" i="3"/>
  <c r="AJ244" i="3"/>
  <c r="AJ246" i="3"/>
  <c r="AJ248" i="3"/>
  <c r="AJ247" i="3"/>
  <c r="AJ249" i="3"/>
  <c r="AJ250" i="3"/>
  <c r="AJ251" i="3"/>
  <c r="AJ252" i="3"/>
  <c r="AJ253" i="3"/>
  <c r="AJ254" i="3"/>
  <c r="AJ255" i="3"/>
  <c r="AJ256" i="3"/>
  <c r="AJ257" i="3"/>
  <c r="AJ258" i="3"/>
  <c r="AJ261" i="3"/>
  <c r="AJ262" i="3"/>
  <c r="AJ264" i="3"/>
  <c r="AJ265" i="3"/>
  <c r="AJ266" i="3"/>
  <c r="AJ267" i="3"/>
  <c r="AJ268" i="3"/>
  <c r="AJ269" i="3"/>
  <c r="AJ271" i="3"/>
  <c r="AJ273" i="3"/>
  <c r="AJ274" i="3"/>
  <c r="AJ276" i="3"/>
  <c r="AJ280" i="3"/>
  <c r="AJ282" i="3"/>
  <c r="AJ284" i="3"/>
  <c r="AJ285" i="3"/>
  <c r="AJ287" i="3"/>
  <c r="AJ288" i="3"/>
  <c r="AJ289" i="3"/>
  <c r="AJ290" i="3"/>
  <c r="AJ292" i="3"/>
  <c r="AJ293" i="3"/>
  <c r="AJ294" i="3"/>
  <c r="AJ295" i="3"/>
  <c r="AJ296" i="3"/>
  <c r="AJ297" i="3"/>
  <c r="AJ298" i="3"/>
  <c r="AJ299" i="3"/>
  <c r="AJ300" i="3"/>
  <c r="AJ301" i="3"/>
  <c r="AJ302" i="3"/>
  <c r="AJ303" i="3"/>
  <c r="AJ304" i="3"/>
  <c r="AJ305" i="3"/>
  <c r="AJ306" i="3"/>
  <c r="AJ307" i="3"/>
  <c r="AJ308" i="3"/>
  <c r="AJ309" i="3"/>
  <c r="AJ310" i="3"/>
  <c r="AJ311" i="3"/>
  <c r="AJ312" i="3"/>
  <c r="AJ313" i="3"/>
  <c r="AJ314" i="3"/>
  <c r="AJ315" i="3"/>
  <c r="AJ316" i="3"/>
  <c r="AJ317" i="3"/>
  <c r="AJ318" i="3"/>
  <c r="AJ319" i="3"/>
  <c r="AJ320" i="3"/>
  <c r="AJ321" i="3"/>
  <c r="AJ325" i="3"/>
  <c r="AJ326" i="3"/>
  <c r="AJ328" i="3"/>
  <c r="AJ331" i="3"/>
  <c r="AJ332" i="3"/>
  <c r="AJ333" i="3"/>
  <c r="AJ334" i="3"/>
  <c r="AJ335" i="3"/>
  <c r="AJ336" i="3"/>
  <c r="AJ337" i="3"/>
  <c r="AJ338" i="3"/>
  <c r="AJ339" i="3"/>
  <c r="AJ340" i="3"/>
  <c r="AJ341" i="3"/>
  <c r="AJ342" i="3"/>
  <c r="AJ343" i="3"/>
  <c r="E354" i="8"/>
  <c r="D354" i="8"/>
  <c r="B354" i="8"/>
  <c r="A354" i="8"/>
  <c r="E353" i="8"/>
  <c r="D353" i="8"/>
  <c r="B353" i="8"/>
  <c r="A353" i="8"/>
  <c r="E352" i="8"/>
  <c r="D352" i="8"/>
  <c r="B352" i="8"/>
  <c r="A352" i="8"/>
  <c r="E351" i="8"/>
  <c r="D351" i="8"/>
  <c r="B351" i="8"/>
  <c r="A351" i="8"/>
  <c r="E350" i="8"/>
  <c r="D350" i="8"/>
  <c r="B350" i="8"/>
  <c r="A350" i="8"/>
  <c r="E349" i="8"/>
  <c r="D349" i="8"/>
  <c r="B349" i="8"/>
  <c r="A349" i="8"/>
  <c r="E348" i="8"/>
  <c r="D348" i="8"/>
  <c r="B348" i="8"/>
  <c r="A348" i="8"/>
  <c r="E347" i="8"/>
  <c r="D347" i="8"/>
  <c r="B347" i="8"/>
  <c r="A347" i="8"/>
  <c r="E346" i="8"/>
  <c r="D346" i="8"/>
  <c r="B346" i="8"/>
  <c r="A346" i="8"/>
  <c r="E345" i="8"/>
  <c r="D345" i="8"/>
  <c r="B345" i="8"/>
  <c r="A345" i="8"/>
  <c r="AI199" i="3" l="1"/>
  <c r="AI6" i="3"/>
  <c r="AI233" i="3"/>
  <c r="AI227" i="3"/>
  <c r="AI171" i="3"/>
  <c r="AI104" i="3"/>
  <c r="AI100" i="3"/>
  <c r="AI102" i="3"/>
  <c r="AI101" i="3"/>
  <c r="AI105" i="3"/>
  <c r="AI103" i="3"/>
  <c r="AI106" i="3"/>
  <c r="AI270" i="3"/>
  <c r="AI108" i="3"/>
  <c r="AI198" i="3"/>
  <c r="AI210" i="3"/>
  <c r="AI184" i="3"/>
  <c r="AI213" i="3"/>
  <c r="AI188" i="3"/>
  <c r="AI215" i="3"/>
  <c r="AI191" i="3"/>
  <c r="AI220" i="3"/>
  <c r="AI193" i="3"/>
  <c r="AI201" i="3"/>
  <c r="AI195" i="3"/>
  <c r="AI206" i="3"/>
  <c r="AI329" i="3"/>
  <c r="AI322" i="3"/>
  <c r="AI330" i="3"/>
  <c r="AI327" i="3"/>
  <c r="AI323" i="3"/>
  <c r="AI324" i="3"/>
  <c r="AI222" i="3"/>
  <c r="AI15" i="3"/>
  <c r="AI16" i="3"/>
  <c r="AI117" i="3"/>
  <c r="AI272" i="3"/>
  <c r="AI275" i="3"/>
  <c r="AI278" i="3"/>
  <c r="AI283" i="3"/>
  <c r="AI281" i="3"/>
  <c r="AI279" i="3"/>
  <c r="AI286" i="3"/>
  <c r="AI277" i="3"/>
  <c r="AI243" i="3"/>
  <c r="AI245" i="3"/>
  <c r="AI152" i="3"/>
  <c r="AI141" i="3"/>
  <c r="AI111" i="3"/>
  <c r="AI109" i="3"/>
  <c r="AI260" i="3"/>
  <c r="AI113" i="3"/>
  <c r="AI115" i="3"/>
  <c r="AI263" i="3"/>
  <c r="AI114" i="3"/>
  <c r="AI93" i="3"/>
  <c r="AI259" i="3"/>
  <c r="AI26" i="3"/>
  <c r="AI291" i="3"/>
  <c r="AI5" i="3"/>
  <c r="AI4" i="3"/>
  <c r="AI7" i="3"/>
  <c r="AI8" i="3"/>
  <c r="AI9" i="3"/>
  <c r="AI10" i="3"/>
  <c r="AI11" i="3"/>
  <c r="AI12" i="3"/>
  <c r="AI13" i="3"/>
  <c r="AI14" i="3"/>
  <c r="AI17" i="3"/>
  <c r="AI18" i="3"/>
  <c r="AI19" i="3"/>
  <c r="AI20" i="3"/>
  <c r="AI21" i="3"/>
  <c r="AI22" i="3"/>
  <c r="AI23" i="3"/>
  <c r="AI24" i="3"/>
  <c r="AI25" i="3"/>
  <c r="AI27" i="3"/>
  <c r="AI28" i="3"/>
  <c r="AI29" i="3"/>
  <c r="AI30" i="3"/>
  <c r="AI31" i="3"/>
  <c r="AI32" i="3"/>
  <c r="AI33" i="3"/>
  <c r="AI34" i="3"/>
  <c r="AI35" i="3"/>
  <c r="AI36" i="3"/>
  <c r="AI37" i="3"/>
  <c r="AI38" i="3"/>
  <c r="AI39" i="3"/>
  <c r="AI40" i="3"/>
  <c r="AI41" i="3"/>
  <c r="AI42" i="3"/>
  <c r="AI43" i="3"/>
  <c r="AI44" i="3"/>
  <c r="AI45" i="3"/>
  <c r="AI46" i="3"/>
  <c r="AI47" i="3"/>
  <c r="AI48" i="3"/>
  <c r="AI49" i="3"/>
  <c r="AI50" i="3"/>
  <c r="AI51" i="3"/>
  <c r="AI52" i="3"/>
  <c r="AI53" i="3"/>
  <c r="AI54" i="3"/>
  <c r="AI55" i="3"/>
  <c r="AI56" i="3"/>
  <c r="AI57" i="3"/>
  <c r="AI58" i="3"/>
  <c r="AI59" i="3"/>
  <c r="AI60" i="3"/>
  <c r="AI61" i="3"/>
  <c r="AI62" i="3"/>
  <c r="AI63" i="3"/>
  <c r="AI64" i="3"/>
  <c r="AI65" i="3"/>
  <c r="AI66" i="3"/>
  <c r="AI67" i="3"/>
  <c r="AI68" i="3"/>
  <c r="AI69" i="3"/>
  <c r="AI70" i="3"/>
  <c r="AI71" i="3"/>
  <c r="AI72" i="3"/>
  <c r="AI73" i="3"/>
  <c r="AI74" i="3"/>
  <c r="AI75" i="3"/>
  <c r="AI77" i="3"/>
  <c r="AI78" i="3"/>
  <c r="AI79" i="3"/>
  <c r="AI80" i="3"/>
  <c r="AI81" i="3"/>
  <c r="AI82" i="3"/>
  <c r="AI83" i="3"/>
  <c r="AI84" i="3"/>
  <c r="AI85" i="3"/>
  <c r="AI86" i="3"/>
  <c r="AI87" i="3"/>
  <c r="AI88" i="3"/>
  <c r="AI89" i="3"/>
  <c r="AI90" i="3"/>
  <c r="AI91" i="3"/>
  <c r="AI92" i="3"/>
  <c r="AI94" i="3"/>
  <c r="AI95" i="3"/>
  <c r="AI96" i="3"/>
  <c r="AI97" i="3"/>
  <c r="AI98" i="3"/>
  <c r="AI99" i="3"/>
  <c r="AI107" i="3"/>
  <c r="AI110" i="3"/>
  <c r="AI112" i="3"/>
  <c r="AI116" i="3"/>
  <c r="AI118" i="3"/>
  <c r="AI119" i="3"/>
  <c r="AI120" i="3"/>
  <c r="AI121" i="3"/>
  <c r="AI122" i="3"/>
  <c r="AI123" i="3"/>
  <c r="AI124" i="3"/>
  <c r="AI125" i="3"/>
  <c r="AI126" i="3"/>
  <c r="AI127" i="3"/>
  <c r="AI128" i="3"/>
  <c r="AI129" i="3"/>
  <c r="AI130" i="3"/>
  <c r="AI131" i="3"/>
  <c r="AI132" i="3"/>
  <c r="AI133" i="3"/>
  <c r="AI134" i="3"/>
  <c r="AI135" i="3"/>
  <c r="AI136" i="3"/>
  <c r="AI137" i="3"/>
  <c r="AI138" i="3"/>
  <c r="AI139" i="3"/>
  <c r="AI140" i="3"/>
  <c r="AI142" i="3"/>
  <c r="AI143" i="3"/>
  <c r="AI144" i="3"/>
  <c r="AI145" i="3"/>
  <c r="AI146" i="3"/>
  <c r="AI147" i="3"/>
  <c r="AI148" i="3"/>
  <c r="AI149" i="3"/>
  <c r="AI151" i="3"/>
  <c r="AI153" i="3"/>
  <c r="AI154" i="3"/>
  <c r="AI155" i="3"/>
  <c r="AI156" i="3"/>
  <c r="AI157" i="3"/>
  <c r="AI158" i="3"/>
  <c r="AI159" i="3"/>
  <c r="AI160" i="3"/>
  <c r="AI161" i="3"/>
  <c r="AI162" i="3"/>
  <c r="AI163" i="3"/>
  <c r="AI164" i="3"/>
  <c r="AI165" i="3"/>
  <c r="AI166" i="3"/>
  <c r="AI167" i="3"/>
  <c r="AI168" i="3"/>
  <c r="AI169" i="3"/>
  <c r="AI170" i="3"/>
  <c r="AI172" i="3"/>
  <c r="AI173" i="3"/>
  <c r="AI174" i="3"/>
  <c r="AI175" i="3"/>
  <c r="AI176" i="3"/>
  <c r="AI177" i="3"/>
  <c r="AI178" i="3"/>
  <c r="AI179" i="3"/>
  <c r="AI180" i="3"/>
  <c r="AI181" i="3"/>
  <c r="AI182" i="3"/>
  <c r="AI183" i="3"/>
  <c r="AI185" i="3"/>
  <c r="AI186" i="3"/>
  <c r="AI187" i="3"/>
  <c r="AI189" i="3"/>
  <c r="AI190" i="3"/>
  <c r="AI192" i="3"/>
  <c r="AI194" i="3"/>
  <c r="AI196" i="3"/>
  <c r="AI197" i="3"/>
  <c r="AI200" i="3"/>
  <c r="AI202" i="3"/>
  <c r="AI203" i="3"/>
  <c r="AI204" i="3"/>
  <c r="AI205" i="3"/>
  <c r="AI207" i="3"/>
  <c r="AI208" i="3"/>
  <c r="AI209" i="3"/>
  <c r="AI211" i="3"/>
  <c r="AI212" i="3"/>
  <c r="AI214" i="3"/>
  <c r="AI216" i="3"/>
  <c r="AI217" i="3"/>
  <c r="AI218" i="3"/>
  <c r="AI219" i="3"/>
  <c r="AI221" i="3"/>
  <c r="AI223" i="3"/>
  <c r="AI224" i="3"/>
  <c r="AI225" i="3"/>
  <c r="AI226" i="3"/>
  <c r="AI228" i="3"/>
  <c r="AI229" i="3"/>
  <c r="AI230" i="3"/>
  <c r="AI231" i="3"/>
  <c r="AI232" i="3"/>
  <c r="AI234" i="3"/>
  <c r="AI235" i="3"/>
  <c r="AI236" i="3"/>
  <c r="AI237" i="3"/>
  <c r="AI238" i="3"/>
  <c r="AI239" i="3"/>
  <c r="AI240" i="3"/>
  <c r="AI241" i="3"/>
  <c r="AI242" i="3"/>
  <c r="AI244" i="3"/>
  <c r="AI246" i="3"/>
  <c r="AI248" i="3"/>
  <c r="AI247" i="3"/>
  <c r="AI249" i="3"/>
  <c r="AI250" i="3"/>
  <c r="AI251" i="3"/>
  <c r="AI252" i="3"/>
  <c r="AI253" i="3"/>
  <c r="AI254" i="3"/>
  <c r="AI255" i="3"/>
  <c r="AI256" i="3"/>
  <c r="AI257" i="3"/>
  <c r="AI258" i="3"/>
  <c r="AI261" i="3"/>
  <c r="AI262" i="3"/>
  <c r="AI264" i="3"/>
  <c r="AI265" i="3"/>
  <c r="AI266" i="3"/>
  <c r="AI267" i="3"/>
  <c r="AI268" i="3"/>
  <c r="AI269" i="3"/>
  <c r="AI271" i="3"/>
  <c r="AI273" i="3"/>
  <c r="AI274" i="3"/>
  <c r="AI276" i="3"/>
  <c r="AI280" i="3"/>
  <c r="AI282" i="3"/>
  <c r="AI284" i="3"/>
  <c r="AI285" i="3"/>
  <c r="AI287" i="3"/>
  <c r="AI288" i="3"/>
  <c r="AI289" i="3"/>
  <c r="AI290" i="3"/>
  <c r="AI292" i="3"/>
  <c r="AI293" i="3"/>
  <c r="AI294" i="3"/>
  <c r="AI295" i="3"/>
  <c r="AI296" i="3"/>
  <c r="AI297" i="3"/>
  <c r="AI298" i="3"/>
  <c r="AI299" i="3"/>
  <c r="AI300" i="3"/>
  <c r="AI301" i="3"/>
  <c r="AI302" i="3"/>
  <c r="AI303" i="3"/>
  <c r="AI304" i="3"/>
  <c r="AI305" i="3"/>
  <c r="AI306" i="3"/>
  <c r="AI307" i="3"/>
  <c r="AI308" i="3"/>
  <c r="AI309" i="3"/>
  <c r="AI310" i="3"/>
  <c r="AI311" i="3"/>
  <c r="AI312" i="3"/>
  <c r="AI313" i="3"/>
  <c r="AI314" i="3"/>
  <c r="AI315" i="3"/>
  <c r="AI316" i="3"/>
  <c r="AI317" i="3"/>
  <c r="AI318" i="3"/>
  <c r="AI319" i="3"/>
  <c r="AI320" i="3"/>
  <c r="AI321" i="3"/>
  <c r="AI325" i="3"/>
  <c r="AI326" i="3"/>
  <c r="AI328" i="3"/>
  <c r="AI331" i="3"/>
  <c r="AI332" i="3"/>
  <c r="AI333" i="3"/>
  <c r="AI334" i="3"/>
  <c r="AI335" i="3"/>
  <c r="AI336" i="3"/>
  <c r="AI337" i="3"/>
  <c r="AI338" i="3"/>
  <c r="AI339" i="3"/>
  <c r="AI340" i="3"/>
  <c r="AI341" i="3"/>
  <c r="AI342" i="3"/>
  <c r="AI343" i="3"/>
  <c r="E342" i="8"/>
  <c r="D342" i="8"/>
  <c r="B342" i="8"/>
  <c r="A342" i="8"/>
  <c r="E341" i="8"/>
  <c r="D341" i="8"/>
  <c r="B341" i="8"/>
  <c r="A341" i="8"/>
  <c r="E340" i="8"/>
  <c r="D340" i="8"/>
  <c r="B340" i="8"/>
  <c r="A340" i="8"/>
  <c r="E339" i="8"/>
  <c r="D339" i="8"/>
  <c r="B339" i="8"/>
  <c r="A339" i="8"/>
  <c r="E338" i="8"/>
  <c r="D338" i="8"/>
  <c r="B338" i="8"/>
  <c r="A338" i="8"/>
  <c r="E337" i="8"/>
  <c r="D337" i="8"/>
  <c r="B337" i="8"/>
  <c r="A337" i="8"/>
  <c r="E336" i="8"/>
  <c r="D336" i="8"/>
  <c r="B336" i="8"/>
  <c r="A336" i="8"/>
  <c r="E335" i="8"/>
  <c r="D335" i="8"/>
  <c r="B335" i="8"/>
  <c r="A335" i="8"/>
  <c r="A320" i="8"/>
  <c r="B320" i="8"/>
  <c r="D320" i="8"/>
  <c r="E320" i="8"/>
  <c r="AH199" i="3" l="1"/>
  <c r="AH6" i="3"/>
  <c r="AH233" i="3"/>
  <c r="AH227" i="3"/>
  <c r="AH171" i="3"/>
  <c r="AH104" i="3"/>
  <c r="AH102" i="3"/>
  <c r="AH105" i="3"/>
  <c r="AH100" i="3"/>
  <c r="AH101" i="3"/>
  <c r="AH103" i="3"/>
  <c r="AH270" i="3"/>
  <c r="AH106" i="3"/>
  <c r="AH108" i="3"/>
  <c r="AH195" i="3"/>
  <c r="AH206" i="3"/>
  <c r="AH201" i="3"/>
  <c r="AH198" i="3"/>
  <c r="AH210" i="3"/>
  <c r="AH193" i="3"/>
  <c r="AH184" i="3"/>
  <c r="AH213" i="3"/>
  <c r="AH188" i="3"/>
  <c r="AH215" i="3"/>
  <c r="AH191" i="3"/>
  <c r="AH220" i="3"/>
  <c r="AH329" i="3"/>
  <c r="AH327" i="3"/>
  <c r="AH330" i="3"/>
  <c r="AH323" i="3"/>
  <c r="AH322" i="3"/>
  <c r="AH324" i="3"/>
  <c r="AH16" i="3"/>
  <c r="AH222" i="3"/>
  <c r="AH15" i="3"/>
  <c r="AH117" i="3"/>
  <c r="AH272" i="3"/>
  <c r="AH275" i="3"/>
  <c r="AH283" i="3"/>
  <c r="AH281" i="3"/>
  <c r="AH277" i="3"/>
  <c r="AH279" i="3"/>
  <c r="AH286" i="3"/>
  <c r="AH278" i="3"/>
  <c r="AH245" i="3"/>
  <c r="AH243" i="3"/>
  <c r="AH152" i="3"/>
  <c r="AH141" i="3"/>
  <c r="AH109" i="3"/>
  <c r="AH263" i="3"/>
  <c r="AH260" i="3"/>
  <c r="AH113" i="3"/>
  <c r="AH115" i="3"/>
  <c r="AH114" i="3"/>
  <c r="AH111" i="3"/>
  <c r="AH93" i="3"/>
  <c r="AH259" i="3"/>
  <c r="AH26" i="3"/>
  <c r="AH291" i="3"/>
  <c r="AH5" i="3"/>
  <c r="AH4" i="3"/>
  <c r="AH7" i="3"/>
  <c r="AH8" i="3"/>
  <c r="AH9" i="3"/>
  <c r="AH10" i="3"/>
  <c r="AH11" i="3"/>
  <c r="AH12" i="3"/>
  <c r="AH13" i="3"/>
  <c r="AH14" i="3"/>
  <c r="AH17" i="3"/>
  <c r="AH18" i="3"/>
  <c r="AH19" i="3"/>
  <c r="AH20" i="3"/>
  <c r="AH21" i="3"/>
  <c r="AH22" i="3"/>
  <c r="AH23" i="3"/>
  <c r="AH24" i="3"/>
  <c r="AH25"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7" i="3"/>
  <c r="AH78" i="3"/>
  <c r="AH79" i="3"/>
  <c r="AH80" i="3"/>
  <c r="AH81" i="3"/>
  <c r="AH82" i="3"/>
  <c r="AH83" i="3"/>
  <c r="AH84" i="3"/>
  <c r="AH85" i="3"/>
  <c r="AH86" i="3"/>
  <c r="AH87" i="3"/>
  <c r="AH88" i="3"/>
  <c r="AH89" i="3"/>
  <c r="AH90" i="3"/>
  <c r="AH91" i="3"/>
  <c r="AH92" i="3"/>
  <c r="AH94" i="3"/>
  <c r="AH95" i="3"/>
  <c r="AH96" i="3"/>
  <c r="AH97" i="3"/>
  <c r="AH98" i="3"/>
  <c r="AH99" i="3"/>
  <c r="AH107" i="3"/>
  <c r="AH110" i="3"/>
  <c r="AH112" i="3"/>
  <c r="AH116" i="3"/>
  <c r="AH118" i="3"/>
  <c r="AH119" i="3"/>
  <c r="AH120" i="3"/>
  <c r="AH121" i="3"/>
  <c r="AH122" i="3"/>
  <c r="AH123" i="3"/>
  <c r="AH124" i="3"/>
  <c r="AH125" i="3"/>
  <c r="AH126" i="3"/>
  <c r="AH127" i="3"/>
  <c r="AH128" i="3"/>
  <c r="AH129" i="3"/>
  <c r="AH130" i="3"/>
  <c r="AH131" i="3"/>
  <c r="AH132" i="3"/>
  <c r="AH133" i="3"/>
  <c r="AH134" i="3"/>
  <c r="AH135" i="3"/>
  <c r="AH136" i="3"/>
  <c r="AH137" i="3"/>
  <c r="AH138" i="3"/>
  <c r="AH139" i="3"/>
  <c r="AH140" i="3"/>
  <c r="AH142" i="3"/>
  <c r="AH143" i="3"/>
  <c r="AH144" i="3"/>
  <c r="AH145" i="3"/>
  <c r="AH146" i="3"/>
  <c r="AH147" i="3"/>
  <c r="AH148" i="3"/>
  <c r="AH149" i="3"/>
  <c r="AH151" i="3"/>
  <c r="AH153" i="3"/>
  <c r="AH154" i="3"/>
  <c r="AH155" i="3"/>
  <c r="AH156" i="3"/>
  <c r="AH157" i="3"/>
  <c r="AH158" i="3"/>
  <c r="AH159" i="3"/>
  <c r="AH160" i="3"/>
  <c r="AH161" i="3"/>
  <c r="AH162" i="3"/>
  <c r="AH163" i="3"/>
  <c r="AH164" i="3"/>
  <c r="AH165" i="3"/>
  <c r="AH166" i="3"/>
  <c r="AH167" i="3"/>
  <c r="AH168" i="3"/>
  <c r="AH169" i="3"/>
  <c r="AH170" i="3"/>
  <c r="AH172" i="3"/>
  <c r="AH173" i="3"/>
  <c r="AH174" i="3"/>
  <c r="AH175" i="3"/>
  <c r="AH176" i="3"/>
  <c r="AH177" i="3"/>
  <c r="AH178" i="3"/>
  <c r="AH179" i="3"/>
  <c r="AH180" i="3"/>
  <c r="AH181" i="3"/>
  <c r="AH182" i="3"/>
  <c r="AH183" i="3"/>
  <c r="AH185" i="3"/>
  <c r="AH186" i="3"/>
  <c r="AH187" i="3"/>
  <c r="AH189" i="3"/>
  <c r="AH190" i="3"/>
  <c r="AH192" i="3"/>
  <c r="AH194" i="3"/>
  <c r="AH196" i="3"/>
  <c r="AH197" i="3"/>
  <c r="AH200" i="3"/>
  <c r="AH202" i="3"/>
  <c r="AH203" i="3"/>
  <c r="AH204" i="3"/>
  <c r="AH205" i="3"/>
  <c r="AH207" i="3"/>
  <c r="AH208" i="3"/>
  <c r="AH209" i="3"/>
  <c r="AH211" i="3"/>
  <c r="AH212" i="3"/>
  <c r="AH214" i="3"/>
  <c r="AH216" i="3"/>
  <c r="AH217" i="3"/>
  <c r="AH218" i="3"/>
  <c r="AH219" i="3"/>
  <c r="AH221" i="3"/>
  <c r="AH223" i="3"/>
  <c r="AH224" i="3"/>
  <c r="AH225" i="3"/>
  <c r="AH226" i="3"/>
  <c r="AH228" i="3"/>
  <c r="AH229" i="3"/>
  <c r="AH230" i="3"/>
  <c r="AH231" i="3"/>
  <c r="AH232" i="3"/>
  <c r="AH234" i="3"/>
  <c r="AH235" i="3"/>
  <c r="AH236" i="3"/>
  <c r="AH237" i="3"/>
  <c r="AH238" i="3"/>
  <c r="AH239" i="3"/>
  <c r="AH240" i="3"/>
  <c r="AH241" i="3"/>
  <c r="AH242" i="3"/>
  <c r="AH244" i="3"/>
  <c r="AH246" i="3"/>
  <c r="AH248" i="3"/>
  <c r="AH247" i="3"/>
  <c r="AH249" i="3"/>
  <c r="AH250" i="3"/>
  <c r="AH251" i="3"/>
  <c r="AH252" i="3"/>
  <c r="AH253" i="3"/>
  <c r="AH254" i="3"/>
  <c r="AH255" i="3"/>
  <c r="AH256" i="3"/>
  <c r="AH257" i="3"/>
  <c r="AH258" i="3"/>
  <c r="AH261" i="3"/>
  <c r="AH262" i="3"/>
  <c r="AH264" i="3"/>
  <c r="AH265" i="3"/>
  <c r="AH266" i="3"/>
  <c r="AH267" i="3"/>
  <c r="AH268" i="3"/>
  <c r="AH269" i="3"/>
  <c r="AH271" i="3"/>
  <c r="AH273" i="3"/>
  <c r="AH274" i="3"/>
  <c r="AH276" i="3"/>
  <c r="AH280" i="3"/>
  <c r="AH282" i="3"/>
  <c r="AH284" i="3"/>
  <c r="AH285" i="3"/>
  <c r="AH287" i="3"/>
  <c r="AH288" i="3"/>
  <c r="AH289" i="3"/>
  <c r="AH290" i="3"/>
  <c r="AH292" i="3"/>
  <c r="AH293" i="3"/>
  <c r="AH294" i="3"/>
  <c r="AH295" i="3"/>
  <c r="AH296" i="3"/>
  <c r="AH297" i="3"/>
  <c r="AH298" i="3"/>
  <c r="AH299" i="3"/>
  <c r="AH300" i="3"/>
  <c r="AH301" i="3"/>
  <c r="AH302" i="3"/>
  <c r="AH303" i="3"/>
  <c r="AH304" i="3"/>
  <c r="AH305" i="3"/>
  <c r="AH306" i="3"/>
  <c r="AH307" i="3"/>
  <c r="AH308" i="3"/>
  <c r="AH309" i="3"/>
  <c r="AH310" i="3"/>
  <c r="AH311" i="3"/>
  <c r="AH312" i="3"/>
  <c r="AH313" i="3"/>
  <c r="AH314" i="3"/>
  <c r="AH315" i="3"/>
  <c r="AH316" i="3"/>
  <c r="AH317" i="3"/>
  <c r="AH318" i="3"/>
  <c r="AH319" i="3"/>
  <c r="AH320" i="3"/>
  <c r="AH321" i="3"/>
  <c r="AH325" i="3"/>
  <c r="AH326" i="3"/>
  <c r="AH328" i="3"/>
  <c r="AH331" i="3"/>
  <c r="AH332" i="3"/>
  <c r="AH333" i="3"/>
  <c r="AH334" i="3"/>
  <c r="AH335" i="3"/>
  <c r="AH336" i="3"/>
  <c r="AH337" i="3"/>
  <c r="AH338" i="3"/>
  <c r="AH339" i="3"/>
  <c r="AH340" i="3"/>
  <c r="AH341" i="3"/>
  <c r="AH342" i="3"/>
  <c r="AH343" i="3"/>
  <c r="E332" i="8"/>
  <c r="D332" i="8"/>
  <c r="B332" i="8"/>
  <c r="A332" i="8"/>
  <c r="E331" i="8"/>
  <c r="D331" i="8"/>
  <c r="B331" i="8"/>
  <c r="A331" i="8"/>
  <c r="E330" i="8"/>
  <c r="D330" i="8"/>
  <c r="B330" i="8"/>
  <c r="A330" i="8"/>
  <c r="E329" i="8"/>
  <c r="D329" i="8"/>
  <c r="B329" i="8"/>
  <c r="A329" i="8"/>
  <c r="E328" i="8"/>
  <c r="D328" i="8"/>
  <c r="B328" i="8"/>
  <c r="A328" i="8"/>
  <c r="E327" i="8"/>
  <c r="D327" i="8"/>
  <c r="B327" i="8"/>
  <c r="A327" i="8"/>
  <c r="E326" i="8"/>
  <c r="D326" i="8"/>
  <c r="B326" i="8"/>
  <c r="A326" i="8"/>
  <c r="E325" i="8"/>
  <c r="D325" i="8"/>
  <c r="B325" i="8"/>
  <c r="A325" i="8"/>
  <c r="E324" i="8"/>
  <c r="D324" i="8"/>
  <c r="B324" i="8"/>
  <c r="A324" i="8"/>
  <c r="E323" i="8"/>
  <c r="D323" i="8"/>
  <c r="B323" i="8"/>
  <c r="A323" i="8"/>
  <c r="AG199" i="3" l="1"/>
  <c r="AG6" i="3"/>
  <c r="AG233" i="3"/>
  <c r="AG227" i="3"/>
  <c r="AG171" i="3"/>
  <c r="AG104" i="3"/>
  <c r="AG100" i="3"/>
  <c r="AG101" i="3"/>
  <c r="AG103" i="3"/>
  <c r="AG102" i="3"/>
  <c r="AG105" i="3"/>
  <c r="AG106" i="3"/>
  <c r="AG270" i="3"/>
  <c r="AG108" i="3"/>
  <c r="AG188" i="3"/>
  <c r="AG215" i="3"/>
  <c r="AG220" i="3"/>
  <c r="AG193" i="3"/>
  <c r="AG213" i="3"/>
  <c r="AG201" i="3"/>
  <c r="AG184" i="3"/>
  <c r="AG191" i="3"/>
  <c r="AG195" i="3"/>
  <c r="AG206" i="3"/>
  <c r="AG198" i="3"/>
  <c r="AG210" i="3"/>
  <c r="AG327" i="3"/>
  <c r="AG322" i="3"/>
  <c r="AG323" i="3"/>
  <c r="AG324" i="3"/>
  <c r="AG330" i="3"/>
  <c r="AG329" i="3"/>
  <c r="AG15" i="3"/>
  <c r="AG16" i="3"/>
  <c r="AG222" i="3"/>
  <c r="AG117" i="3"/>
  <c r="AG272" i="3"/>
  <c r="AG283" i="3"/>
  <c r="AG279" i="3"/>
  <c r="AG281" i="3"/>
  <c r="AG275" i="3"/>
  <c r="AG286" i="3"/>
  <c r="AG277" i="3"/>
  <c r="AG278" i="3"/>
  <c r="AG243" i="3"/>
  <c r="AG245" i="3"/>
  <c r="AG152" i="3"/>
  <c r="AG141" i="3"/>
  <c r="AG260" i="3"/>
  <c r="AG113" i="3"/>
  <c r="AG115" i="3"/>
  <c r="AG114" i="3"/>
  <c r="AG263" i="3"/>
  <c r="AG109" i="3"/>
  <c r="AG111" i="3"/>
  <c r="AG93" i="3"/>
  <c r="AG259" i="3"/>
  <c r="AG26" i="3"/>
  <c r="AG291" i="3"/>
  <c r="AG5" i="3"/>
  <c r="AG4" i="3"/>
  <c r="AG7" i="3"/>
  <c r="AG8" i="3"/>
  <c r="AG9" i="3"/>
  <c r="AG10" i="3"/>
  <c r="AG11" i="3"/>
  <c r="AG12" i="3"/>
  <c r="AG13" i="3"/>
  <c r="AG14" i="3"/>
  <c r="AG17" i="3"/>
  <c r="AG18" i="3"/>
  <c r="AG19" i="3"/>
  <c r="AG20" i="3"/>
  <c r="AG21" i="3"/>
  <c r="AG22" i="3"/>
  <c r="AG23" i="3"/>
  <c r="AG24" i="3"/>
  <c r="AG25"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7" i="3"/>
  <c r="AG78" i="3"/>
  <c r="AG79" i="3"/>
  <c r="AG80" i="3"/>
  <c r="AG81" i="3"/>
  <c r="AG82" i="3"/>
  <c r="AG83" i="3"/>
  <c r="AG84" i="3"/>
  <c r="AG85" i="3"/>
  <c r="AG86" i="3"/>
  <c r="AG87" i="3"/>
  <c r="AG88" i="3"/>
  <c r="AG89" i="3"/>
  <c r="AG90" i="3"/>
  <c r="AG91" i="3"/>
  <c r="AG92" i="3"/>
  <c r="AG94" i="3"/>
  <c r="AG95" i="3"/>
  <c r="AG96" i="3"/>
  <c r="AG97" i="3"/>
  <c r="AG98" i="3"/>
  <c r="AG99" i="3"/>
  <c r="AG107" i="3"/>
  <c r="AG110" i="3"/>
  <c r="AG112" i="3"/>
  <c r="AG116" i="3"/>
  <c r="AG118" i="3"/>
  <c r="AG119" i="3"/>
  <c r="AG120" i="3"/>
  <c r="AG121" i="3"/>
  <c r="AG122" i="3"/>
  <c r="AG123" i="3"/>
  <c r="AG124" i="3"/>
  <c r="AG125" i="3"/>
  <c r="AG126" i="3"/>
  <c r="AG127" i="3"/>
  <c r="AG128" i="3"/>
  <c r="AG129" i="3"/>
  <c r="AG130" i="3"/>
  <c r="AG131" i="3"/>
  <c r="AG132" i="3"/>
  <c r="AG133" i="3"/>
  <c r="AG134" i="3"/>
  <c r="AG135" i="3"/>
  <c r="AG136" i="3"/>
  <c r="AG137" i="3"/>
  <c r="AG138" i="3"/>
  <c r="AG139" i="3"/>
  <c r="AG140" i="3"/>
  <c r="AG142" i="3"/>
  <c r="AG143" i="3"/>
  <c r="AG144" i="3"/>
  <c r="AG145" i="3"/>
  <c r="AG146" i="3"/>
  <c r="AG147" i="3"/>
  <c r="AG148" i="3"/>
  <c r="AG149" i="3"/>
  <c r="AG151" i="3"/>
  <c r="AG153" i="3"/>
  <c r="AG154" i="3"/>
  <c r="AG155" i="3"/>
  <c r="AG156" i="3"/>
  <c r="AG157" i="3"/>
  <c r="AG158" i="3"/>
  <c r="AG159" i="3"/>
  <c r="AG160" i="3"/>
  <c r="AG161" i="3"/>
  <c r="AG162" i="3"/>
  <c r="AG163" i="3"/>
  <c r="AG164" i="3"/>
  <c r="AG165" i="3"/>
  <c r="AG166" i="3"/>
  <c r="AG167" i="3"/>
  <c r="AG168" i="3"/>
  <c r="AG169" i="3"/>
  <c r="AG170" i="3"/>
  <c r="AG172" i="3"/>
  <c r="AG173" i="3"/>
  <c r="AG174" i="3"/>
  <c r="AG175" i="3"/>
  <c r="AG176" i="3"/>
  <c r="AG177" i="3"/>
  <c r="AG178" i="3"/>
  <c r="AG179" i="3"/>
  <c r="AG180" i="3"/>
  <c r="AG181" i="3"/>
  <c r="AG182" i="3"/>
  <c r="AG183" i="3"/>
  <c r="AG185" i="3"/>
  <c r="AG186" i="3"/>
  <c r="AG187" i="3"/>
  <c r="AG189" i="3"/>
  <c r="AG190" i="3"/>
  <c r="AG192" i="3"/>
  <c r="AG194" i="3"/>
  <c r="AG196" i="3"/>
  <c r="AG197" i="3"/>
  <c r="AG200" i="3"/>
  <c r="AG202" i="3"/>
  <c r="AG203" i="3"/>
  <c r="AG204" i="3"/>
  <c r="AG205" i="3"/>
  <c r="AG207" i="3"/>
  <c r="AG208" i="3"/>
  <c r="AG209" i="3"/>
  <c r="AG211" i="3"/>
  <c r="AG212" i="3"/>
  <c r="AG214" i="3"/>
  <c r="AG216" i="3"/>
  <c r="AG217" i="3"/>
  <c r="AG218" i="3"/>
  <c r="AG219" i="3"/>
  <c r="AG221" i="3"/>
  <c r="AG223" i="3"/>
  <c r="AG224" i="3"/>
  <c r="AG225" i="3"/>
  <c r="AG226" i="3"/>
  <c r="AG228" i="3"/>
  <c r="AG229" i="3"/>
  <c r="AG230" i="3"/>
  <c r="AG231" i="3"/>
  <c r="AG232" i="3"/>
  <c r="AG234" i="3"/>
  <c r="AG235" i="3"/>
  <c r="AG236" i="3"/>
  <c r="AG237" i="3"/>
  <c r="AG238" i="3"/>
  <c r="AG239" i="3"/>
  <c r="AG240" i="3"/>
  <c r="AG241" i="3"/>
  <c r="AG242" i="3"/>
  <c r="AG244" i="3"/>
  <c r="AG246" i="3"/>
  <c r="AG248" i="3"/>
  <c r="AG247" i="3"/>
  <c r="AG249" i="3"/>
  <c r="AG250" i="3"/>
  <c r="AG251" i="3"/>
  <c r="AG252" i="3"/>
  <c r="AG253" i="3"/>
  <c r="AG254" i="3"/>
  <c r="AG255" i="3"/>
  <c r="AG256" i="3"/>
  <c r="AG257" i="3"/>
  <c r="AG258" i="3"/>
  <c r="AG261" i="3"/>
  <c r="AG262" i="3"/>
  <c r="AG264" i="3"/>
  <c r="AG265" i="3"/>
  <c r="AG266" i="3"/>
  <c r="AG267" i="3"/>
  <c r="AG268" i="3"/>
  <c r="AG269" i="3"/>
  <c r="AG271" i="3"/>
  <c r="AG273" i="3"/>
  <c r="AG274" i="3"/>
  <c r="AG276" i="3"/>
  <c r="AG280" i="3"/>
  <c r="AG282" i="3"/>
  <c r="AG284" i="3"/>
  <c r="AG285" i="3"/>
  <c r="AG287" i="3"/>
  <c r="AG288" i="3"/>
  <c r="AG289" i="3"/>
  <c r="AG290" i="3"/>
  <c r="AG292" i="3"/>
  <c r="AG293" i="3"/>
  <c r="AG294" i="3"/>
  <c r="AG295" i="3"/>
  <c r="AG296" i="3"/>
  <c r="AG297" i="3"/>
  <c r="AG298" i="3"/>
  <c r="AG299" i="3"/>
  <c r="AG300" i="3"/>
  <c r="AG301" i="3"/>
  <c r="AG302" i="3"/>
  <c r="AG303" i="3"/>
  <c r="AG304" i="3"/>
  <c r="AG305" i="3"/>
  <c r="AG306" i="3"/>
  <c r="AG307" i="3"/>
  <c r="AG308" i="3"/>
  <c r="AG309" i="3"/>
  <c r="AG310" i="3"/>
  <c r="AG311" i="3"/>
  <c r="AG312" i="3"/>
  <c r="AG313" i="3"/>
  <c r="AG314" i="3"/>
  <c r="AG315" i="3"/>
  <c r="AG316" i="3"/>
  <c r="AG317" i="3"/>
  <c r="AG318" i="3"/>
  <c r="AG319" i="3"/>
  <c r="AG320" i="3"/>
  <c r="AG321" i="3"/>
  <c r="AG325" i="3"/>
  <c r="AG326" i="3"/>
  <c r="AG328" i="3"/>
  <c r="AG331" i="3"/>
  <c r="AG332" i="3"/>
  <c r="AG333" i="3"/>
  <c r="AG334" i="3"/>
  <c r="AG335" i="3"/>
  <c r="AG336" i="3"/>
  <c r="AG337" i="3"/>
  <c r="AG338" i="3"/>
  <c r="AG339" i="3"/>
  <c r="AG340" i="3"/>
  <c r="AG341" i="3"/>
  <c r="AG342" i="3"/>
  <c r="AG343" i="3"/>
  <c r="E319" i="8"/>
  <c r="D319" i="8"/>
  <c r="B319" i="8"/>
  <c r="A319" i="8"/>
  <c r="E318" i="8"/>
  <c r="D318" i="8"/>
  <c r="B318" i="8"/>
  <c r="A318" i="8"/>
  <c r="E317" i="8"/>
  <c r="D317" i="8"/>
  <c r="B317" i="8"/>
  <c r="A317" i="8"/>
  <c r="E316" i="8"/>
  <c r="D316" i="8"/>
  <c r="B316" i="8"/>
  <c r="A316" i="8"/>
  <c r="E315" i="8"/>
  <c r="D315" i="8"/>
  <c r="B315" i="8"/>
  <c r="A315" i="8"/>
  <c r="E314" i="8"/>
  <c r="D314" i="8"/>
  <c r="B314" i="8"/>
  <c r="A314" i="8"/>
  <c r="E313" i="8"/>
  <c r="D313" i="8"/>
  <c r="B313" i="8"/>
  <c r="A313" i="8"/>
  <c r="E312" i="8"/>
  <c r="D312" i="8"/>
  <c r="B312" i="8"/>
  <c r="A312" i="8"/>
  <c r="E311" i="8"/>
  <c r="D311" i="8"/>
  <c r="B311" i="8"/>
  <c r="A311" i="8"/>
  <c r="E310" i="8"/>
  <c r="D310" i="8"/>
  <c r="B310" i="8"/>
  <c r="A310" i="8"/>
  <c r="AF199" i="3" l="1"/>
  <c r="AF6" i="3"/>
  <c r="AF233" i="3"/>
  <c r="AF227" i="3"/>
  <c r="AF171" i="3"/>
  <c r="AF100" i="3"/>
  <c r="AF104" i="3"/>
  <c r="AF101" i="3"/>
  <c r="AF105" i="3"/>
  <c r="AF103" i="3"/>
  <c r="AF102" i="3"/>
  <c r="AF106" i="3"/>
  <c r="AF270" i="3"/>
  <c r="AF108" i="3"/>
  <c r="AF195" i="3"/>
  <c r="AF206" i="3"/>
  <c r="AF184" i="3"/>
  <c r="AF213" i="3"/>
  <c r="AF188" i="3"/>
  <c r="AF215" i="3"/>
  <c r="AF191" i="3"/>
  <c r="AF220" i="3"/>
  <c r="AF193" i="3"/>
  <c r="AF201" i="3"/>
  <c r="AF210" i="3"/>
  <c r="AF198" i="3"/>
  <c r="AF327" i="3"/>
  <c r="AF322" i="3"/>
  <c r="AF324" i="3"/>
  <c r="AF323" i="3"/>
  <c r="AF329" i="3"/>
  <c r="AF330" i="3"/>
  <c r="AF222" i="3"/>
  <c r="AF15" i="3"/>
  <c r="AF16" i="3"/>
  <c r="AF117" i="3"/>
  <c r="AF272" i="3"/>
  <c r="AF283" i="3"/>
  <c r="AF275" i="3"/>
  <c r="AF277" i="3"/>
  <c r="AF286" i="3"/>
  <c r="AF278" i="3"/>
  <c r="AF279" i="3"/>
  <c r="AF281" i="3"/>
  <c r="AF245" i="3"/>
  <c r="AF243" i="3"/>
  <c r="AF152" i="3"/>
  <c r="AF141" i="3"/>
  <c r="AF113" i="3"/>
  <c r="AF115" i="3"/>
  <c r="AF114" i="3"/>
  <c r="AF111" i="3"/>
  <c r="AF109" i="3"/>
  <c r="AF263" i="3"/>
  <c r="AF260" i="3"/>
  <c r="AF93" i="3"/>
  <c r="AF259" i="3"/>
  <c r="AF26" i="3"/>
  <c r="AF291" i="3"/>
  <c r="AF5" i="3"/>
  <c r="AF4" i="3"/>
  <c r="AF7" i="3"/>
  <c r="AF8" i="3"/>
  <c r="AF9" i="3"/>
  <c r="AF10" i="3"/>
  <c r="AF11" i="3"/>
  <c r="AF12" i="3"/>
  <c r="AF13" i="3"/>
  <c r="AF14" i="3"/>
  <c r="AF17" i="3"/>
  <c r="AF18" i="3"/>
  <c r="AF19" i="3"/>
  <c r="AF20" i="3"/>
  <c r="AF21" i="3"/>
  <c r="AF22" i="3"/>
  <c r="AF23" i="3"/>
  <c r="AF24" i="3"/>
  <c r="AF25"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7" i="3"/>
  <c r="AF78" i="3"/>
  <c r="AF79" i="3"/>
  <c r="AF80" i="3"/>
  <c r="AF81" i="3"/>
  <c r="AF82" i="3"/>
  <c r="AF83" i="3"/>
  <c r="AF84" i="3"/>
  <c r="AF85" i="3"/>
  <c r="AF86" i="3"/>
  <c r="AF87" i="3"/>
  <c r="AF88" i="3"/>
  <c r="AF89" i="3"/>
  <c r="AF90" i="3"/>
  <c r="AF91" i="3"/>
  <c r="AF92" i="3"/>
  <c r="AF94" i="3"/>
  <c r="AF95" i="3"/>
  <c r="AF96" i="3"/>
  <c r="AF97" i="3"/>
  <c r="AF98" i="3"/>
  <c r="AF99" i="3"/>
  <c r="AF107" i="3"/>
  <c r="AF110" i="3"/>
  <c r="AF112" i="3"/>
  <c r="AF116" i="3"/>
  <c r="AF118" i="3"/>
  <c r="AF119" i="3"/>
  <c r="AF120" i="3"/>
  <c r="AF121" i="3"/>
  <c r="AF122" i="3"/>
  <c r="AF123" i="3"/>
  <c r="AF124" i="3"/>
  <c r="AF125" i="3"/>
  <c r="AF126" i="3"/>
  <c r="AF127" i="3"/>
  <c r="AF128" i="3"/>
  <c r="AF129" i="3"/>
  <c r="AF130" i="3"/>
  <c r="AF131" i="3"/>
  <c r="AF132" i="3"/>
  <c r="AF133" i="3"/>
  <c r="AF134" i="3"/>
  <c r="AF135" i="3"/>
  <c r="AF136" i="3"/>
  <c r="AF137" i="3"/>
  <c r="AF138" i="3"/>
  <c r="AF139" i="3"/>
  <c r="AF140" i="3"/>
  <c r="AF142" i="3"/>
  <c r="AF143" i="3"/>
  <c r="AF144" i="3"/>
  <c r="AF145" i="3"/>
  <c r="AF146" i="3"/>
  <c r="AF147" i="3"/>
  <c r="AF148" i="3"/>
  <c r="AF149" i="3"/>
  <c r="AF151" i="3"/>
  <c r="AF153" i="3"/>
  <c r="AF154" i="3"/>
  <c r="AF155" i="3"/>
  <c r="AF156" i="3"/>
  <c r="AF157" i="3"/>
  <c r="AF158" i="3"/>
  <c r="AF159" i="3"/>
  <c r="AF160" i="3"/>
  <c r="AF161" i="3"/>
  <c r="AF162" i="3"/>
  <c r="AF163" i="3"/>
  <c r="AF164" i="3"/>
  <c r="AF165" i="3"/>
  <c r="AF166" i="3"/>
  <c r="AF167" i="3"/>
  <c r="AF168" i="3"/>
  <c r="AF169" i="3"/>
  <c r="AF170" i="3"/>
  <c r="AF172" i="3"/>
  <c r="AF173" i="3"/>
  <c r="AF174" i="3"/>
  <c r="AF175" i="3"/>
  <c r="AF176" i="3"/>
  <c r="AF177" i="3"/>
  <c r="AF178" i="3"/>
  <c r="AF179" i="3"/>
  <c r="AF180" i="3"/>
  <c r="AF181" i="3"/>
  <c r="AF182" i="3"/>
  <c r="AF183" i="3"/>
  <c r="AF185" i="3"/>
  <c r="AF186" i="3"/>
  <c r="AF187" i="3"/>
  <c r="AF189" i="3"/>
  <c r="AF190" i="3"/>
  <c r="AF192" i="3"/>
  <c r="AF194" i="3"/>
  <c r="AF196" i="3"/>
  <c r="AF197" i="3"/>
  <c r="AF200" i="3"/>
  <c r="AF202" i="3"/>
  <c r="AF203" i="3"/>
  <c r="AF204" i="3"/>
  <c r="AF205" i="3"/>
  <c r="AF207" i="3"/>
  <c r="AF208" i="3"/>
  <c r="AF209" i="3"/>
  <c r="AF211" i="3"/>
  <c r="AF212" i="3"/>
  <c r="AF214" i="3"/>
  <c r="AF216" i="3"/>
  <c r="AF217" i="3"/>
  <c r="AF218" i="3"/>
  <c r="AF219" i="3"/>
  <c r="AF221" i="3"/>
  <c r="AF223" i="3"/>
  <c r="AF224" i="3"/>
  <c r="AF225" i="3"/>
  <c r="AF226" i="3"/>
  <c r="AF228" i="3"/>
  <c r="AF229" i="3"/>
  <c r="AF230" i="3"/>
  <c r="AF231" i="3"/>
  <c r="AF232" i="3"/>
  <c r="AF234" i="3"/>
  <c r="AF235" i="3"/>
  <c r="AF236" i="3"/>
  <c r="AF237" i="3"/>
  <c r="AF238" i="3"/>
  <c r="AF239" i="3"/>
  <c r="AF240" i="3"/>
  <c r="AF241" i="3"/>
  <c r="AF242" i="3"/>
  <c r="AF244" i="3"/>
  <c r="AF246" i="3"/>
  <c r="AF248" i="3"/>
  <c r="AF247" i="3"/>
  <c r="AF249" i="3"/>
  <c r="AF250" i="3"/>
  <c r="AF251" i="3"/>
  <c r="AF252" i="3"/>
  <c r="AF253" i="3"/>
  <c r="AF254" i="3"/>
  <c r="AF255" i="3"/>
  <c r="AF256" i="3"/>
  <c r="AF257" i="3"/>
  <c r="AF258" i="3"/>
  <c r="AF261" i="3"/>
  <c r="AF262" i="3"/>
  <c r="AF264" i="3"/>
  <c r="AF265" i="3"/>
  <c r="AF266" i="3"/>
  <c r="AF267" i="3"/>
  <c r="AF268" i="3"/>
  <c r="AF269" i="3"/>
  <c r="AF271" i="3"/>
  <c r="AF273" i="3"/>
  <c r="AF274" i="3"/>
  <c r="AF276" i="3"/>
  <c r="AF280" i="3"/>
  <c r="AF282" i="3"/>
  <c r="AF284" i="3"/>
  <c r="AF285" i="3"/>
  <c r="AF287" i="3"/>
  <c r="AF288" i="3"/>
  <c r="AF289" i="3"/>
  <c r="AF290" i="3"/>
  <c r="AF292" i="3"/>
  <c r="AF293" i="3"/>
  <c r="AF294" i="3"/>
  <c r="AF295" i="3"/>
  <c r="AF296" i="3"/>
  <c r="AF297" i="3"/>
  <c r="AF298" i="3"/>
  <c r="AF299" i="3"/>
  <c r="AF300" i="3"/>
  <c r="AF301" i="3"/>
  <c r="AF302" i="3"/>
  <c r="AF303" i="3"/>
  <c r="AF304" i="3"/>
  <c r="AF305" i="3"/>
  <c r="AF306" i="3"/>
  <c r="AF307" i="3"/>
  <c r="AF308" i="3"/>
  <c r="AF309" i="3"/>
  <c r="AF310" i="3"/>
  <c r="AF311" i="3"/>
  <c r="AF312" i="3"/>
  <c r="AF313" i="3"/>
  <c r="AF314" i="3"/>
  <c r="AF315" i="3"/>
  <c r="AF316" i="3"/>
  <c r="AF317" i="3"/>
  <c r="AF318" i="3"/>
  <c r="AF319" i="3"/>
  <c r="AF320" i="3"/>
  <c r="AF321" i="3"/>
  <c r="AF325" i="3"/>
  <c r="AF326" i="3"/>
  <c r="AF328" i="3"/>
  <c r="AF331" i="3"/>
  <c r="AF332" i="3"/>
  <c r="AF333" i="3"/>
  <c r="AF334" i="3"/>
  <c r="AF335" i="3"/>
  <c r="AF336" i="3"/>
  <c r="AF337" i="3"/>
  <c r="AF338" i="3"/>
  <c r="AF339" i="3"/>
  <c r="AF340" i="3"/>
  <c r="AF341" i="3"/>
  <c r="AF342" i="3"/>
  <c r="AF343" i="3"/>
  <c r="E307" i="8"/>
  <c r="D307" i="8"/>
  <c r="B307" i="8"/>
  <c r="A307" i="8"/>
  <c r="E306" i="8"/>
  <c r="D306" i="8"/>
  <c r="B306" i="8"/>
  <c r="A306" i="8"/>
  <c r="E305" i="8"/>
  <c r="D305" i="8"/>
  <c r="B305" i="8"/>
  <c r="A305" i="8"/>
  <c r="E304" i="8"/>
  <c r="D304" i="8"/>
  <c r="B304" i="8"/>
  <c r="A304" i="8"/>
  <c r="E303" i="8"/>
  <c r="D303" i="8"/>
  <c r="B303" i="8"/>
  <c r="A303" i="8"/>
  <c r="E302" i="8"/>
  <c r="D302" i="8"/>
  <c r="B302" i="8"/>
  <c r="A302" i="8"/>
  <c r="E301" i="8"/>
  <c r="D301" i="8"/>
  <c r="B301" i="8"/>
  <c r="A301" i="8"/>
  <c r="E300" i="8"/>
  <c r="D300" i="8"/>
  <c r="B300" i="8"/>
  <c r="A300" i="8"/>
  <c r="E299" i="8"/>
  <c r="D299" i="8"/>
  <c r="B299" i="8"/>
  <c r="A299" i="8"/>
  <c r="E298" i="8"/>
  <c r="D298" i="8"/>
  <c r="B298" i="8"/>
  <c r="A298" i="8"/>
  <c r="A285" i="8"/>
  <c r="B285" i="8"/>
  <c r="D285" i="8"/>
  <c r="E285" i="8"/>
  <c r="AE6" i="3" l="1"/>
  <c r="AE199" i="3"/>
  <c r="AE233" i="3"/>
  <c r="AE227" i="3"/>
  <c r="AE171" i="3"/>
  <c r="AE104" i="3"/>
  <c r="AE103" i="3"/>
  <c r="AE100" i="3"/>
  <c r="AE101" i="3"/>
  <c r="AE102" i="3"/>
  <c r="AE105" i="3"/>
  <c r="AE270" i="3"/>
  <c r="AE106" i="3"/>
  <c r="AE108" i="3"/>
  <c r="AE193" i="3"/>
  <c r="AE201" i="3"/>
  <c r="AE195" i="3"/>
  <c r="AE206" i="3"/>
  <c r="AE191" i="3"/>
  <c r="AE198" i="3"/>
  <c r="AE210" i="3"/>
  <c r="AE184" i="3"/>
  <c r="AE213" i="3"/>
  <c r="AE188" i="3"/>
  <c r="AE215" i="3"/>
  <c r="AE220" i="3"/>
  <c r="AE322" i="3"/>
  <c r="AE330" i="3"/>
  <c r="AE329" i="3"/>
  <c r="AE327" i="3"/>
  <c r="AE324" i="3"/>
  <c r="AE323" i="3"/>
  <c r="AE16" i="3"/>
  <c r="AE222" i="3"/>
  <c r="AE15" i="3"/>
  <c r="AE117" i="3"/>
  <c r="AE272" i="3"/>
  <c r="AE275" i="3"/>
  <c r="AE277" i="3"/>
  <c r="AE281" i="3"/>
  <c r="AE278" i="3"/>
  <c r="AE283" i="3"/>
  <c r="AE279" i="3"/>
  <c r="AE286" i="3"/>
  <c r="AE245" i="3"/>
  <c r="AE243" i="3"/>
  <c r="AE152" i="3"/>
  <c r="AE141" i="3"/>
  <c r="AE115" i="3"/>
  <c r="AE114" i="3"/>
  <c r="AE263" i="3"/>
  <c r="AE109" i="3"/>
  <c r="AE260" i="3"/>
  <c r="AE111" i="3"/>
  <c r="AE113" i="3"/>
  <c r="AE93" i="3"/>
  <c r="AE259" i="3"/>
  <c r="AE26" i="3"/>
  <c r="AE291" i="3"/>
  <c r="AE5" i="3"/>
  <c r="AE10" i="3"/>
  <c r="AE18" i="3"/>
  <c r="AE27" i="3"/>
  <c r="AE35" i="3"/>
  <c r="AE43" i="3"/>
  <c r="AE51" i="3"/>
  <c r="AE59" i="3"/>
  <c r="AE67" i="3"/>
  <c r="AE75" i="3"/>
  <c r="AE84" i="3"/>
  <c r="AE92" i="3"/>
  <c r="AE107" i="3"/>
  <c r="AE119" i="3"/>
  <c r="AE127" i="3"/>
  <c r="AE135" i="3"/>
  <c r="AE144" i="3"/>
  <c r="AE154" i="3"/>
  <c r="AE162" i="3"/>
  <c r="AE169" i="3"/>
  <c r="AE178" i="3"/>
  <c r="AE185" i="3"/>
  <c r="AE197" i="3"/>
  <c r="AE209" i="3"/>
  <c r="AE221" i="3"/>
  <c r="AE230" i="3"/>
  <c r="AE239" i="3"/>
  <c r="AE249" i="3"/>
  <c r="AE257" i="3"/>
  <c r="AE267" i="3"/>
  <c r="AE280" i="3"/>
  <c r="AE290" i="3"/>
  <c r="AE299" i="3"/>
  <c r="AE307" i="3"/>
  <c r="AE315" i="3"/>
  <c r="AE326" i="3"/>
  <c r="AE336" i="3"/>
  <c r="AE308" i="3"/>
  <c r="AE316" i="3"/>
  <c r="AE328" i="3"/>
  <c r="AE337" i="3"/>
  <c r="AE99" i="3"/>
  <c r="AE11" i="3"/>
  <c r="AE19" i="3"/>
  <c r="AE28" i="3"/>
  <c r="AE36" i="3"/>
  <c r="AE44" i="3"/>
  <c r="AE52" i="3"/>
  <c r="AE60" i="3"/>
  <c r="AE68" i="3"/>
  <c r="AE77" i="3"/>
  <c r="AE85" i="3"/>
  <c r="AE94" i="3"/>
  <c r="AE110" i="3"/>
  <c r="AE120" i="3"/>
  <c r="AE128" i="3"/>
  <c r="AE136" i="3"/>
  <c r="AE145" i="3"/>
  <c r="AE155" i="3"/>
  <c r="AE163" i="3"/>
  <c r="AE170" i="3"/>
  <c r="AE179" i="3"/>
  <c r="AE186" i="3"/>
  <c r="AE200" i="3"/>
  <c r="AE211" i="3"/>
  <c r="AE223" i="3"/>
  <c r="AE231" i="3"/>
  <c r="AE240" i="3"/>
  <c r="AE250" i="3"/>
  <c r="AE258" i="3"/>
  <c r="AE268" i="3"/>
  <c r="AE282" i="3"/>
  <c r="AE292" i="3"/>
  <c r="AE300" i="3"/>
  <c r="AE134" i="3"/>
  <c r="AE298" i="3"/>
  <c r="AE12" i="3"/>
  <c r="AE20" i="3"/>
  <c r="AE29" i="3"/>
  <c r="AE37" i="3"/>
  <c r="AE45" i="3"/>
  <c r="AE53" i="3"/>
  <c r="AE61" i="3"/>
  <c r="AE69" i="3"/>
  <c r="AE78" i="3"/>
  <c r="AE86" i="3"/>
  <c r="AE95" i="3"/>
  <c r="AE121" i="3"/>
  <c r="AE129" i="3"/>
  <c r="AE137" i="3"/>
  <c r="AE146" i="3"/>
  <c r="AE156" i="3"/>
  <c r="AE164" i="3"/>
  <c r="AE172" i="3"/>
  <c r="AE180" i="3"/>
  <c r="AE187" i="3"/>
  <c r="AE202" i="3"/>
  <c r="AE212" i="3"/>
  <c r="AE232" i="3"/>
  <c r="AE241" i="3"/>
  <c r="AE251" i="3"/>
  <c r="AE261" i="3"/>
  <c r="AE269" i="3"/>
  <c r="AE293" i="3"/>
  <c r="AE301" i="3"/>
  <c r="AE309" i="3"/>
  <c r="AE317" i="3"/>
  <c r="AE338" i="3"/>
  <c r="AE13" i="3"/>
  <c r="AE21" i="3"/>
  <c r="AE30" i="3"/>
  <c r="AE38" i="3"/>
  <c r="AE46" i="3"/>
  <c r="AE54" i="3"/>
  <c r="AE62" i="3"/>
  <c r="AE70" i="3"/>
  <c r="AE79" i="3"/>
  <c r="AE87" i="3"/>
  <c r="AE96" i="3"/>
  <c r="AE112" i="3"/>
  <c r="AE122" i="3"/>
  <c r="AE130" i="3"/>
  <c r="AE138" i="3"/>
  <c r="AE147" i="3"/>
  <c r="AE157" i="3"/>
  <c r="AE173" i="3"/>
  <c r="AE189" i="3"/>
  <c r="AE203" i="3"/>
  <c r="AE214" i="3"/>
  <c r="AE224" i="3"/>
  <c r="AE234" i="3"/>
  <c r="AE242" i="3"/>
  <c r="AE252" i="3"/>
  <c r="AE262" i="3"/>
  <c r="AE271" i="3"/>
  <c r="AE284" i="3"/>
  <c r="AE294" i="3"/>
  <c r="AE302" i="3"/>
  <c r="AE310" i="3"/>
  <c r="AE318" i="3"/>
  <c r="AE331" i="3"/>
  <c r="AE339" i="3"/>
  <c r="AE91" i="3"/>
  <c r="AE4" i="3"/>
  <c r="AE14" i="3"/>
  <c r="AE22" i="3"/>
  <c r="AE31" i="3"/>
  <c r="AE39" i="3"/>
  <c r="AE47" i="3"/>
  <c r="AE55" i="3"/>
  <c r="AE63" i="3"/>
  <c r="AE71" i="3"/>
  <c r="AE80" i="3"/>
  <c r="AE88" i="3"/>
  <c r="AE97" i="3"/>
  <c r="AE123" i="3"/>
  <c r="AE131" i="3"/>
  <c r="AE139" i="3"/>
  <c r="AE148" i="3"/>
  <c r="AE158" i="3"/>
  <c r="AE165" i="3"/>
  <c r="AE174" i="3"/>
  <c r="AE190" i="3"/>
  <c r="AE204" i="3"/>
  <c r="AE216" i="3"/>
  <c r="AE225" i="3"/>
  <c r="AE235" i="3"/>
  <c r="AE244" i="3"/>
  <c r="AE253" i="3"/>
  <c r="AE285" i="3"/>
  <c r="AE295" i="3"/>
  <c r="AE303" i="3"/>
  <c r="AE311" i="3"/>
  <c r="AE319" i="3"/>
  <c r="AE332" i="3"/>
  <c r="AE340" i="3"/>
  <c r="AE143" i="3"/>
  <c r="AE208" i="3"/>
  <c r="AE238" i="3"/>
  <c r="AE266" i="3"/>
  <c r="AE306" i="3"/>
  <c r="AE335" i="3"/>
  <c r="AE7" i="3"/>
  <c r="AE23" i="3"/>
  <c r="AE32" i="3"/>
  <c r="AE40" i="3"/>
  <c r="AE48" i="3"/>
  <c r="AE56" i="3"/>
  <c r="AE64" i="3"/>
  <c r="AE72" i="3"/>
  <c r="AE81" i="3"/>
  <c r="AE89" i="3"/>
  <c r="AE124" i="3"/>
  <c r="AE132" i="3"/>
  <c r="AE140" i="3"/>
  <c r="AE149" i="3"/>
  <c r="AE159" i="3"/>
  <c r="AE166" i="3"/>
  <c r="AE175" i="3"/>
  <c r="AE181" i="3"/>
  <c r="AE192" i="3"/>
  <c r="AE205" i="3"/>
  <c r="AE217" i="3"/>
  <c r="AE226" i="3"/>
  <c r="AE236" i="3"/>
  <c r="AE246" i="3"/>
  <c r="AE254" i="3"/>
  <c r="AE264" i="3"/>
  <c r="AE273" i="3"/>
  <c r="AE287" i="3"/>
  <c r="AE296" i="3"/>
  <c r="AE304" i="3"/>
  <c r="AE312" i="3"/>
  <c r="AE320" i="3"/>
  <c r="AE333" i="3"/>
  <c r="AE341" i="3"/>
  <c r="AE9" i="3"/>
  <c r="AE25" i="3"/>
  <c r="AE42" i="3"/>
  <c r="AE66" i="3"/>
  <c r="AE83" i="3"/>
  <c r="AE126" i="3"/>
  <c r="AE161" i="3"/>
  <c r="AE177" i="3"/>
  <c r="AE196" i="3"/>
  <c r="AE219" i="3"/>
  <c r="AE256" i="3"/>
  <c r="AE276" i="3"/>
  <c r="AE314" i="3"/>
  <c r="AE343" i="3"/>
  <c r="AE8" i="3"/>
  <c r="AE24" i="3"/>
  <c r="AE33" i="3"/>
  <c r="AE41" i="3"/>
  <c r="AE49" i="3"/>
  <c r="AE57" i="3"/>
  <c r="AE65" i="3"/>
  <c r="AE73" i="3"/>
  <c r="AE82" i="3"/>
  <c r="AE90" i="3"/>
  <c r="AE98" i="3"/>
  <c r="AE116" i="3"/>
  <c r="AE125" i="3"/>
  <c r="AE133" i="3"/>
  <c r="AE142" i="3"/>
  <c r="AE151" i="3"/>
  <c r="AE160" i="3"/>
  <c r="AE167" i="3"/>
  <c r="AE176" i="3"/>
  <c r="AE182" i="3"/>
  <c r="AE194" i="3"/>
  <c r="AE207" i="3"/>
  <c r="AE218" i="3"/>
  <c r="AE228" i="3"/>
  <c r="AE237" i="3"/>
  <c r="AE248" i="3"/>
  <c r="AE255" i="3"/>
  <c r="AE265" i="3"/>
  <c r="AE274" i="3"/>
  <c r="AE288" i="3"/>
  <c r="AE297" i="3"/>
  <c r="AE305" i="3"/>
  <c r="AE313" i="3"/>
  <c r="AE321" i="3"/>
  <c r="AE334" i="3"/>
  <c r="AE342" i="3"/>
  <c r="AE17" i="3"/>
  <c r="AE34" i="3"/>
  <c r="AE50" i="3"/>
  <c r="AE58" i="3"/>
  <c r="AE74" i="3"/>
  <c r="AE118" i="3"/>
  <c r="AE153" i="3"/>
  <c r="AE168" i="3"/>
  <c r="AE183" i="3"/>
  <c r="AE229" i="3"/>
  <c r="AE247" i="3"/>
  <c r="AE289" i="3"/>
  <c r="AE325" i="3"/>
  <c r="A284" i="8"/>
  <c r="B284" i="8"/>
  <c r="D284" i="8"/>
  <c r="E284" i="8"/>
  <c r="A283" i="8"/>
  <c r="B283" i="8"/>
  <c r="D283" i="8"/>
  <c r="E283" i="8"/>
  <c r="E295" i="8" l="1"/>
  <c r="D295" i="8"/>
  <c r="B295" i="8"/>
  <c r="A295" i="8"/>
  <c r="E294" i="8"/>
  <c r="D294" i="8"/>
  <c r="B294" i="8"/>
  <c r="A294" i="8"/>
  <c r="E293" i="8"/>
  <c r="D293" i="8"/>
  <c r="B293" i="8"/>
  <c r="A293" i="8"/>
  <c r="E292" i="8"/>
  <c r="D292" i="8"/>
  <c r="B292" i="8"/>
  <c r="A292" i="8"/>
  <c r="E291" i="8"/>
  <c r="D291" i="8"/>
  <c r="B291" i="8"/>
  <c r="A291" i="8"/>
  <c r="E290" i="8"/>
  <c r="D290" i="8"/>
  <c r="B290" i="8"/>
  <c r="A290" i="8"/>
  <c r="E289" i="8"/>
  <c r="D289" i="8"/>
  <c r="B289" i="8"/>
  <c r="A289" i="8"/>
  <c r="E288" i="8"/>
  <c r="D288" i="8"/>
  <c r="B288" i="8"/>
  <c r="A288" i="8"/>
  <c r="E282" i="8"/>
  <c r="D282" i="8"/>
  <c r="B282" i="8"/>
  <c r="A282" i="8"/>
  <c r="E281" i="8"/>
  <c r="D281" i="8"/>
  <c r="B281" i="8"/>
  <c r="A281" i="8"/>
  <c r="E280" i="8"/>
  <c r="D280" i="8"/>
  <c r="B280" i="8"/>
  <c r="A280" i="8"/>
  <c r="E279" i="8"/>
  <c r="D279" i="8"/>
  <c r="B279" i="8"/>
  <c r="A279" i="8"/>
  <c r="E278" i="8"/>
  <c r="D278" i="8"/>
  <c r="B278" i="8"/>
  <c r="A278" i="8"/>
  <c r="E277" i="8"/>
  <c r="D277" i="8"/>
  <c r="B277" i="8"/>
  <c r="A277" i="8"/>
  <c r="E276" i="8"/>
  <c r="D276" i="8"/>
  <c r="B276" i="8"/>
  <c r="A276" i="8"/>
  <c r="E275" i="8"/>
  <c r="D275" i="8"/>
  <c r="B275" i="8"/>
  <c r="A275" i="8"/>
  <c r="E274" i="8"/>
  <c r="D274" i="8"/>
  <c r="B274" i="8"/>
  <c r="A274" i="8"/>
  <c r="E273" i="8"/>
  <c r="D273" i="8"/>
  <c r="B273" i="8"/>
  <c r="A273" i="8"/>
  <c r="A270" i="8"/>
  <c r="B270" i="8"/>
  <c r="D270" i="8"/>
  <c r="E270" i="8"/>
  <c r="AC6" i="3" l="1"/>
  <c r="AC199" i="3"/>
  <c r="AC233" i="3"/>
  <c r="AC227" i="3"/>
  <c r="AC171" i="3"/>
  <c r="AD6" i="3"/>
  <c r="AD199" i="3"/>
  <c r="AD233" i="3"/>
  <c r="AD227" i="3"/>
  <c r="AD171" i="3"/>
  <c r="AD104" i="3"/>
  <c r="AD100" i="3"/>
  <c r="AD105" i="3"/>
  <c r="AD101" i="3"/>
  <c r="AD103" i="3"/>
  <c r="AD102" i="3"/>
  <c r="AC104" i="3"/>
  <c r="AC102" i="3"/>
  <c r="AC100" i="3"/>
  <c r="AC105" i="3"/>
  <c r="AC101" i="3"/>
  <c r="AC103" i="3"/>
  <c r="AC106" i="3"/>
  <c r="AC270" i="3"/>
  <c r="AC108" i="3"/>
  <c r="AD106" i="3"/>
  <c r="AD270" i="3"/>
  <c r="AD108" i="3"/>
  <c r="AD117" i="3"/>
  <c r="AD184" i="3"/>
  <c r="AD213" i="3"/>
  <c r="AD188" i="3"/>
  <c r="AD215" i="3"/>
  <c r="AD191" i="3"/>
  <c r="AD220" i="3"/>
  <c r="AD210" i="3"/>
  <c r="AD193" i="3"/>
  <c r="AD198" i="3"/>
  <c r="AD201" i="3"/>
  <c r="AD195" i="3"/>
  <c r="AD206" i="3"/>
  <c r="AD323" i="3"/>
  <c r="AD330" i="3"/>
  <c r="AD324" i="3"/>
  <c r="AD327" i="3"/>
  <c r="AD329" i="3"/>
  <c r="AD322" i="3"/>
  <c r="AD16" i="3"/>
  <c r="AD222" i="3"/>
  <c r="AD15" i="3"/>
  <c r="AC117" i="3"/>
  <c r="AC201" i="3"/>
  <c r="AC195" i="3"/>
  <c r="AC206" i="3"/>
  <c r="AC198" i="3"/>
  <c r="AC210" i="3"/>
  <c r="AC184" i="3"/>
  <c r="AC213" i="3"/>
  <c r="AC188" i="3"/>
  <c r="AC215" i="3"/>
  <c r="AC191" i="3"/>
  <c r="AC220" i="3"/>
  <c r="AC193" i="3"/>
  <c r="AC330" i="3"/>
  <c r="AC322" i="3"/>
  <c r="AC329" i="3"/>
  <c r="AC324" i="3"/>
  <c r="AC327" i="3"/>
  <c r="AC323" i="3"/>
  <c r="AC222" i="3"/>
  <c r="AC15" i="3"/>
  <c r="AC16" i="3"/>
  <c r="AD272" i="3"/>
  <c r="AD275" i="3"/>
  <c r="AD277" i="3"/>
  <c r="AD278" i="3"/>
  <c r="AD281" i="3"/>
  <c r="AD283" i="3"/>
  <c r="AD279" i="3"/>
  <c r="AD286" i="3"/>
  <c r="AD245" i="3"/>
  <c r="AD243" i="3"/>
  <c r="AD152" i="3"/>
  <c r="AD141" i="3"/>
  <c r="AC281" i="3"/>
  <c r="AC272" i="3"/>
  <c r="AC277" i="3"/>
  <c r="AC279" i="3"/>
  <c r="AC286" i="3"/>
  <c r="AC275" i="3"/>
  <c r="AC278" i="3"/>
  <c r="AC283" i="3"/>
  <c r="AC245" i="3"/>
  <c r="AC243" i="3"/>
  <c r="AC152" i="3"/>
  <c r="AC141" i="3"/>
  <c r="AC263" i="3"/>
  <c r="AC113" i="3"/>
  <c r="AC115" i="3"/>
  <c r="AC111" i="3"/>
  <c r="AC109" i="3"/>
  <c r="AC260" i="3"/>
  <c r="AC114" i="3"/>
  <c r="AD114" i="3"/>
  <c r="AD263" i="3"/>
  <c r="AD111" i="3"/>
  <c r="AD109" i="3"/>
  <c r="AD113" i="3"/>
  <c r="AD115" i="3"/>
  <c r="AD260" i="3"/>
  <c r="AD93" i="3"/>
  <c r="AD259" i="3"/>
  <c r="AD26" i="3"/>
  <c r="AC93" i="3"/>
  <c r="AC259" i="3"/>
  <c r="AC26" i="3"/>
  <c r="AD5" i="3"/>
  <c r="AD291" i="3"/>
  <c r="AD4" i="3"/>
  <c r="AD14" i="3"/>
  <c r="AD22" i="3"/>
  <c r="AD31" i="3"/>
  <c r="AD39" i="3"/>
  <c r="AD47" i="3"/>
  <c r="AD55" i="3"/>
  <c r="AD63" i="3"/>
  <c r="AD71" i="3"/>
  <c r="AD80" i="3"/>
  <c r="AD88" i="3"/>
  <c r="AD97" i="3"/>
  <c r="AD123" i="3"/>
  <c r="AD131" i="3"/>
  <c r="AD139" i="3"/>
  <c r="AD148" i="3"/>
  <c r="AD158" i="3"/>
  <c r="AD165" i="3"/>
  <c r="AD174" i="3"/>
  <c r="AD190" i="3"/>
  <c r="AD204" i="3"/>
  <c r="AD216" i="3"/>
  <c r="AD225" i="3"/>
  <c r="AD235" i="3"/>
  <c r="AD244" i="3"/>
  <c r="AD253" i="3"/>
  <c r="AD285" i="3"/>
  <c r="AD295" i="3"/>
  <c r="AD303" i="3"/>
  <c r="AD311" i="3"/>
  <c r="AD319" i="3"/>
  <c r="AD332" i="3"/>
  <c r="AD340" i="3"/>
  <c r="AD296" i="3"/>
  <c r="AD54" i="3"/>
  <c r="AD122" i="3"/>
  <c r="AD157" i="3"/>
  <c r="AD203" i="3"/>
  <c r="AD252" i="3"/>
  <c r="AD310" i="3"/>
  <c r="AD7" i="3"/>
  <c r="AD23" i="3"/>
  <c r="AD32" i="3"/>
  <c r="AD40" i="3"/>
  <c r="AD48" i="3"/>
  <c r="AD56" i="3"/>
  <c r="AD64" i="3"/>
  <c r="AD72" i="3"/>
  <c r="AD81" i="3"/>
  <c r="AD89" i="3"/>
  <c r="AD124" i="3"/>
  <c r="AD132" i="3"/>
  <c r="AD140" i="3"/>
  <c r="AD149" i="3"/>
  <c r="AD159" i="3"/>
  <c r="AD166" i="3"/>
  <c r="AD175" i="3"/>
  <c r="AD181" i="3"/>
  <c r="AD192" i="3"/>
  <c r="AD205" i="3"/>
  <c r="AD217" i="3"/>
  <c r="AD226" i="3"/>
  <c r="AD236" i="3"/>
  <c r="AD246" i="3"/>
  <c r="AD254" i="3"/>
  <c r="AD264" i="3"/>
  <c r="AD273" i="3"/>
  <c r="AD287" i="3"/>
  <c r="AD304" i="3"/>
  <c r="AD312" i="3"/>
  <c r="AD320" i="3"/>
  <c r="AD333" i="3"/>
  <c r="AD341" i="3"/>
  <c r="AD79" i="3"/>
  <c r="AD294" i="3"/>
  <c r="AD8" i="3"/>
  <c r="AD24" i="3"/>
  <c r="AD33" i="3"/>
  <c r="AD41" i="3"/>
  <c r="AD49" i="3"/>
  <c r="AD57" i="3"/>
  <c r="AD65" i="3"/>
  <c r="AD73" i="3"/>
  <c r="AD82" i="3"/>
  <c r="AD90" i="3"/>
  <c r="AD98" i="3"/>
  <c r="AD116" i="3"/>
  <c r="AD125" i="3"/>
  <c r="AD133" i="3"/>
  <c r="AD142" i="3"/>
  <c r="AD151" i="3"/>
  <c r="AD160" i="3"/>
  <c r="AD167" i="3"/>
  <c r="AD176" i="3"/>
  <c r="AD182" i="3"/>
  <c r="AD194" i="3"/>
  <c r="AD207" i="3"/>
  <c r="AD218" i="3"/>
  <c r="AD228" i="3"/>
  <c r="AD237" i="3"/>
  <c r="AD248" i="3"/>
  <c r="AD255" i="3"/>
  <c r="AD265" i="3"/>
  <c r="AD274" i="3"/>
  <c r="AD288" i="3"/>
  <c r="AD297" i="3"/>
  <c r="AD305" i="3"/>
  <c r="AD313" i="3"/>
  <c r="AD321" i="3"/>
  <c r="AD334" i="3"/>
  <c r="AD342" i="3"/>
  <c r="AD300" i="3"/>
  <c r="AD21" i="3"/>
  <c r="AD30" i="3"/>
  <c r="AD46" i="3"/>
  <c r="AD96" i="3"/>
  <c r="AD138" i="3"/>
  <c r="AD189" i="3"/>
  <c r="AD234" i="3"/>
  <c r="AD302" i="3"/>
  <c r="AD339" i="3"/>
  <c r="AD9" i="3"/>
  <c r="AD17" i="3"/>
  <c r="AD25" i="3"/>
  <c r="AD34" i="3"/>
  <c r="AD42" i="3"/>
  <c r="AD50" i="3"/>
  <c r="AD58" i="3"/>
  <c r="AD66" i="3"/>
  <c r="AD74" i="3"/>
  <c r="AD83" i="3"/>
  <c r="AD91" i="3"/>
  <c r="AD99" i="3"/>
  <c r="AD118" i="3"/>
  <c r="AD126" i="3"/>
  <c r="AD134" i="3"/>
  <c r="AD143" i="3"/>
  <c r="AD153" i="3"/>
  <c r="AD161" i="3"/>
  <c r="AD168" i="3"/>
  <c r="AD177" i="3"/>
  <c r="AD183" i="3"/>
  <c r="AD196" i="3"/>
  <c r="AD208" i="3"/>
  <c r="AD219" i="3"/>
  <c r="AD229" i="3"/>
  <c r="AD238" i="3"/>
  <c r="AD247" i="3"/>
  <c r="AD256" i="3"/>
  <c r="AD266" i="3"/>
  <c r="AD276" i="3"/>
  <c r="AD289" i="3"/>
  <c r="AD298" i="3"/>
  <c r="AD306" i="3"/>
  <c r="AD314" i="3"/>
  <c r="AD325" i="3"/>
  <c r="AD335" i="3"/>
  <c r="AD343" i="3"/>
  <c r="AD316" i="3"/>
  <c r="AD10" i="3"/>
  <c r="AD18" i="3"/>
  <c r="AD27" i="3"/>
  <c r="AD35" i="3"/>
  <c r="AD43" i="3"/>
  <c r="AD51" i="3"/>
  <c r="AD59" i="3"/>
  <c r="AD67" i="3"/>
  <c r="AD75" i="3"/>
  <c r="AD84" i="3"/>
  <c r="AD92" i="3"/>
  <c r="AD107" i="3"/>
  <c r="AD119" i="3"/>
  <c r="AD127" i="3"/>
  <c r="AD135" i="3"/>
  <c r="AD144" i="3"/>
  <c r="AD154" i="3"/>
  <c r="AD162" i="3"/>
  <c r="AD169" i="3"/>
  <c r="AD178" i="3"/>
  <c r="AD185" i="3"/>
  <c r="AD197" i="3"/>
  <c r="AD209" i="3"/>
  <c r="AD221" i="3"/>
  <c r="AD230" i="3"/>
  <c r="AD239" i="3"/>
  <c r="AD249" i="3"/>
  <c r="AD257" i="3"/>
  <c r="AD267" i="3"/>
  <c r="AD280" i="3"/>
  <c r="AD290" i="3"/>
  <c r="AD299" i="3"/>
  <c r="AD307" i="3"/>
  <c r="AD315" i="3"/>
  <c r="AD326" i="3"/>
  <c r="AD336" i="3"/>
  <c r="AD292" i="3"/>
  <c r="AD70" i="3"/>
  <c r="AD130" i="3"/>
  <c r="AD224" i="3"/>
  <c r="AD262" i="3"/>
  <c r="AD318" i="3"/>
  <c r="AD11" i="3"/>
  <c r="AD19" i="3"/>
  <c r="AD28" i="3"/>
  <c r="AD36" i="3"/>
  <c r="AD44" i="3"/>
  <c r="AD52" i="3"/>
  <c r="AD60" i="3"/>
  <c r="AD68" i="3"/>
  <c r="AD77" i="3"/>
  <c r="AD85" i="3"/>
  <c r="AD94" i="3"/>
  <c r="AD110" i="3"/>
  <c r="AD120" i="3"/>
  <c r="AD128" i="3"/>
  <c r="AD136" i="3"/>
  <c r="AD145" i="3"/>
  <c r="AD155" i="3"/>
  <c r="AD163" i="3"/>
  <c r="AD170" i="3"/>
  <c r="AD179" i="3"/>
  <c r="AD186" i="3"/>
  <c r="AD200" i="3"/>
  <c r="AD211" i="3"/>
  <c r="AD223" i="3"/>
  <c r="AD231" i="3"/>
  <c r="AD240" i="3"/>
  <c r="AD250" i="3"/>
  <c r="AD258" i="3"/>
  <c r="AD268" i="3"/>
  <c r="AD282" i="3"/>
  <c r="AD308" i="3"/>
  <c r="AD328" i="3"/>
  <c r="AD337" i="3"/>
  <c r="AD87" i="3"/>
  <c r="AD271" i="3"/>
  <c r="AD12" i="3"/>
  <c r="AD20" i="3"/>
  <c r="AD29" i="3"/>
  <c r="AD37" i="3"/>
  <c r="AD45" i="3"/>
  <c r="AD53" i="3"/>
  <c r="AD61" i="3"/>
  <c r="AD69" i="3"/>
  <c r="AD78" i="3"/>
  <c r="AD86" i="3"/>
  <c r="AD95" i="3"/>
  <c r="AD121" i="3"/>
  <c r="AD129" i="3"/>
  <c r="AD137" i="3"/>
  <c r="AD146" i="3"/>
  <c r="AD156" i="3"/>
  <c r="AD164" i="3"/>
  <c r="AD172" i="3"/>
  <c r="AD180" i="3"/>
  <c r="AD187" i="3"/>
  <c r="AD202" i="3"/>
  <c r="AD212" i="3"/>
  <c r="AD232" i="3"/>
  <c r="AD241" i="3"/>
  <c r="AD251" i="3"/>
  <c r="AD261" i="3"/>
  <c r="AD269" i="3"/>
  <c r="AD293" i="3"/>
  <c r="AD301" i="3"/>
  <c r="AD309" i="3"/>
  <c r="AD317" i="3"/>
  <c r="AD338" i="3"/>
  <c r="AD13" i="3"/>
  <c r="AD38" i="3"/>
  <c r="AD62" i="3"/>
  <c r="AD112" i="3"/>
  <c r="AD147" i="3"/>
  <c r="AD173" i="3"/>
  <c r="AD214" i="3"/>
  <c r="AD242" i="3"/>
  <c r="AD284" i="3"/>
  <c r="AD331" i="3"/>
  <c r="AC5" i="3"/>
  <c r="AC291" i="3"/>
  <c r="AC10" i="3"/>
  <c r="AC18" i="3"/>
  <c r="AC27" i="3"/>
  <c r="AC35" i="3"/>
  <c r="AC43" i="3"/>
  <c r="AC51" i="3"/>
  <c r="AC59" i="3"/>
  <c r="AC67" i="3"/>
  <c r="AC75" i="3"/>
  <c r="AC84" i="3"/>
  <c r="AC92" i="3"/>
  <c r="AC107" i="3"/>
  <c r="AC119" i="3"/>
  <c r="AC127" i="3"/>
  <c r="AC135" i="3"/>
  <c r="AC144" i="3"/>
  <c r="AC154" i="3"/>
  <c r="AC162" i="3"/>
  <c r="AC169" i="3"/>
  <c r="AC178" i="3"/>
  <c r="AC185" i="3"/>
  <c r="AC197" i="3"/>
  <c r="AC209" i="3"/>
  <c r="AC221" i="3"/>
  <c r="AC230" i="3"/>
  <c r="AC239" i="3"/>
  <c r="AC249" i="3"/>
  <c r="AC257" i="3"/>
  <c r="AC267" i="3"/>
  <c r="AC280" i="3"/>
  <c r="AC290" i="3"/>
  <c r="AC299" i="3"/>
  <c r="AC307" i="3"/>
  <c r="AC315" i="3"/>
  <c r="AC326" i="3"/>
  <c r="AC33" i="3"/>
  <c r="AC151" i="3"/>
  <c r="AC218" i="3"/>
  <c r="AC288" i="3"/>
  <c r="AC342" i="3"/>
  <c r="AC11" i="3"/>
  <c r="AC19" i="3"/>
  <c r="AC28" i="3"/>
  <c r="AC36" i="3"/>
  <c r="AC44" i="3"/>
  <c r="AC52" i="3"/>
  <c r="AC60" i="3"/>
  <c r="AC68" i="3"/>
  <c r="AC77" i="3"/>
  <c r="AC85" i="3"/>
  <c r="AC94" i="3"/>
  <c r="AC110" i="3"/>
  <c r="AC120" i="3"/>
  <c r="AC128" i="3"/>
  <c r="AC136" i="3"/>
  <c r="AC145" i="3"/>
  <c r="AC155" i="3"/>
  <c r="AC163" i="3"/>
  <c r="AC170" i="3"/>
  <c r="AC179" i="3"/>
  <c r="AC186" i="3"/>
  <c r="AC200" i="3"/>
  <c r="AC211" i="3"/>
  <c r="AC223" i="3"/>
  <c r="AC231" i="3"/>
  <c r="AC240" i="3"/>
  <c r="AC250" i="3"/>
  <c r="AC258" i="3"/>
  <c r="AC268" i="3"/>
  <c r="AC282" i="3"/>
  <c r="AC292" i="3"/>
  <c r="AC300" i="3"/>
  <c r="AC308" i="3"/>
  <c r="AC316" i="3"/>
  <c r="AC328" i="3"/>
  <c r="AC337" i="3"/>
  <c r="AC12" i="3"/>
  <c r="AC20" i="3"/>
  <c r="AC29" i="3"/>
  <c r="AC37" i="3"/>
  <c r="AC45" i="3"/>
  <c r="AC53" i="3"/>
  <c r="AC61" i="3"/>
  <c r="AC69" i="3"/>
  <c r="AC78" i="3"/>
  <c r="AC86" i="3"/>
  <c r="AC95" i="3"/>
  <c r="AC121" i="3"/>
  <c r="AC129" i="3"/>
  <c r="AC137" i="3"/>
  <c r="AC146" i="3"/>
  <c r="AC156" i="3"/>
  <c r="AC164" i="3"/>
  <c r="AC172" i="3"/>
  <c r="AC180" i="3"/>
  <c r="AC187" i="3"/>
  <c r="AC202" i="3"/>
  <c r="AC212" i="3"/>
  <c r="AC232" i="3"/>
  <c r="AC241" i="3"/>
  <c r="AC251" i="3"/>
  <c r="AC261" i="3"/>
  <c r="AC269" i="3"/>
  <c r="AC293" i="3"/>
  <c r="AC301" i="3"/>
  <c r="AC309" i="3"/>
  <c r="AC317" i="3"/>
  <c r="AC338" i="3"/>
  <c r="AC340" i="3"/>
  <c r="AC8" i="3"/>
  <c r="AC65" i="3"/>
  <c r="AC82" i="3"/>
  <c r="AC116" i="3"/>
  <c r="AC167" i="3"/>
  <c r="AC207" i="3"/>
  <c r="AC265" i="3"/>
  <c r="AC334" i="3"/>
  <c r="AC13" i="3"/>
  <c r="AC21" i="3"/>
  <c r="AC30" i="3"/>
  <c r="AC38" i="3"/>
  <c r="AC46" i="3"/>
  <c r="AC54" i="3"/>
  <c r="AC62" i="3"/>
  <c r="AC70" i="3"/>
  <c r="AC79" i="3"/>
  <c r="AC87" i="3"/>
  <c r="AC96" i="3"/>
  <c r="AC112" i="3"/>
  <c r="AC122" i="3"/>
  <c r="AC130" i="3"/>
  <c r="AC138" i="3"/>
  <c r="AC147" i="3"/>
  <c r="AC157" i="3"/>
  <c r="AC173" i="3"/>
  <c r="AC189" i="3"/>
  <c r="AC203" i="3"/>
  <c r="AC214" i="3"/>
  <c r="AC224" i="3"/>
  <c r="AC234" i="3"/>
  <c r="AC242" i="3"/>
  <c r="AC252" i="3"/>
  <c r="AC262" i="3"/>
  <c r="AC271" i="3"/>
  <c r="AC284" i="3"/>
  <c r="AC294" i="3"/>
  <c r="AC302" i="3"/>
  <c r="AC310" i="3"/>
  <c r="AC318" i="3"/>
  <c r="AC331" i="3"/>
  <c r="AC339" i="3"/>
  <c r="AC332" i="3"/>
  <c r="AC49" i="3"/>
  <c r="AC90" i="3"/>
  <c r="AC133" i="3"/>
  <c r="AC182" i="3"/>
  <c r="AC248" i="3"/>
  <c r="AC313" i="3"/>
  <c r="AC4" i="3"/>
  <c r="AC14" i="3"/>
  <c r="AC22" i="3"/>
  <c r="AC31" i="3"/>
  <c r="AC39" i="3"/>
  <c r="AC47" i="3"/>
  <c r="AC55" i="3"/>
  <c r="AC63" i="3"/>
  <c r="AC71" i="3"/>
  <c r="AC80" i="3"/>
  <c r="AC88" i="3"/>
  <c r="AC97" i="3"/>
  <c r="AC123" i="3"/>
  <c r="AC131" i="3"/>
  <c r="AC139" i="3"/>
  <c r="AC148" i="3"/>
  <c r="AC158" i="3"/>
  <c r="AC165" i="3"/>
  <c r="AC174" i="3"/>
  <c r="AC190" i="3"/>
  <c r="AC204" i="3"/>
  <c r="AC216" i="3"/>
  <c r="AC225" i="3"/>
  <c r="AC235" i="3"/>
  <c r="AC244" i="3"/>
  <c r="AC253" i="3"/>
  <c r="AC285" i="3"/>
  <c r="AC295" i="3"/>
  <c r="AC303" i="3"/>
  <c r="AC311" i="3"/>
  <c r="AC319" i="3"/>
  <c r="AC41" i="3"/>
  <c r="AC160" i="3"/>
  <c r="AC237" i="3"/>
  <c r="AC297" i="3"/>
  <c r="AC7" i="3"/>
  <c r="AC23" i="3"/>
  <c r="AC32" i="3"/>
  <c r="AC40" i="3"/>
  <c r="AC48" i="3"/>
  <c r="AC56" i="3"/>
  <c r="AC64" i="3"/>
  <c r="AC72" i="3"/>
  <c r="AC81" i="3"/>
  <c r="AC89" i="3"/>
  <c r="AC124" i="3"/>
  <c r="AC132" i="3"/>
  <c r="AC140" i="3"/>
  <c r="AC149" i="3"/>
  <c r="AC159" i="3"/>
  <c r="AC166" i="3"/>
  <c r="AC175" i="3"/>
  <c r="AC181" i="3"/>
  <c r="AC192" i="3"/>
  <c r="AC205" i="3"/>
  <c r="AC217" i="3"/>
  <c r="AC226" i="3"/>
  <c r="AC236" i="3"/>
  <c r="AC246" i="3"/>
  <c r="AC254" i="3"/>
  <c r="AC264" i="3"/>
  <c r="AC273" i="3"/>
  <c r="AC287" i="3"/>
  <c r="AC296" i="3"/>
  <c r="AC304" i="3"/>
  <c r="AC312" i="3"/>
  <c r="AC320" i="3"/>
  <c r="AC333" i="3"/>
  <c r="AC341" i="3"/>
  <c r="AC57" i="3"/>
  <c r="AC73" i="3"/>
  <c r="AC125" i="3"/>
  <c r="AC176" i="3"/>
  <c r="AC228" i="3"/>
  <c r="AC274" i="3"/>
  <c r="AC321" i="3"/>
  <c r="AC9" i="3"/>
  <c r="AC17" i="3"/>
  <c r="AC25" i="3"/>
  <c r="AC34" i="3"/>
  <c r="AC42" i="3"/>
  <c r="AC50" i="3"/>
  <c r="AC58" i="3"/>
  <c r="AC66" i="3"/>
  <c r="AC74" i="3"/>
  <c r="AC83" i="3"/>
  <c r="AC91" i="3"/>
  <c r="AC99" i="3"/>
  <c r="AC118" i="3"/>
  <c r="AC126" i="3"/>
  <c r="AC134" i="3"/>
  <c r="AC143" i="3"/>
  <c r="AC153" i="3"/>
  <c r="AC161" i="3"/>
  <c r="AC168" i="3"/>
  <c r="AC177" i="3"/>
  <c r="AC183" i="3"/>
  <c r="AC196" i="3"/>
  <c r="AC208" i="3"/>
  <c r="AC219" i="3"/>
  <c r="AC229" i="3"/>
  <c r="AC238" i="3"/>
  <c r="AC247" i="3"/>
  <c r="AC256" i="3"/>
  <c r="AC266" i="3"/>
  <c r="AC276" i="3"/>
  <c r="AC289" i="3"/>
  <c r="AC298" i="3"/>
  <c r="AC306" i="3"/>
  <c r="AC314" i="3"/>
  <c r="AC325" i="3"/>
  <c r="AC335" i="3"/>
  <c r="AC343" i="3"/>
  <c r="AC336" i="3"/>
  <c r="AC24" i="3"/>
  <c r="AC98" i="3"/>
  <c r="AC142" i="3"/>
  <c r="AC194" i="3"/>
  <c r="AC255" i="3"/>
  <c r="AC305" i="3"/>
  <c r="A269" i="8"/>
  <c r="B269" i="8"/>
  <c r="D269" i="8"/>
  <c r="E269" i="8"/>
  <c r="E268" i="8" l="1"/>
  <c r="D268" i="8"/>
  <c r="B268" i="8"/>
  <c r="A268" i="8"/>
  <c r="E267" i="8"/>
  <c r="D267" i="8"/>
  <c r="B267" i="8"/>
  <c r="A267" i="8"/>
  <c r="E266" i="8"/>
  <c r="D266" i="8"/>
  <c r="B266" i="8"/>
  <c r="A266" i="8"/>
  <c r="E265" i="8"/>
  <c r="D265" i="8"/>
  <c r="B265" i="8"/>
  <c r="A265" i="8"/>
  <c r="E264" i="8"/>
  <c r="D264" i="8"/>
  <c r="B264" i="8"/>
  <c r="A264" i="8"/>
  <c r="E263" i="8"/>
  <c r="D263" i="8"/>
  <c r="B263" i="8"/>
  <c r="A263" i="8"/>
  <c r="E262" i="8"/>
  <c r="D262" i="8"/>
  <c r="B262" i="8"/>
  <c r="A262" i="8"/>
  <c r="E261" i="8"/>
  <c r="D261" i="8"/>
  <c r="B261" i="8"/>
  <c r="A261" i="8"/>
  <c r="AB6" i="3" l="1"/>
  <c r="AB199" i="3"/>
  <c r="AB233" i="3"/>
  <c r="AB227" i="3"/>
  <c r="AB171" i="3"/>
  <c r="AB104" i="3"/>
  <c r="AB100" i="3"/>
  <c r="AB105" i="3"/>
  <c r="AB101" i="3"/>
  <c r="AB102" i="3"/>
  <c r="AB103" i="3"/>
  <c r="AB106" i="3"/>
  <c r="AB270" i="3"/>
  <c r="AB108" i="3"/>
  <c r="AB117" i="3"/>
  <c r="AB191" i="3"/>
  <c r="AB220" i="3"/>
  <c r="AB193" i="3"/>
  <c r="AB201" i="3"/>
  <c r="AB188" i="3"/>
  <c r="AB195" i="3"/>
  <c r="AB206" i="3"/>
  <c r="AB198" i="3"/>
  <c r="AB210" i="3"/>
  <c r="AB184" i="3"/>
  <c r="AB213" i="3"/>
  <c r="AB215" i="3"/>
  <c r="AB330" i="3"/>
  <c r="AB322" i="3"/>
  <c r="AB329" i="3"/>
  <c r="AB327" i="3"/>
  <c r="AB324" i="3"/>
  <c r="AB323" i="3"/>
  <c r="AB16" i="3"/>
  <c r="AB222" i="3"/>
  <c r="AB15" i="3"/>
  <c r="AB277" i="3"/>
  <c r="AB278" i="3"/>
  <c r="AB283" i="3"/>
  <c r="AB279" i="3"/>
  <c r="AB281" i="3"/>
  <c r="AB286" i="3"/>
  <c r="AB272" i="3"/>
  <c r="AB275" i="3"/>
  <c r="AB243" i="3"/>
  <c r="AB245" i="3"/>
  <c r="AB152" i="3"/>
  <c r="AB141" i="3"/>
  <c r="AB111" i="3"/>
  <c r="AB115" i="3"/>
  <c r="AB114" i="3"/>
  <c r="AB109" i="3"/>
  <c r="AB260" i="3"/>
  <c r="AB113" i="3"/>
  <c r="AB263" i="3"/>
  <c r="AB93" i="3"/>
  <c r="AB259" i="3"/>
  <c r="AB26" i="3"/>
  <c r="AB291" i="3"/>
  <c r="AB5" i="3"/>
  <c r="AB4" i="3"/>
  <c r="AB14" i="3"/>
  <c r="AB22" i="3"/>
  <c r="AB31" i="3"/>
  <c r="AB39" i="3"/>
  <c r="AB47" i="3"/>
  <c r="AB55" i="3"/>
  <c r="AB63" i="3"/>
  <c r="AB71" i="3"/>
  <c r="AB80" i="3"/>
  <c r="AB88" i="3"/>
  <c r="AB97" i="3"/>
  <c r="AB123" i="3"/>
  <c r="AB131" i="3"/>
  <c r="AB139" i="3"/>
  <c r="AB148" i="3"/>
  <c r="AB158" i="3"/>
  <c r="AB165" i="3"/>
  <c r="AB174" i="3"/>
  <c r="AB190" i="3"/>
  <c r="AB204" i="3"/>
  <c r="AB216" i="3"/>
  <c r="AB225" i="3"/>
  <c r="AB235" i="3"/>
  <c r="AB244" i="3"/>
  <c r="AB253" i="3"/>
  <c r="AB285" i="3"/>
  <c r="AB295" i="3"/>
  <c r="AB303" i="3"/>
  <c r="AB311" i="3"/>
  <c r="AB319" i="3"/>
  <c r="AB332" i="3"/>
  <c r="AB340" i="3"/>
  <c r="AB304" i="3"/>
  <c r="AB237" i="3"/>
  <c r="AB297" i="3"/>
  <c r="AB321" i="3"/>
  <c r="AB7" i="3"/>
  <c r="AB23" i="3"/>
  <c r="AB32" i="3"/>
  <c r="AB40" i="3"/>
  <c r="AB48" i="3"/>
  <c r="AB56" i="3"/>
  <c r="AB64" i="3"/>
  <c r="AB72" i="3"/>
  <c r="AB81" i="3"/>
  <c r="AB89" i="3"/>
  <c r="AB124" i="3"/>
  <c r="AB132" i="3"/>
  <c r="AB140" i="3"/>
  <c r="AB149" i="3"/>
  <c r="AB159" i="3"/>
  <c r="AB166" i="3"/>
  <c r="AB175" i="3"/>
  <c r="AB181" i="3"/>
  <c r="AB192" i="3"/>
  <c r="AB205" i="3"/>
  <c r="AB217" i="3"/>
  <c r="AB226" i="3"/>
  <c r="AB236" i="3"/>
  <c r="AB246" i="3"/>
  <c r="AB254" i="3"/>
  <c r="AB264" i="3"/>
  <c r="AB273" i="3"/>
  <c r="AB287" i="3"/>
  <c r="AB296" i="3"/>
  <c r="AB320" i="3"/>
  <c r="AB333" i="3"/>
  <c r="AB341" i="3"/>
  <c r="AB288" i="3"/>
  <c r="AB8" i="3"/>
  <c r="AB24" i="3"/>
  <c r="AB33" i="3"/>
  <c r="AB41" i="3"/>
  <c r="AB49" i="3"/>
  <c r="AB57" i="3"/>
  <c r="AB65" i="3"/>
  <c r="AB73" i="3"/>
  <c r="AB82" i="3"/>
  <c r="AB90" i="3"/>
  <c r="AB98" i="3"/>
  <c r="AB116" i="3"/>
  <c r="AB125" i="3"/>
  <c r="AB133" i="3"/>
  <c r="AB142" i="3"/>
  <c r="AB151" i="3"/>
  <c r="AB160" i="3"/>
  <c r="AB167" i="3"/>
  <c r="AB176" i="3"/>
  <c r="AB182" i="3"/>
  <c r="AB194" i="3"/>
  <c r="AB207" i="3"/>
  <c r="AB218" i="3"/>
  <c r="AB228" i="3"/>
  <c r="AB255" i="3"/>
  <c r="AB265" i="3"/>
  <c r="AB274" i="3"/>
  <c r="AB313" i="3"/>
  <c r="AB342" i="3"/>
  <c r="AB9" i="3"/>
  <c r="AB17" i="3"/>
  <c r="AB25" i="3"/>
  <c r="AB34" i="3"/>
  <c r="AB42" i="3"/>
  <c r="AB50" i="3"/>
  <c r="AB58" i="3"/>
  <c r="AB66" i="3"/>
  <c r="AB74" i="3"/>
  <c r="AB83" i="3"/>
  <c r="AB91" i="3"/>
  <c r="AB99" i="3"/>
  <c r="AB118" i="3"/>
  <c r="AB126" i="3"/>
  <c r="AB134" i="3"/>
  <c r="AB143" i="3"/>
  <c r="AB153" i="3"/>
  <c r="AB161" i="3"/>
  <c r="AB168" i="3"/>
  <c r="AB177" i="3"/>
  <c r="AB183" i="3"/>
  <c r="AB196" i="3"/>
  <c r="AB208" i="3"/>
  <c r="AB219" i="3"/>
  <c r="AB229" i="3"/>
  <c r="AB238" i="3"/>
  <c r="AB247" i="3"/>
  <c r="AB256" i="3"/>
  <c r="AB266" i="3"/>
  <c r="AB276" i="3"/>
  <c r="AB289" i="3"/>
  <c r="AB298" i="3"/>
  <c r="AB306" i="3"/>
  <c r="AB314" i="3"/>
  <c r="AB325" i="3"/>
  <c r="AB335" i="3"/>
  <c r="AB343" i="3"/>
  <c r="AB308" i="3"/>
  <c r="AB251" i="3"/>
  <c r="AB309" i="3"/>
  <c r="AB10" i="3"/>
  <c r="AB18" i="3"/>
  <c r="AB27" i="3"/>
  <c r="AB35" i="3"/>
  <c r="AB43" i="3"/>
  <c r="AB51" i="3"/>
  <c r="AB59" i="3"/>
  <c r="AB67" i="3"/>
  <c r="AB75" i="3"/>
  <c r="AB84" i="3"/>
  <c r="AB92" i="3"/>
  <c r="AB107" i="3"/>
  <c r="AB119" i="3"/>
  <c r="AB127" i="3"/>
  <c r="AB135" i="3"/>
  <c r="AB144" i="3"/>
  <c r="AB154" i="3"/>
  <c r="AB162" i="3"/>
  <c r="AB169" i="3"/>
  <c r="AB178" i="3"/>
  <c r="AB185" i="3"/>
  <c r="AB197" i="3"/>
  <c r="AB209" i="3"/>
  <c r="AB221" i="3"/>
  <c r="AB230" i="3"/>
  <c r="AB239" i="3"/>
  <c r="AB249" i="3"/>
  <c r="AB257" i="3"/>
  <c r="AB267" i="3"/>
  <c r="AB280" i="3"/>
  <c r="AB290" i="3"/>
  <c r="AB299" i="3"/>
  <c r="AB307" i="3"/>
  <c r="AB315" i="3"/>
  <c r="AB326" i="3"/>
  <c r="AB336" i="3"/>
  <c r="AB300" i="3"/>
  <c r="AB241" i="3"/>
  <c r="AB317" i="3"/>
  <c r="AB338" i="3"/>
  <c r="AB11" i="3"/>
  <c r="AB19" i="3"/>
  <c r="AB28" i="3"/>
  <c r="AB36" i="3"/>
  <c r="AB44" i="3"/>
  <c r="AB52" i="3"/>
  <c r="AB60" i="3"/>
  <c r="AB68" i="3"/>
  <c r="AB77" i="3"/>
  <c r="AB85" i="3"/>
  <c r="AB94" i="3"/>
  <c r="AB110" i="3"/>
  <c r="AB120" i="3"/>
  <c r="AB128" i="3"/>
  <c r="AB136" i="3"/>
  <c r="AB145" i="3"/>
  <c r="AB155" i="3"/>
  <c r="AB163" i="3"/>
  <c r="AB170" i="3"/>
  <c r="AB179" i="3"/>
  <c r="AB186" i="3"/>
  <c r="AB200" i="3"/>
  <c r="AB211" i="3"/>
  <c r="AB223" i="3"/>
  <c r="AB231" i="3"/>
  <c r="AB240" i="3"/>
  <c r="AB250" i="3"/>
  <c r="AB258" i="3"/>
  <c r="AB268" i="3"/>
  <c r="AB282" i="3"/>
  <c r="AB292" i="3"/>
  <c r="AB316" i="3"/>
  <c r="AB328" i="3"/>
  <c r="AB337" i="3"/>
  <c r="AB293" i="3"/>
  <c r="AB12" i="3"/>
  <c r="AB20" i="3"/>
  <c r="AB29" i="3"/>
  <c r="AB37" i="3"/>
  <c r="AB45" i="3"/>
  <c r="AB53" i="3"/>
  <c r="AB61" i="3"/>
  <c r="AB69" i="3"/>
  <c r="AB78" i="3"/>
  <c r="AB86" i="3"/>
  <c r="AB95" i="3"/>
  <c r="AB121" i="3"/>
  <c r="AB129" i="3"/>
  <c r="AB137" i="3"/>
  <c r="AB146" i="3"/>
  <c r="AB156" i="3"/>
  <c r="AB164" i="3"/>
  <c r="AB172" i="3"/>
  <c r="AB180" i="3"/>
  <c r="AB187" i="3"/>
  <c r="AB202" i="3"/>
  <c r="AB212" i="3"/>
  <c r="AB232" i="3"/>
  <c r="AB261" i="3"/>
  <c r="AB269" i="3"/>
  <c r="AB301" i="3"/>
  <c r="AB13" i="3"/>
  <c r="AB21" i="3"/>
  <c r="AB30" i="3"/>
  <c r="AB38" i="3"/>
  <c r="AB46" i="3"/>
  <c r="AB54" i="3"/>
  <c r="AB62" i="3"/>
  <c r="AB70" i="3"/>
  <c r="AB79" i="3"/>
  <c r="AB87" i="3"/>
  <c r="AB96" i="3"/>
  <c r="AB112" i="3"/>
  <c r="AB122" i="3"/>
  <c r="AB130" i="3"/>
  <c r="AB138" i="3"/>
  <c r="AB147" i="3"/>
  <c r="AB157" i="3"/>
  <c r="AB173" i="3"/>
  <c r="AB189" i="3"/>
  <c r="AB203" i="3"/>
  <c r="AB214" i="3"/>
  <c r="AB224" i="3"/>
  <c r="AB234" i="3"/>
  <c r="AB242" i="3"/>
  <c r="AB252" i="3"/>
  <c r="AB262" i="3"/>
  <c r="AB271" i="3"/>
  <c r="AB284" i="3"/>
  <c r="AB294" i="3"/>
  <c r="AB302" i="3"/>
  <c r="AB310" i="3"/>
  <c r="AB318" i="3"/>
  <c r="AB331" i="3"/>
  <c r="AB339" i="3"/>
  <c r="AB312" i="3"/>
  <c r="AB248" i="3"/>
  <c r="AB305" i="3"/>
  <c r="AB334" i="3"/>
  <c r="A247" i="8"/>
  <c r="B247" i="8"/>
  <c r="D247" i="8"/>
  <c r="E247" i="8"/>
  <c r="A246" i="8" l="1"/>
  <c r="B246" i="8"/>
  <c r="D246" i="8"/>
  <c r="E246" i="8"/>
  <c r="A235" i="8" l="1"/>
  <c r="B235" i="8"/>
  <c r="D235" i="8"/>
  <c r="E235" i="8"/>
  <c r="A234" i="8" l="1"/>
  <c r="B234" i="8"/>
  <c r="D234" i="8"/>
  <c r="E234" i="8"/>
  <c r="E257" i="8" l="1"/>
  <c r="D257" i="8"/>
  <c r="B257" i="8"/>
  <c r="A257" i="8"/>
  <c r="E256" i="8"/>
  <c r="D256" i="8"/>
  <c r="B256" i="8"/>
  <c r="A256" i="8"/>
  <c r="E255" i="8"/>
  <c r="D255" i="8"/>
  <c r="B255" i="8"/>
  <c r="A255" i="8"/>
  <c r="E254" i="8"/>
  <c r="D254" i="8"/>
  <c r="B254" i="8"/>
  <c r="A254" i="8"/>
  <c r="E253" i="8"/>
  <c r="D253" i="8"/>
  <c r="B253" i="8"/>
  <c r="A253" i="8"/>
  <c r="E252" i="8"/>
  <c r="D252" i="8"/>
  <c r="B252" i="8"/>
  <c r="A252" i="8"/>
  <c r="E251" i="8"/>
  <c r="D251" i="8"/>
  <c r="B251" i="8"/>
  <c r="A251" i="8"/>
  <c r="E250" i="8"/>
  <c r="D250" i="8"/>
  <c r="B250" i="8"/>
  <c r="A250" i="8"/>
  <c r="E245" i="8"/>
  <c r="D245" i="8"/>
  <c r="B245" i="8"/>
  <c r="A245" i="8"/>
  <c r="E244" i="8"/>
  <c r="D244" i="8"/>
  <c r="B244" i="8"/>
  <c r="A244" i="8"/>
  <c r="E243" i="8"/>
  <c r="D243" i="8"/>
  <c r="B243" i="8"/>
  <c r="A243" i="8"/>
  <c r="E242" i="8"/>
  <c r="D242" i="8"/>
  <c r="B242" i="8"/>
  <c r="A242" i="8"/>
  <c r="E241" i="8"/>
  <c r="D241" i="8"/>
  <c r="B241" i="8"/>
  <c r="A241" i="8"/>
  <c r="E240" i="8"/>
  <c r="D240" i="8"/>
  <c r="B240" i="8"/>
  <c r="A240" i="8"/>
  <c r="E239" i="8"/>
  <c r="D239" i="8"/>
  <c r="B239" i="8"/>
  <c r="A239" i="8"/>
  <c r="E238" i="8"/>
  <c r="D238" i="8"/>
  <c r="B238" i="8"/>
  <c r="A238" i="8"/>
  <c r="A220" i="8"/>
  <c r="A221" i="8"/>
  <c r="A222" i="8"/>
  <c r="A223" i="8"/>
  <c r="B220" i="8"/>
  <c r="B221" i="8"/>
  <c r="B222" i="8"/>
  <c r="B223" i="8"/>
  <c r="D220" i="8"/>
  <c r="D221" i="8"/>
  <c r="D222" i="8"/>
  <c r="D223" i="8"/>
  <c r="E220" i="8"/>
  <c r="E221" i="8"/>
  <c r="E222" i="8"/>
  <c r="E223" i="8"/>
  <c r="Z199" i="3" l="1"/>
  <c r="Z6" i="3"/>
  <c r="Z233" i="3"/>
  <c r="Z227" i="3"/>
  <c r="Z171" i="3"/>
  <c r="Y199" i="3"/>
  <c r="Y6" i="3"/>
  <c r="Y233" i="3"/>
  <c r="Y227" i="3"/>
  <c r="Y171" i="3"/>
  <c r="Z100" i="3"/>
  <c r="Z104" i="3"/>
  <c r="Z101" i="3"/>
  <c r="Z103" i="3"/>
  <c r="Z102" i="3"/>
  <c r="Z105" i="3"/>
  <c r="Y104" i="3"/>
  <c r="Y103" i="3"/>
  <c r="Y100" i="3"/>
  <c r="Y102" i="3"/>
  <c r="Y101" i="3"/>
  <c r="Y105" i="3"/>
  <c r="Y270" i="3"/>
  <c r="Y106" i="3"/>
  <c r="Y108" i="3"/>
  <c r="Z106" i="3"/>
  <c r="Z270" i="3"/>
  <c r="Z108" i="3"/>
  <c r="Y201" i="3"/>
  <c r="Y195" i="3"/>
  <c r="Y206" i="3"/>
  <c r="Y198" i="3"/>
  <c r="Y210" i="3"/>
  <c r="Y184" i="3"/>
  <c r="Y213" i="3"/>
  <c r="Y188" i="3"/>
  <c r="Y215" i="3"/>
  <c r="Y193" i="3"/>
  <c r="Y191" i="3"/>
  <c r="Y220" i="3"/>
  <c r="Y329" i="3"/>
  <c r="Y327" i="3"/>
  <c r="Y324" i="3"/>
  <c r="Y330" i="3"/>
  <c r="Y323" i="3"/>
  <c r="Y322" i="3"/>
  <c r="Y222" i="3"/>
  <c r="Y15" i="3"/>
  <c r="Y16" i="3"/>
  <c r="Z117" i="3"/>
  <c r="Z198" i="3"/>
  <c r="Z210" i="3"/>
  <c r="Z184" i="3"/>
  <c r="Z213" i="3"/>
  <c r="Z188" i="3"/>
  <c r="Z215" i="3"/>
  <c r="Z206" i="3"/>
  <c r="Z191" i="3"/>
  <c r="Z220" i="3"/>
  <c r="Z193" i="3"/>
  <c r="Z195" i="3"/>
  <c r="Z201" i="3"/>
  <c r="Z323" i="3"/>
  <c r="Z327" i="3"/>
  <c r="Z322" i="3"/>
  <c r="Z330" i="3"/>
  <c r="Z324" i="3"/>
  <c r="Z329" i="3"/>
  <c r="Z222" i="3"/>
  <c r="Z15" i="3"/>
  <c r="Z16" i="3"/>
  <c r="Y117" i="3"/>
  <c r="Y272" i="3"/>
  <c r="Y275" i="3"/>
  <c r="Y277" i="3"/>
  <c r="Y278" i="3"/>
  <c r="Y279" i="3"/>
  <c r="Y281" i="3"/>
  <c r="Y283" i="3"/>
  <c r="Y286" i="3"/>
  <c r="Z283" i="3"/>
  <c r="Z279" i="3"/>
  <c r="Z272" i="3"/>
  <c r="Z281" i="3"/>
  <c r="Z286" i="3"/>
  <c r="Z275" i="3"/>
  <c r="Z277" i="3"/>
  <c r="Z278" i="3"/>
  <c r="Z243" i="3"/>
  <c r="Z245" i="3"/>
  <c r="Z152" i="3"/>
  <c r="Z141" i="3"/>
  <c r="Y245" i="3"/>
  <c r="Y243" i="3"/>
  <c r="Y152" i="3"/>
  <c r="Y141" i="3"/>
  <c r="Z111" i="3"/>
  <c r="Z109" i="3"/>
  <c r="Z260" i="3"/>
  <c r="Z263" i="3"/>
  <c r="Z113" i="3"/>
  <c r="Z115" i="3"/>
  <c r="Z114" i="3"/>
  <c r="Y109" i="3"/>
  <c r="Y260" i="3"/>
  <c r="Y113" i="3"/>
  <c r="Y263" i="3"/>
  <c r="Y115" i="3"/>
  <c r="Y114" i="3"/>
  <c r="Y111" i="3"/>
  <c r="Y93" i="3"/>
  <c r="Y259" i="3"/>
  <c r="Y26" i="3"/>
  <c r="Z93" i="3"/>
  <c r="Z259" i="3"/>
  <c r="Z26" i="3"/>
  <c r="Y291" i="3"/>
  <c r="Y5" i="3"/>
  <c r="Z291" i="3"/>
  <c r="Z5" i="3"/>
  <c r="Z343" i="3"/>
  <c r="Z342" i="3"/>
  <c r="Z341" i="3"/>
  <c r="Z340" i="3"/>
  <c r="Z339" i="3"/>
  <c r="Z338" i="3"/>
  <c r="Z337" i="3"/>
  <c r="Z336" i="3"/>
  <c r="Z335" i="3"/>
  <c r="Z334" i="3"/>
  <c r="Z333" i="3"/>
  <c r="Z332" i="3"/>
  <c r="Z331" i="3"/>
  <c r="Z328" i="3"/>
  <c r="Z326" i="3"/>
  <c r="Z325" i="3"/>
  <c r="Z321" i="3"/>
  <c r="Z320" i="3"/>
  <c r="Z319" i="3"/>
  <c r="Z318" i="3"/>
  <c r="Z317" i="3"/>
  <c r="Z316" i="3"/>
  <c r="Z315" i="3"/>
  <c r="Z314" i="3"/>
  <c r="Z313" i="3"/>
  <c r="Z312" i="3"/>
  <c r="Z311" i="3"/>
  <c r="Z310" i="3"/>
  <c r="Z309" i="3"/>
  <c r="Z308" i="3"/>
  <c r="Z307" i="3"/>
  <c r="Z306" i="3"/>
  <c r="Z305" i="3"/>
  <c r="Z304" i="3"/>
  <c r="Z303" i="3"/>
  <c r="Z302" i="3"/>
  <c r="Z301" i="3"/>
  <c r="Z300" i="3"/>
  <c r="Z299" i="3"/>
  <c r="Z298" i="3"/>
  <c r="Z297" i="3"/>
  <c r="Z296" i="3"/>
  <c r="Z295" i="3"/>
  <c r="Z294" i="3"/>
  <c r="Z293" i="3"/>
  <c r="Z292" i="3"/>
  <c r="Z290" i="3"/>
  <c r="Z289" i="3"/>
  <c r="Z288" i="3"/>
  <c r="Z287" i="3"/>
  <c r="Z285" i="3"/>
  <c r="Z284" i="3"/>
  <c r="Z282" i="3"/>
  <c r="Z280" i="3"/>
  <c r="Z276" i="3"/>
  <c r="Z274" i="3"/>
  <c r="Z273" i="3"/>
  <c r="Z271" i="3"/>
  <c r="Z269" i="3"/>
  <c r="Z268" i="3"/>
  <c r="Z267" i="3"/>
  <c r="Z266" i="3"/>
  <c r="Z265" i="3"/>
  <c r="Z264" i="3"/>
  <c r="Z262" i="3"/>
  <c r="Z261" i="3"/>
  <c r="Z258" i="3"/>
  <c r="Z257" i="3"/>
  <c r="Z256" i="3"/>
  <c r="Z255" i="3"/>
  <c r="Z254" i="3"/>
  <c r="Z253" i="3"/>
  <c r="Z252" i="3"/>
  <c r="Z251" i="3"/>
  <c r="Z250" i="3"/>
  <c r="Z249" i="3"/>
  <c r="Z247" i="3"/>
  <c r="Z248" i="3"/>
  <c r="Z246" i="3"/>
  <c r="Z244" i="3"/>
  <c r="Z242" i="3"/>
  <c r="Z241" i="3"/>
  <c r="Z240" i="3"/>
  <c r="Z239" i="3"/>
  <c r="Z238" i="3"/>
  <c r="Z237" i="3"/>
  <c r="Z236" i="3"/>
  <c r="Z235" i="3"/>
  <c r="Z234" i="3"/>
  <c r="Z232" i="3"/>
  <c r="Z231" i="3"/>
  <c r="Z230" i="3"/>
  <c r="Z229" i="3"/>
  <c r="Z228" i="3"/>
  <c r="Z226" i="3"/>
  <c r="Z225" i="3"/>
  <c r="Z224" i="3"/>
  <c r="Z223" i="3"/>
  <c r="Z221" i="3"/>
  <c r="Z219" i="3"/>
  <c r="Z218" i="3"/>
  <c r="Z217" i="3"/>
  <c r="Z216" i="3"/>
  <c r="Z214" i="3"/>
  <c r="Z212" i="3"/>
  <c r="Z211" i="3"/>
  <c r="Z209" i="3"/>
  <c r="Z208" i="3"/>
  <c r="Z207" i="3"/>
  <c r="Z205" i="3"/>
  <c r="Z204" i="3"/>
  <c r="Z203" i="3"/>
  <c r="Z202" i="3"/>
  <c r="Z200" i="3"/>
  <c r="Z197" i="3"/>
  <c r="Z196" i="3"/>
  <c r="Z194" i="3"/>
  <c r="Z192" i="3"/>
  <c r="Z190" i="3"/>
  <c r="Z189" i="3"/>
  <c r="Z187" i="3"/>
  <c r="Z186" i="3"/>
  <c r="Z185" i="3"/>
  <c r="Z183" i="3"/>
  <c r="Z182" i="3"/>
  <c r="Z181" i="3"/>
  <c r="Z180" i="3"/>
  <c r="Z179" i="3"/>
  <c r="Z178" i="3"/>
  <c r="Z177" i="3"/>
  <c r="Z176" i="3"/>
  <c r="Z175" i="3"/>
  <c r="Z174" i="3"/>
  <c r="Z173" i="3"/>
  <c r="Z172" i="3"/>
  <c r="Z170" i="3"/>
  <c r="Z169" i="3"/>
  <c r="Z168" i="3"/>
  <c r="Z167" i="3"/>
  <c r="Z166" i="3"/>
  <c r="Z165" i="3"/>
  <c r="Z164" i="3"/>
  <c r="Z163" i="3"/>
  <c r="Z162" i="3"/>
  <c r="Z161" i="3"/>
  <c r="Z160" i="3"/>
  <c r="Z159" i="3"/>
  <c r="Z158" i="3"/>
  <c r="Z157" i="3"/>
  <c r="Z156" i="3"/>
  <c r="Z155" i="3"/>
  <c r="Z154" i="3"/>
  <c r="Z153" i="3"/>
  <c r="Z151" i="3"/>
  <c r="Z149" i="3"/>
  <c r="Z148" i="3"/>
  <c r="Z147" i="3"/>
  <c r="Z146" i="3"/>
  <c r="Z145" i="3"/>
  <c r="Z144" i="3"/>
  <c r="Z143" i="3"/>
  <c r="Z142" i="3"/>
  <c r="Z140" i="3"/>
  <c r="Z139" i="3"/>
  <c r="Z138" i="3"/>
  <c r="Z137" i="3"/>
  <c r="Z136" i="3"/>
  <c r="Z135" i="3"/>
  <c r="Z134" i="3"/>
  <c r="Z133" i="3"/>
  <c r="Z132" i="3"/>
  <c r="Z131" i="3"/>
  <c r="Z130" i="3"/>
  <c r="Z129" i="3"/>
  <c r="Z128" i="3"/>
  <c r="Z127" i="3"/>
  <c r="Z126" i="3"/>
  <c r="Z125" i="3"/>
  <c r="Z124" i="3"/>
  <c r="Z123" i="3"/>
  <c r="Z122" i="3"/>
  <c r="Z121" i="3"/>
  <c r="Z120" i="3"/>
  <c r="Z119" i="3"/>
  <c r="Z118" i="3"/>
  <c r="Z116" i="3"/>
  <c r="Z112" i="3"/>
  <c r="Z110" i="3"/>
  <c r="Z107" i="3"/>
  <c r="Z99" i="3"/>
  <c r="Z98" i="3"/>
  <c r="Z97" i="3"/>
  <c r="Z96" i="3"/>
  <c r="Z95" i="3"/>
  <c r="Z94" i="3"/>
  <c r="Z92" i="3"/>
  <c r="Z91" i="3"/>
  <c r="Z90" i="3"/>
  <c r="Z89" i="3"/>
  <c r="Z88" i="3"/>
  <c r="Z87" i="3"/>
  <c r="Z86" i="3"/>
  <c r="Z85" i="3"/>
  <c r="Z84" i="3"/>
  <c r="Z83" i="3"/>
  <c r="Z82" i="3"/>
  <c r="Z81" i="3"/>
  <c r="Z80" i="3"/>
  <c r="Z79" i="3"/>
  <c r="Z78" i="3"/>
  <c r="Z77" i="3"/>
  <c r="Z75" i="3"/>
  <c r="Z74" i="3"/>
  <c r="Z73" i="3"/>
  <c r="Z72" i="3"/>
  <c r="Z71" i="3"/>
  <c r="Z70" i="3"/>
  <c r="Z69" i="3"/>
  <c r="Z68" i="3"/>
  <c r="Z67" i="3"/>
  <c r="Z66" i="3"/>
  <c r="Z65" i="3"/>
  <c r="Z64" i="3"/>
  <c r="Z63" i="3"/>
  <c r="Z62" i="3"/>
  <c r="Z61" i="3"/>
  <c r="Z60" i="3"/>
  <c r="Z59" i="3"/>
  <c r="Z58" i="3"/>
  <c r="Z57" i="3"/>
  <c r="Z56" i="3"/>
  <c r="Z55" i="3"/>
  <c r="Z54" i="3"/>
  <c r="Z53" i="3"/>
  <c r="Z52" i="3"/>
  <c r="Z51" i="3"/>
  <c r="Z50" i="3"/>
  <c r="Z49" i="3"/>
  <c r="Z48" i="3"/>
  <c r="Z47" i="3"/>
  <c r="Z46" i="3"/>
  <c r="Z45" i="3"/>
  <c r="Z44" i="3"/>
  <c r="Z43" i="3"/>
  <c r="Z42" i="3"/>
  <c r="Z41" i="3"/>
  <c r="Z40" i="3"/>
  <c r="Z39" i="3"/>
  <c r="Z38" i="3"/>
  <c r="Z37" i="3"/>
  <c r="Z36" i="3"/>
  <c r="Z35" i="3"/>
  <c r="Z34" i="3"/>
  <c r="Z33" i="3"/>
  <c r="Z32" i="3"/>
  <c r="Z31" i="3"/>
  <c r="Z30" i="3"/>
  <c r="Z29" i="3"/>
  <c r="Z28" i="3"/>
  <c r="Z27" i="3"/>
  <c r="Z25" i="3"/>
  <c r="Z24" i="3"/>
  <c r="Z23" i="3"/>
  <c r="Z22" i="3"/>
  <c r="Z21" i="3"/>
  <c r="Z20" i="3"/>
  <c r="Z19" i="3"/>
  <c r="Z18" i="3"/>
  <c r="Z17" i="3"/>
  <c r="Z14" i="3"/>
  <c r="Z13" i="3"/>
  <c r="Z12" i="3"/>
  <c r="Z11" i="3"/>
  <c r="Z10" i="3"/>
  <c r="Z9" i="3"/>
  <c r="Z8" i="3"/>
  <c r="Z7" i="3"/>
  <c r="Z4" i="3"/>
  <c r="Y31" i="3"/>
  <c r="Y66" i="3"/>
  <c r="Y64" i="3"/>
  <c r="Y336" i="3"/>
  <c r="Y118" i="3"/>
  <c r="Y177" i="3"/>
  <c r="Y98" i="3"/>
  <c r="Y167" i="3"/>
  <c r="Y172" i="3"/>
  <c r="Y230" i="3"/>
  <c r="Y331" i="3"/>
  <c r="Y253" i="3"/>
  <c r="Y315" i="3"/>
  <c r="Y317" i="3"/>
  <c r="Y27" i="3"/>
  <c r="Y43" i="3"/>
  <c r="Y61" i="3"/>
  <c r="Y258" i="3"/>
  <c r="Y92" i="3"/>
  <c r="Y262" i="3"/>
  <c r="Y135" i="3"/>
  <c r="Y136" i="3"/>
  <c r="Y343" i="3"/>
  <c r="Y155" i="3"/>
  <c r="Y236" i="3"/>
  <c r="Y241" i="3"/>
  <c r="Y303" i="3"/>
  <c r="Y248" i="3"/>
  <c r="Y41" i="3"/>
  <c r="Y123" i="3"/>
  <c r="Y235" i="3"/>
  <c r="Y312" i="3"/>
  <c r="Y196" i="3"/>
  <c r="Y218" i="3"/>
  <c r="Y209" i="3"/>
  <c r="Y33" i="3"/>
  <c r="Y68" i="3"/>
  <c r="Y69" i="3"/>
  <c r="Y340" i="3"/>
  <c r="Y116" i="3"/>
  <c r="Y175" i="3"/>
  <c r="Y165" i="3"/>
  <c r="Y166" i="3"/>
  <c r="Y173" i="3"/>
  <c r="Y229" i="3"/>
  <c r="Y267" i="3"/>
  <c r="Y254" i="3"/>
  <c r="Y314" i="3"/>
  <c r="Y181" i="3"/>
  <c r="Y25" i="3"/>
  <c r="Y44" i="3"/>
  <c r="Y60" i="3"/>
  <c r="Y86" i="3"/>
  <c r="Y132" i="3"/>
  <c r="Y137" i="3"/>
  <c r="Y147" i="3"/>
  <c r="Y156" i="3"/>
  <c r="Y238" i="3"/>
  <c r="Y246" i="3"/>
  <c r="Y302" i="3"/>
  <c r="Y75" i="3"/>
  <c r="Y54" i="3"/>
  <c r="Y124" i="3"/>
  <c r="Y256" i="3"/>
  <c r="Y313" i="3"/>
  <c r="Y202" i="3"/>
  <c r="Y185" i="3"/>
  <c r="Y211" i="3"/>
  <c r="Y32" i="3"/>
  <c r="Y8" i="3"/>
  <c r="Y70" i="3"/>
  <c r="Y341" i="3"/>
  <c r="Y81" i="3"/>
  <c r="Y119" i="3"/>
  <c r="Y99" i="3"/>
  <c r="Y168" i="3"/>
  <c r="Y34" i="3"/>
  <c r="Y231" i="3"/>
  <c r="Y268" i="3"/>
  <c r="Y297" i="3"/>
  <c r="Y316" i="3"/>
  <c r="Y325" i="3"/>
  <c r="Y24" i="3"/>
  <c r="Y42" i="3"/>
  <c r="Y56" i="3"/>
  <c r="Y63" i="3"/>
  <c r="Y87" i="3"/>
  <c r="Y95" i="3"/>
  <c r="Y126" i="3"/>
  <c r="Y134" i="3"/>
  <c r="Y138" i="3"/>
  <c r="Y148" i="3"/>
  <c r="Y251" i="3"/>
  <c r="Y237" i="3"/>
  <c r="Y304" i="3"/>
  <c r="Y50" i="3"/>
  <c r="Y55" i="3"/>
  <c r="Y130" i="3"/>
  <c r="Y269" i="3"/>
  <c r="Y332" i="3"/>
  <c r="Y203" i="3"/>
  <c r="Y189" i="3"/>
  <c r="Y214" i="3"/>
  <c r="Y37" i="3"/>
  <c r="Y73" i="3"/>
  <c r="Y72" i="3"/>
  <c r="Y339" i="3"/>
  <c r="Y10" i="3"/>
  <c r="Y11" i="3"/>
  <c r="Y169" i="3"/>
  <c r="Y180" i="3"/>
  <c r="Y224" i="3"/>
  <c r="Y232" i="3"/>
  <c r="Y290" i="3"/>
  <c r="Y298" i="3"/>
  <c r="Y318" i="3"/>
  <c r="Y326" i="3"/>
  <c r="Y328" i="3"/>
  <c r="Y310" i="3"/>
  <c r="Y45" i="3"/>
  <c r="Y57" i="3"/>
  <c r="Y84" i="3"/>
  <c r="Y91" i="3"/>
  <c r="Y110" i="3"/>
  <c r="Y128" i="3"/>
  <c r="Y133" i="3"/>
  <c r="Y285" i="3"/>
  <c r="Y149" i="3"/>
  <c r="Y52" i="3"/>
  <c r="Y239" i="3"/>
  <c r="Y280" i="3"/>
  <c r="Y305" i="3"/>
  <c r="Y157" i="3"/>
  <c r="Y82" i="3"/>
  <c r="Y131" i="3"/>
  <c r="Y271" i="3"/>
  <c r="Y333" i="3"/>
  <c r="Y204" i="3"/>
  <c r="Y190" i="3"/>
  <c r="Y217" i="3"/>
  <c r="Y36" i="3"/>
  <c r="Y65" i="3"/>
  <c r="Y74" i="3"/>
  <c r="Y342" i="3"/>
  <c r="Y77" i="3"/>
  <c r="Y170" i="3"/>
  <c r="Y178" i="3"/>
  <c r="Y179" i="3"/>
  <c r="Y226" i="3"/>
  <c r="Y265" i="3"/>
  <c r="Y294" i="3"/>
  <c r="Y293" i="3"/>
  <c r="Y319" i="3"/>
  <c r="Y22" i="3"/>
  <c r="Y46" i="3"/>
  <c r="Y58" i="3"/>
  <c r="Y83" i="3"/>
  <c r="Y90" i="3"/>
  <c r="Y261" i="3"/>
  <c r="Y127" i="3"/>
  <c r="Y249" i="3"/>
  <c r="Y13" i="3"/>
  <c r="Y53" i="3"/>
  <c r="Y274" i="3"/>
  <c r="Y244" i="3"/>
  <c r="Y308" i="3"/>
  <c r="Y158" i="3"/>
  <c r="Y89" i="3"/>
  <c r="Y142" i="3"/>
  <c r="Y287" i="3"/>
  <c r="Y183" i="3"/>
  <c r="Y205" i="3"/>
  <c r="Y192" i="3"/>
  <c r="Y219" i="3"/>
  <c r="Y7" i="3"/>
  <c r="Y67" i="3"/>
  <c r="Y334" i="3"/>
  <c r="Y80" i="3"/>
  <c r="Y163" i="3"/>
  <c r="Y159" i="3"/>
  <c r="Y12" i="3"/>
  <c r="Y182" i="3"/>
  <c r="Y228" i="3"/>
  <c r="Y39" i="3"/>
  <c r="Y295" i="3"/>
  <c r="Y296" i="3"/>
  <c r="Y320" i="3"/>
  <c r="Y18" i="3"/>
  <c r="Y23" i="3"/>
  <c r="Y48" i="3"/>
  <c r="Y59" i="3"/>
  <c r="Y85" i="3"/>
  <c r="Y94" i="3"/>
  <c r="Y112" i="3"/>
  <c r="Y129" i="3"/>
  <c r="Y139" i="3"/>
  <c r="Y144" i="3"/>
  <c r="Y153" i="3"/>
  <c r="Y276" i="3"/>
  <c r="Y252" i="3"/>
  <c r="Y273" i="3"/>
  <c r="Y307" i="3"/>
  <c r="Y20" i="3"/>
  <c r="Y107" i="3"/>
  <c r="Y143" i="3"/>
  <c r="Y292" i="3"/>
  <c r="Y186" i="3"/>
  <c r="Y208" i="3"/>
  <c r="Y197" i="3"/>
  <c r="Y221" i="3"/>
  <c r="Y30" i="3"/>
  <c r="Y38" i="3"/>
  <c r="Y71" i="3"/>
  <c r="Y337" i="3"/>
  <c r="Y78" i="3"/>
  <c r="Y164" i="3"/>
  <c r="Y160" i="3"/>
  <c r="Y174" i="3"/>
  <c r="Y14" i="3"/>
  <c r="Y225" i="3"/>
  <c r="Y264" i="3"/>
  <c r="Y288" i="3"/>
  <c r="Y299" i="3"/>
  <c r="Y321" i="3"/>
  <c r="Y29" i="3"/>
  <c r="Y47" i="3"/>
  <c r="Y62" i="3"/>
  <c r="Y257" i="3"/>
  <c r="Y96" i="3"/>
  <c r="Y122" i="3"/>
  <c r="Y140" i="3"/>
  <c r="Y146" i="3"/>
  <c r="Y154" i="3"/>
  <c r="Y284" i="3"/>
  <c r="Y240" i="3"/>
  <c r="Y306" i="3"/>
  <c r="Y21" i="3"/>
  <c r="Y120" i="3"/>
  <c r="Y151" i="3"/>
  <c r="Y300" i="3"/>
  <c r="Y187" i="3"/>
  <c r="Y212" i="3"/>
  <c r="Y200" i="3"/>
  <c r="Y4" i="3"/>
  <c r="Y35" i="3"/>
  <c r="Y311" i="3"/>
  <c r="Y9" i="3"/>
  <c r="Y335" i="3"/>
  <c r="Y79" i="3"/>
  <c r="Y176" i="3"/>
  <c r="Y162" i="3"/>
  <c r="Y223" i="3"/>
  <c r="Y161" i="3"/>
  <c r="Y266" i="3"/>
  <c r="Y17" i="3"/>
  <c r="Y338" i="3"/>
  <c r="Y255" i="3"/>
  <c r="Y19" i="3"/>
  <c r="Y28" i="3"/>
  <c r="Y49" i="3"/>
  <c r="Y247" i="3"/>
  <c r="Y97" i="3"/>
  <c r="Y125" i="3"/>
  <c r="Y88" i="3"/>
  <c r="Y145" i="3"/>
  <c r="Y250" i="3"/>
  <c r="Y289" i="3"/>
  <c r="Y242" i="3"/>
  <c r="Y282" i="3"/>
  <c r="Y309" i="3"/>
  <c r="Y51" i="3"/>
  <c r="Y40" i="3"/>
  <c r="Y121" i="3"/>
  <c r="Y234" i="3"/>
  <c r="Y301" i="3"/>
  <c r="Y194" i="3"/>
  <c r="Y216" i="3"/>
  <c r="Y207" i="3"/>
  <c r="B219" i="8"/>
  <c r="D219" i="8"/>
  <c r="E219" i="8"/>
  <c r="A212" i="8"/>
  <c r="A213" i="8"/>
  <c r="A214" i="8"/>
  <c r="A215" i="8"/>
  <c r="A216" i="8"/>
  <c r="A217" i="8"/>
  <c r="A218" i="8"/>
  <c r="B212" i="8"/>
  <c r="B213" i="8"/>
  <c r="B214" i="8"/>
  <c r="B215" i="8"/>
  <c r="B216" i="8"/>
  <c r="B217" i="8"/>
  <c r="B218" i="8"/>
  <c r="D212" i="8"/>
  <c r="D213" i="8"/>
  <c r="D214" i="8"/>
  <c r="D215" i="8"/>
  <c r="D216" i="8"/>
  <c r="D217" i="8"/>
  <c r="D218" i="8"/>
  <c r="E212" i="8"/>
  <c r="E213" i="8"/>
  <c r="E214" i="8"/>
  <c r="E215" i="8"/>
  <c r="E216" i="8"/>
  <c r="E217" i="8"/>
  <c r="E218" i="8"/>
  <c r="A201" i="8" l="1"/>
  <c r="B201" i="8"/>
  <c r="D201" i="8"/>
  <c r="E201" i="8"/>
  <c r="A200" i="8" l="1"/>
  <c r="B200" i="8"/>
  <c r="D200" i="8"/>
  <c r="E200" i="8"/>
  <c r="A185" i="8" l="1"/>
  <c r="A186" i="8"/>
  <c r="A187" i="8"/>
  <c r="A188" i="8"/>
  <c r="B185" i="8"/>
  <c r="B186" i="8"/>
  <c r="B187" i="8"/>
  <c r="B188" i="8"/>
  <c r="D185" i="8"/>
  <c r="D186" i="8"/>
  <c r="D187" i="8"/>
  <c r="D188" i="8"/>
  <c r="E185" i="8"/>
  <c r="E186" i="8"/>
  <c r="E187" i="8"/>
  <c r="E188" i="8"/>
  <c r="E233" i="8" l="1"/>
  <c r="D233" i="8"/>
  <c r="B233" i="8"/>
  <c r="A233" i="8"/>
  <c r="E232" i="8"/>
  <c r="D232" i="8"/>
  <c r="B232" i="8"/>
  <c r="A232" i="8"/>
  <c r="E231" i="8"/>
  <c r="D231" i="8"/>
  <c r="B231" i="8"/>
  <c r="A231" i="8"/>
  <c r="E230" i="8"/>
  <c r="D230" i="8"/>
  <c r="B230" i="8"/>
  <c r="A230" i="8"/>
  <c r="E229" i="8"/>
  <c r="D229" i="8"/>
  <c r="B229" i="8"/>
  <c r="A229" i="8"/>
  <c r="E228" i="8"/>
  <c r="D228" i="8"/>
  <c r="B228" i="8"/>
  <c r="A228" i="8"/>
  <c r="E227" i="8"/>
  <c r="D227" i="8"/>
  <c r="B227" i="8"/>
  <c r="A227" i="8"/>
  <c r="E226" i="8"/>
  <c r="D226" i="8"/>
  <c r="B226" i="8"/>
  <c r="A226" i="8"/>
  <c r="E211" i="8"/>
  <c r="D211" i="8"/>
  <c r="B211" i="8"/>
  <c r="A211" i="8"/>
  <c r="E210" i="8"/>
  <c r="D210" i="8"/>
  <c r="B210" i="8"/>
  <c r="A210" i="8"/>
  <c r="E209" i="8"/>
  <c r="D209" i="8"/>
  <c r="B209" i="8"/>
  <c r="A209" i="8"/>
  <c r="E208" i="8"/>
  <c r="D208" i="8"/>
  <c r="B208" i="8"/>
  <c r="A208" i="8"/>
  <c r="E207" i="8"/>
  <c r="D207" i="8"/>
  <c r="B207" i="8"/>
  <c r="A207" i="8"/>
  <c r="E206" i="8"/>
  <c r="D206" i="8"/>
  <c r="B206" i="8"/>
  <c r="A206" i="8"/>
  <c r="E205" i="8"/>
  <c r="D205" i="8"/>
  <c r="B205" i="8"/>
  <c r="A205" i="8"/>
  <c r="E204" i="8"/>
  <c r="D204" i="8"/>
  <c r="B204" i="8"/>
  <c r="A204" i="8"/>
  <c r="E199" i="8"/>
  <c r="D199" i="8"/>
  <c r="B199" i="8"/>
  <c r="A199" i="8"/>
  <c r="E198" i="8"/>
  <c r="D198" i="8"/>
  <c r="B198" i="8"/>
  <c r="A198" i="8"/>
  <c r="E197" i="8"/>
  <c r="D197" i="8"/>
  <c r="B197" i="8"/>
  <c r="A197" i="8"/>
  <c r="E196" i="8"/>
  <c r="D196" i="8"/>
  <c r="B196" i="8"/>
  <c r="A196" i="8"/>
  <c r="E195" i="8"/>
  <c r="D195" i="8"/>
  <c r="B195" i="8"/>
  <c r="A195" i="8"/>
  <c r="E194" i="8"/>
  <c r="D194" i="8"/>
  <c r="B194" i="8"/>
  <c r="A194" i="8"/>
  <c r="E193" i="8"/>
  <c r="D193" i="8"/>
  <c r="B193" i="8"/>
  <c r="A193" i="8"/>
  <c r="E192" i="8"/>
  <c r="D192" i="8"/>
  <c r="B192" i="8"/>
  <c r="A192" i="8"/>
  <c r="W6" i="3" l="1"/>
  <c r="W199" i="3"/>
  <c r="W233" i="3"/>
  <c r="W227" i="3"/>
  <c r="W171" i="3"/>
  <c r="X199" i="3"/>
  <c r="X6" i="3"/>
  <c r="X233" i="3"/>
  <c r="X227" i="3"/>
  <c r="X171" i="3"/>
  <c r="V199" i="3"/>
  <c r="V6" i="3"/>
  <c r="V233" i="3"/>
  <c r="V227" i="3"/>
  <c r="V171" i="3"/>
  <c r="X104" i="3"/>
  <c r="X102" i="3"/>
  <c r="X100" i="3"/>
  <c r="X101" i="3"/>
  <c r="X103" i="3"/>
  <c r="X105" i="3"/>
  <c r="W104" i="3"/>
  <c r="W100" i="3"/>
  <c r="W103" i="3"/>
  <c r="W101" i="3"/>
  <c r="W102" i="3"/>
  <c r="W105" i="3"/>
  <c r="V104" i="3"/>
  <c r="V100" i="3"/>
  <c r="V103" i="3"/>
  <c r="V101" i="3"/>
  <c r="V102" i="3"/>
  <c r="V105" i="3"/>
  <c r="V106" i="3"/>
  <c r="V270" i="3"/>
  <c r="V108" i="3"/>
  <c r="W106" i="3"/>
  <c r="W270" i="3"/>
  <c r="W108" i="3"/>
  <c r="X106" i="3"/>
  <c r="X270" i="3"/>
  <c r="X108" i="3"/>
  <c r="X188" i="3"/>
  <c r="X215" i="3"/>
  <c r="X191" i="3"/>
  <c r="X220" i="3"/>
  <c r="X193" i="3"/>
  <c r="X184" i="3"/>
  <c r="X201" i="3"/>
  <c r="X195" i="3"/>
  <c r="X206" i="3"/>
  <c r="X198" i="3"/>
  <c r="X210" i="3"/>
  <c r="X213" i="3"/>
  <c r="X322" i="3"/>
  <c r="X330" i="3"/>
  <c r="X323" i="3"/>
  <c r="X324" i="3"/>
  <c r="X329" i="3"/>
  <c r="X327" i="3"/>
  <c r="X222" i="3"/>
  <c r="X16" i="3"/>
  <c r="X15" i="3"/>
  <c r="V193" i="3"/>
  <c r="V201" i="3"/>
  <c r="V195" i="3"/>
  <c r="V206" i="3"/>
  <c r="V198" i="3"/>
  <c r="V210" i="3"/>
  <c r="V220" i="3"/>
  <c r="V184" i="3"/>
  <c r="V213" i="3"/>
  <c r="V191" i="3"/>
  <c r="V188" i="3"/>
  <c r="V215" i="3"/>
  <c r="V323" i="3"/>
  <c r="V329" i="3"/>
  <c r="V322" i="3"/>
  <c r="V330" i="3"/>
  <c r="V327" i="3"/>
  <c r="V324" i="3"/>
  <c r="V16" i="3"/>
  <c r="V222" i="3"/>
  <c r="V15" i="3"/>
  <c r="W195" i="3"/>
  <c r="W206" i="3"/>
  <c r="W198" i="3"/>
  <c r="W210" i="3"/>
  <c r="W184" i="3"/>
  <c r="W213" i="3"/>
  <c r="W201" i="3"/>
  <c r="W188" i="3"/>
  <c r="W215" i="3"/>
  <c r="W191" i="3"/>
  <c r="W220" i="3"/>
  <c r="W193" i="3"/>
  <c r="W327" i="3"/>
  <c r="W322" i="3"/>
  <c r="W324" i="3"/>
  <c r="W323" i="3"/>
  <c r="W329" i="3"/>
  <c r="W330" i="3"/>
  <c r="W222" i="3"/>
  <c r="W15" i="3"/>
  <c r="W16" i="3"/>
  <c r="W117" i="3"/>
  <c r="W272" i="3"/>
  <c r="W275" i="3"/>
  <c r="W277" i="3"/>
  <c r="W281" i="3"/>
  <c r="W278" i="3"/>
  <c r="W283" i="3"/>
  <c r="W279" i="3"/>
  <c r="W286" i="3"/>
  <c r="W243" i="3"/>
  <c r="W245" i="3"/>
  <c r="W152" i="3"/>
  <c r="X117" i="3"/>
  <c r="X272" i="3"/>
  <c r="X275" i="3"/>
  <c r="X277" i="3"/>
  <c r="X279" i="3"/>
  <c r="X278" i="3"/>
  <c r="X283" i="3"/>
  <c r="X281" i="3"/>
  <c r="X286" i="3"/>
  <c r="X243" i="3"/>
  <c r="X245" i="3"/>
  <c r="V141" i="3"/>
  <c r="V117" i="3"/>
  <c r="V272" i="3"/>
  <c r="V275" i="3"/>
  <c r="V277" i="3"/>
  <c r="V278" i="3"/>
  <c r="V279" i="3"/>
  <c r="V283" i="3"/>
  <c r="V286" i="3"/>
  <c r="V281" i="3"/>
  <c r="V243" i="3"/>
  <c r="V245" i="3"/>
  <c r="V152" i="3"/>
  <c r="X152" i="3"/>
  <c r="X141" i="3"/>
  <c r="W141" i="3"/>
  <c r="W113" i="3"/>
  <c r="W115" i="3"/>
  <c r="W111" i="3"/>
  <c r="W109" i="3"/>
  <c r="W114" i="3"/>
  <c r="W263" i="3"/>
  <c r="W260" i="3"/>
  <c r="V93" i="3"/>
  <c r="V115" i="3"/>
  <c r="V260" i="3"/>
  <c r="V114" i="3"/>
  <c r="V263" i="3"/>
  <c r="V111" i="3"/>
  <c r="V109" i="3"/>
  <c r="V113" i="3"/>
  <c r="X260" i="3"/>
  <c r="X113" i="3"/>
  <c r="X115" i="3"/>
  <c r="X114" i="3"/>
  <c r="X263" i="3"/>
  <c r="X111" i="3"/>
  <c r="X109" i="3"/>
  <c r="X93" i="3"/>
  <c r="X259" i="3"/>
  <c r="X26" i="3"/>
  <c r="W93" i="3"/>
  <c r="W259" i="3"/>
  <c r="W26" i="3"/>
  <c r="V259" i="3"/>
  <c r="V26" i="3"/>
  <c r="V291" i="3"/>
  <c r="V5" i="3"/>
  <c r="W291" i="3"/>
  <c r="W5" i="3"/>
  <c r="X291" i="3"/>
  <c r="X5" i="3"/>
  <c r="X31" i="3"/>
  <c r="X66" i="3"/>
  <c r="X64" i="3"/>
  <c r="X336" i="3"/>
  <c r="X118" i="3"/>
  <c r="X177" i="3"/>
  <c r="X98" i="3"/>
  <c r="X167" i="3"/>
  <c r="X172" i="3"/>
  <c r="X230" i="3"/>
  <c r="X331" i="3"/>
  <c r="X253" i="3"/>
  <c r="X315" i="3"/>
  <c r="X317" i="3"/>
  <c r="X24" i="3"/>
  <c r="X42" i="3"/>
  <c r="X56" i="3"/>
  <c r="X63" i="3"/>
  <c r="X87" i="3"/>
  <c r="X95" i="3"/>
  <c r="X126" i="3"/>
  <c r="X134" i="3"/>
  <c r="X138" i="3"/>
  <c r="X148" i="3"/>
  <c r="X251" i="3"/>
  <c r="X237" i="3"/>
  <c r="X304" i="3"/>
  <c r="X158" i="3"/>
  <c r="X89" i="3"/>
  <c r="X142" i="3"/>
  <c r="X287" i="3"/>
  <c r="X183" i="3"/>
  <c r="X205" i="3"/>
  <c r="X192" i="3"/>
  <c r="X219" i="3"/>
  <c r="X225" i="3"/>
  <c r="X27" i="3"/>
  <c r="X241" i="3"/>
  <c r="X214" i="3"/>
  <c r="X33" i="3"/>
  <c r="X68" i="3"/>
  <c r="X69" i="3"/>
  <c r="X340" i="3"/>
  <c r="X116" i="3"/>
  <c r="X175" i="3"/>
  <c r="X165" i="3"/>
  <c r="X166" i="3"/>
  <c r="X173" i="3"/>
  <c r="X229" i="3"/>
  <c r="X267" i="3"/>
  <c r="X254" i="3"/>
  <c r="X314" i="3"/>
  <c r="X181" i="3"/>
  <c r="X310" i="3"/>
  <c r="X45" i="3"/>
  <c r="X57" i="3"/>
  <c r="X84" i="3"/>
  <c r="X91" i="3"/>
  <c r="X110" i="3"/>
  <c r="X128" i="3"/>
  <c r="X133" i="3"/>
  <c r="X285" i="3"/>
  <c r="X149" i="3"/>
  <c r="X52" i="3"/>
  <c r="X239" i="3"/>
  <c r="X280" i="3"/>
  <c r="X305" i="3"/>
  <c r="X20" i="3"/>
  <c r="X107" i="3"/>
  <c r="X143" i="3"/>
  <c r="X292" i="3"/>
  <c r="X186" i="3"/>
  <c r="X208" i="3"/>
  <c r="X197" i="3"/>
  <c r="X221" i="3"/>
  <c r="X299" i="3"/>
  <c r="X135" i="3"/>
  <c r="X332" i="3"/>
  <c r="X32" i="3"/>
  <c r="X8" i="3"/>
  <c r="X70" i="3"/>
  <c r="X341" i="3"/>
  <c r="X81" i="3"/>
  <c r="X119" i="3"/>
  <c r="X99" i="3"/>
  <c r="X168" i="3"/>
  <c r="X34" i="3"/>
  <c r="X231" i="3"/>
  <c r="X268" i="3"/>
  <c r="X297" i="3"/>
  <c r="X316" i="3"/>
  <c r="X325" i="3"/>
  <c r="X22" i="3"/>
  <c r="X46" i="3"/>
  <c r="X58" i="3"/>
  <c r="X83" i="3"/>
  <c r="X90" i="3"/>
  <c r="X261" i="3"/>
  <c r="X127" i="3"/>
  <c r="X249" i="3"/>
  <c r="X13" i="3"/>
  <c r="X53" i="3"/>
  <c r="X274" i="3"/>
  <c r="X244" i="3"/>
  <c r="X308" i="3"/>
  <c r="X21" i="3"/>
  <c r="X120" i="3"/>
  <c r="X151" i="3"/>
  <c r="X300" i="3"/>
  <c r="X187" i="3"/>
  <c r="X212" i="3"/>
  <c r="X200" i="3"/>
  <c r="X4" i="3"/>
  <c r="X288" i="3"/>
  <c r="X262" i="3"/>
  <c r="X55" i="3"/>
  <c r="X37" i="3"/>
  <c r="X73" i="3"/>
  <c r="X72" i="3"/>
  <c r="X339" i="3"/>
  <c r="X10" i="3"/>
  <c r="X11" i="3"/>
  <c r="X169" i="3"/>
  <c r="X180" i="3"/>
  <c r="X224" i="3"/>
  <c r="X232" i="3"/>
  <c r="X290" i="3"/>
  <c r="X298" i="3"/>
  <c r="X318" i="3"/>
  <c r="X326" i="3"/>
  <c r="X328" i="3"/>
  <c r="X23" i="3"/>
  <c r="X48" i="3"/>
  <c r="X59" i="3"/>
  <c r="X85" i="3"/>
  <c r="X94" i="3"/>
  <c r="X112" i="3"/>
  <c r="X129" i="3"/>
  <c r="X139" i="3"/>
  <c r="X144" i="3"/>
  <c r="X153" i="3"/>
  <c r="X276" i="3"/>
  <c r="X252" i="3"/>
  <c r="X273" i="3"/>
  <c r="X307" i="3"/>
  <c r="X51" i="3"/>
  <c r="X40" i="3"/>
  <c r="X121" i="3"/>
  <c r="X234" i="3"/>
  <c r="X301" i="3"/>
  <c r="X194" i="3"/>
  <c r="X216" i="3"/>
  <c r="X207" i="3"/>
  <c r="X14" i="3"/>
  <c r="X136" i="3"/>
  <c r="X50" i="3"/>
  <c r="X36" i="3"/>
  <c r="X65" i="3"/>
  <c r="X74" i="3"/>
  <c r="X342" i="3"/>
  <c r="X77" i="3"/>
  <c r="X170" i="3"/>
  <c r="X178" i="3"/>
  <c r="X179" i="3"/>
  <c r="X226" i="3"/>
  <c r="X265" i="3"/>
  <c r="X294" i="3"/>
  <c r="X293" i="3"/>
  <c r="X319" i="3"/>
  <c r="X29" i="3"/>
  <c r="X47" i="3"/>
  <c r="X62" i="3"/>
  <c r="X257" i="3"/>
  <c r="X96" i="3"/>
  <c r="X122" i="3"/>
  <c r="X140" i="3"/>
  <c r="X146" i="3"/>
  <c r="X154" i="3"/>
  <c r="X284" i="3"/>
  <c r="X240" i="3"/>
  <c r="X306" i="3"/>
  <c r="X248" i="3"/>
  <c r="X41" i="3"/>
  <c r="X123" i="3"/>
  <c r="X235" i="3"/>
  <c r="X312" i="3"/>
  <c r="X196" i="3"/>
  <c r="X218" i="3"/>
  <c r="X209" i="3"/>
  <c r="X264" i="3"/>
  <c r="X92" i="3"/>
  <c r="X269" i="3"/>
  <c r="X7" i="3"/>
  <c r="X67" i="3"/>
  <c r="X334" i="3"/>
  <c r="X80" i="3"/>
  <c r="X163" i="3"/>
  <c r="X159" i="3"/>
  <c r="X12" i="3"/>
  <c r="X182" i="3"/>
  <c r="X228" i="3"/>
  <c r="X39" i="3"/>
  <c r="X295" i="3"/>
  <c r="X296" i="3"/>
  <c r="X320" i="3"/>
  <c r="X18" i="3"/>
  <c r="X28" i="3"/>
  <c r="X49" i="3"/>
  <c r="X247" i="3"/>
  <c r="X97" i="3"/>
  <c r="X125" i="3"/>
  <c r="X88" i="3"/>
  <c r="X145" i="3"/>
  <c r="X250" i="3"/>
  <c r="X289" i="3"/>
  <c r="X242" i="3"/>
  <c r="X282" i="3"/>
  <c r="X309" i="3"/>
  <c r="X75" i="3"/>
  <c r="X54" i="3"/>
  <c r="X124" i="3"/>
  <c r="X256" i="3"/>
  <c r="X313" i="3"/>
  <c r="X202" i="3"/>
  <c r="X185" i="3"/>
  <c r="X211" i="3"/>
  <c r="X160" i="3"/>
  <c r="X61" i="3"/>
  <c r="X236" i="3"/>
  <c r="X189" i="3"/>
  <c r="X30" i="3"/>
  <c r="X38" i="3"/>
  <c r="X71" i="3"/>
  <c r="X337" i="3"/>
  <c r="X78" i="3"/>
  <c r="X164" i="3"/>
  <c r="X174" i="3"/>
  <c r="X43" i="3"/>
  <c r="X343" i="3"/>
  <c r="X155" i="3"/>
  <c r="X130" i="3"/>
  <c r="X35" i="3"/>
  <c r="X311" i="3"/>
  <c r="X9" i="3"/>
  <c r="X335" i="3"/>
  <c r="X79" i="3"/>
  <c r="X176" i="3"/>
  <c r="X162" i="3"/>
  <c r="X223" i="3"/>
  <c r="X161" i="3"/>
  <c r="X266" i="3"/>
  <c r="X17" i="3"/>
  <c r="X338" i="3"/>
  <c r="X255" i="3"/>
  <c r="X19" i="3"/>
  <c r="X25" i="3"/>
  <c r="X44" i="3"/>
  <c r="X60" i="3"/>
  <c r="X86" i="3"/>
  <c r="X132" i="3"/>
  <c r="X137" i="3"/>
  <c r="X147" i="3"/>
  <c r="X156" i="3"/>
  <c r="X238" i="3"/>
  <c r="X246" i="3"/>
  <c r="X302" i="3"/>
  <c r="X157" i="3"/>
  <c r="X82" i="3"/>
  <c r="X131" i="3"/>
  <c r="X271" i="3"/>
  <c r="X333" i="3"/>
  <c r="X204" i="3"/>
  <c r="X190" i="3"/>
  <c r="X217" i="3"/>
  <c r="X321" i="3"/>
  <c r="X258" i="3"/>
  <c r="X303" i="3"/>
  <c r="X203" i="3"/>
  <c r="W31" i="3"/>
  <c r="W66" i="3"/>
  <c r="W64" i="3"/>
  <c r="W336" i="3"/>
  <c r="W118" i="3"/>
  <c r="W177" i="3"/>
  <c r="W98" i="3"/>
  <c r="W167" i="3"/>
  <c r="W172" i="3"/>
  <c r="W230" i="3"/>
  <c r="W331" i="3"/>
  <c r="W253" i="3"/>
  <c r="W315" i="3"/>
  <c r="W317" i="3"/>
  <c r="W22" i="3"/>
  <c r="W46" i="3"/>
  <c r="W58" i="3"/>
  <c r="W83" i="3"/>
  <c r="W90" i="3"/>
  <c r="W261" i="3"/>
  <c r="W127" i="3"/>
  <c r="W249" i="3"/>
  <c r="W13" i="3"/>
  <c r="W53" i="3"/>
  <c r="W274" i="3"/>
  <c r="W244" i="3"/>
  <c r="W308" i="3"/>
  <c r="W248" i="3"/>
  <c r="W41" i="3"/>
  <c r="W123" i="3"/>
  <c r="W235" i="3"/>
  <c r="W312" i="3"/>
  <c r="W196" i="3"/>
  <c r="W218" i="3"/>
  <c r="W209" i="3"/>
  <c r="W334" i="3"/>
  <c r="W18" i="3"/>
  <c r="W60" i="3"/>
  <c r="W137" i="3"/>
  <c r="W238" i="3"/>
  <c r="W107" i="3"/>
  <c r="W208" i="3"/>
  <c r="W30" i="3"/>
  <c r="W337" i="3"/>
  <c r="W78" i="3"/>
  <c r="W160" i="3"/>
  <c r="W14" i="3"/>
  <c r="W288" i="3"/>
  <c r="W321" i="3"/>
  <c r="W42" i="3"/>
  <c r="W63" i="3"/>
  <c r="W95" i="3"/>
  <c r="W134" i="3"/>
  <c r="W148" i="3"/>
  <c r="W237" i="3"/>
  <c r="W304" i="3"/>
  <c r="W120" i="3"/>
  <c r="W151" i="3"/>
  <c r="W212" i="3"/>
  <c r="W33" i="3"/>
  <c r="W68" i="3"/>
  <c r="W69" i="3"/>
  <c r="W340" i="3"/>
  <c r="W116" i="3"/>
  <c r="W175" i="3"/>
  <c r="W165" i="3"/>
  <c r="W166" i="3"/>
  <c r="W173" i="3"/>
  <c r="W229" i="3"/>
  <c r="W267" i="3"/>
  <c r="W254" i="3"/>
  <c r="W314" i="3"/>
  <c r="W181" i="3"/>
  <c r="W23" i="3"/>
  <c r="W48" i="3"/>
  <c r="W59" i="3"/>
  <c r="W85" i="3"/>
  <c r="W94" i="3"/>
  <c r="W112" i="3"/>
  <c r="W129" i="3"/>
  <c r="W139" i="3"/>
  <c r="W144" i="3"/>
  <c r="W153" i="3"/>
  <c r="W276" i="3"/>
  <c r="W252" i="3"/>
  <c r="W273" i="3"/>
  <c r="W307" i="3"/>
  <c r="W75" i="3"/>
  <c r="W54" i="3"/>
  <c r="W124" i="3"/>
  <c r="W256" i="3"/>
  <c r="W313" i="3"/>
  <c r="W202" i="3"/>
  <c r="W185" i="3"/>
  <c r="W211" i="3"/>
  <c r="W7" i="3"/>
  <c r="W163" i="3"/>
  <c r="W182" i="3"/>
  <c r="W39" i="3"/>
  <c r="W320" i="3"/>
  <c r="W25" i="3"/>
  <c r="W86" i="3"/>
  <c r="W147" i="3"/>
  <c r="W246" i="3"/>
  <c r="W143" i="3"/>
  <c r="W197" i="3"/>
  <c r="W32" i="3"/>
  <c r="W8" i="3"/>
  <c r="W70" i="3"/>
  <c r="W341" i="3"/>
  <c r="W81" i="3"/>
  <c r="W119" i="3"/>
  <c r="W99" i="3"/>
  <c r="W168" i="3"/>
  <c r="W34" i="3"/>
  <c r="W231" i="3"/>
  <c r="W268" i="3"/>
  <c r="W297" i="3"/>
  <c r="W316" i="3"/>
  <c r="W325" i="3"/>
  <c r="W29" i="3"/>
  <c r="W47" i="3"/>
  <c r="W62" i="3"/>
  <c r="W257" i="3"/>
  <c r="W96" i="3"/>
  <c r="W122" i="3"/>
  <c r="W140" i="3"/>
  <c r="W146" i="3"/>
  <c r="W154" i="3"/>
  <c r="W284" i="3"/>
  <c r="W240" i="3"/>
  <c r="W306" i="3"/>
  <c r="W50" i="3"/>
  <c r="W55" i="3"/>
  <c r="W130" i="3"/>
  <c r="W269" i="3"/>
  <c r="W332" i="3"/>
  <c r="W203" i="3"/>
  <c r="W189" i="3"/>
  <c r="W214" i="3"/>
  <c r="W295" i="3"/>
  <c r="W292" i="3"/>
  <c r="W126" i="3"/>
  <c r="W37" i="3"/>
  <c r="W73" i="3"/>
  <c r="W72" i="3"/>
  <c r="W339" i="3"/>
  <c r="W10" i="3"/>
  <c r="W11" i="3"/>
  <c r="W169" i="3"/>
  <c r="W180" i="3"/>
  <c r="W224" i="3"/>
  <c r="W232" i="3"/>
  <c r="W290" i="3"/>
  <c r="W298" i="3"/>
  <c r="W318" i="3"/>
  <c r="W326" i="3"/>
  <c r="W328" i="3"/>
  <c r="W28" i="3"/>
  <c r="W49" i="3"/>
  <c r="W247" i="3"/>
  <c r="W97" i="3"/>
  <c r="W125" i="3"/>
  <c r="W88" i="3"/>
  <c r="W145" i="3"/>
  <c r="W250" i="3"/>
  <c r="W289" i="3"/>
  <c r="W242" i="3"/>
  <c r="W282" i="3"/>
  <c r="W309" i="3"/>
  <c r="W157" i="3"/>
  <c r="W82" i="3"/>
  <c r="W131" i="3"/>
  <c r="W271" i="3"/>
  <c r="W333" i="3"/>
  <c r="W204" i="3"/>
  <c r="W190" i="3"/>
  <c r="W217" i="3"/>
  <c r="W36" i="3"/>
  <c r="W65" i="3"/>
  <c r="W74" i="3"/>
  <c r="W342" i="3"/>
  <c r="W77" i="3"/>
  <c r="W170" i="3"/>
  <c r="W178" i="3"/>
  <c r="W179" i="3"/>
  <c r="W226" i="3"/>
  <c r="W265" i="3"/>
  <c r="W294" i="3"/>
  <c r="W293" i="3"/>
  <c r="W319" i="3"/>
  <c r="W27" i="3"/>
  <c r="W43" i="3"/>
  <c r="W61" i="3"/>
  <c r="W258" i="3"/>
  <c r="W92" i="3"/>
  <c r="W262" i="3"/>
  <c r="W135" i="3"/>
  <c r="W136" i="3"/>
  <c r="W343" i="3"/>
  <c r="W155" i="3"/>
  <c r="W236" i="3"/>
  <c r="W241" i="3"/>
  <c r="W303" i="3"/>
  <c r="W158" i="3"/>
  <c r="W89" i="3"/>
  <c r="W142" i="3"/>
  <c r="W287" i="3"/>
  <c r="W183" i="3"/>
  <c r="W205" i="3"/>
  <c r="W192" i="3"/>
  <c r="W219" i="3"/>
  <c r="W67" i="3"/>
  <c r="W80" i="3"/>
  <c r="W12" i="3"/>
  <c r="W228" i="3"/>
  <c r="W296" i="3"/>
  <c r="W44" i="3"/>
  <c r="W132" i="3"/>
  <c r="W156" i="3"/>
  <c r="W302" i="3"/>
  <c r="W20" i="3"/>
  <c r="W186" i="3"/>
  <c r="W221" i="3"/>
  <c r="W225" i="3"/>
  <c r="W35" i="3"/>
  <c r="W311" i="3"/>
  <c r="W9" i="3"/>
  <c r="W335" i="3"/>
  <c r="W79" i="3"/>
  <c r="W176" i="3"/>
  <c r="W162" i="3"/>
  <c r="W223" i="3"/>
  <c r="W161" i="3"/>
  <c r="W266" i="3"/>
  <c r="W17" i="3"/>
  <c r="W338" i="3"/>
  <c r="W255" i="3"/>
  <c r="W19" i="3"/>
  <c r="W310" i="3"/>
  <c r="W45" i="3"/>
  <c r="W57" i="3"/>
  <c r="W84" i="3"/>
  <c r="W91" i="3"/>
  <c r="W110" i="3"/>
  <c r="W128" i="3"/>
  <c r="W133" i="3"/>
  <c r="W285" i="3"/>
  <c r="W149" i="3"/>
  <c r="W52" i="3"/>
  <c r="W239" i="3"/>
  <c r="W280" i="3"/>
  <c r="W305" i="3"/>
  <c r="W51" i="3"/>
  <c r="W40" i="3"/>
  <c r="W121" i="3"/>
  <c r="W234" i="3"/>
  <c r="W301" i="3"/>
  <c r="W194" i="3"/>
  <c r="W216" i="3"/>
  <c r="W207" i="3"/>
  <c r="W159" i="3"/>
  <c r="W38" i="3"/>
  <c r="W71" i="3"/>
  <c r="W164" i="3"/>
  <c r="W174" i="3"/>
  <c r="W264" i="3"/>
  <c r="W299" i="3"/>
  <c r="W24" i="3"/>
  <c r="W56" i="3"/>
  <c r="W87" i="3"/>
  <c r="W138" i="3"/>
  <c r="W251" i="3"/>
  <c r="W21" i="3"/>
  <c r="W300" i="3"/>
  <c r="W187" i="3"/>
  <c r="W200" i="3"/>
  <c r="W4" i="3"/>
  <c r="V31" i="3"/>
  <c r="V66" i="3"/>
  <c r="V64" i="3"/>
  <c r="V336" i="3"/>
  <c r="V118" i="3"/>
  <c r="V177" i="3"/>
  <c r="V98" i="3"/>
  <c r="V167" i="3"/>
  <c r="V172" i="3"/>
  <c r="V230" i="3"/>
  <c r="V331" i="3"/>
  <c r="V253" i="3"/>
  <c r="V315" i="3"/>
  <c r="V317" i="3"/>
  <c r="V29" i="3"/>
  <c r="V47" i="3"/>
  <c r="V62" i="3"/>
  <c r="V257" i="3"/>
  <c r="V96" i="3"/>
  <c r="V122" i="3"/>
  <c r="V140" i="3"/>
  <c r="V146" i="3"/>
  <c r="V154" i="3"/>
  <c r="V284" i="3"/>
  <c r="V240" i="3"/>
  <c r="V306" i="3"/>
  <c r="V158" i="3"/>
  <c r="V89" i="3"/>
  <c r="V183" i="3"/>
  <c r="V219" i="3"/>
  <c r="V221" i="3"/>
  <c r="V200" i="3"/>
  <c r="V33" i="3"/>
  <c r="V68" i="3"/>
  <c r="V69" i="3"/>
  <c r="V340" i="3"/>
  <c r="V116" i="3"/>
  <c r="V175" i="3"/>
  <c r="V165" i="3"/>
  <c r="V166" i="3"/>
  <c r="V173" i="3"/>
  <c r="V229" i="3"/>
  <c r="V267" i="3"/>
  <c r="V254" i="3"/>
  <c r="V314" i="3"/>
  <c r="V181" i="3"/>
  <c r="V28" i="3"/>
  <c r="V49" i="3"/>
  <c r="V247" i="3"/>
  <c r="V97" i="3"/>
  <c r="V125" i="3"/>
  <c r="V88" i="3"/>
  <c r="V145" i="3"/>
  <c r="V250" i="3"/>
  <c r="V289" i="3"/>
  <c r="V242" i="3"/>
  <c r="V282" i="3"/>
  <c r="V309" i="3"/>
  <c r="V20" i="3"/>
  <c r="V292" i="3"/>
  <c r="V197" i="3"/>
  <c r="V207" i="3"/>
  <c r="V32" i="3"/>
  <c r="V8" i="3"/>
  <c r="V70" i="3"/>
  <c r="V341" i="3"/>
  <c r="V81" i="3"/>
  <c r="V119" i="3"/>
  <c r="V99" i="3"/>
  <c r="V168" i="3"/>
  <c r="V34" i="3"/>
  <c r="V231" i="3"/>
  <c r="V268" i="3"/>
  <c r="V297" i="3"/>
  <c r="V316" i="3"/>
  <c r="V325" i="3"/>
  <c r="V27" i="3"/>
  <c r="V43" i="3"/>
  <c r="V61" i="3"/>
  <c r="V258" i="3"/>
  <c r="V92" i="3"/>
  <c r="V262" i="3"/>
  <c r="V135" i="3"/>
  <c r="V136" i="3"/>
  <c r="V343" i="3"/>
  <c r="V155" i="3"/>
  <c r="V236" i="3"/>
  <c r="V241" i="3"/>
  <c r="V303" i="3"/>
  <c r="V21" i="3"/>
  <c r="V120" i="3"/>
  <c r="V151" i="3"/>
  <c r="V212" i="3"/>
  <c r="V37" i="3"/>
  <c r="V73" i="3"/>
  <c r="V72" i="3"/>
  <c r="V339" i="3"/>
  <c r="V10" i="3"/>
  <c r="V11" i="3"/>
  <c r="V169" i="3"/>
  <c r="V180" i="3"/>
  <c r="V224" i="3"/>
  <c r="V232" i="3"/>
  <c r="V290" i="3"/>
  <c r="V298" i="3"/>
  <c r="V318" i="3"/>
  <c r="V326" i="3"/>
  <c r="V328" i="3"/>
  <c r="V25" i="3"/>
  <c r="V44" i="3"/>
  <c r="V60" i="3"/>
  <c r="V86" i="3"/>
  <c r="V132" i="3"/>
  <c r="V137" i="3"/>
  <c r="V147" i="3"/>
  <c r="V156" i="3"/>
  <c r="V238" i="3"/>
  <c r="V246" i="3"/>
  <c r="V302" i="3"/>
  <c r="V51" i="3"/>
  <c r="V40" i="3"/>
  <c r="V121" i="3"/>
  <c r="V234" i="3"/>
  <c r="V301" i="3"/>
  <c r="V194" i="3"/>
  <c r="V36" i="3"/>
  <c r="V65" i="3"/>
  <c r="V74" i="3"/>
  <c r="V342" i="3"/>
  <c r="V77" i="3"/>
  <c r="V170" i="3"/>
  <c r="V178" i="3"/>
  <c r="V179" i="3"/>
  <c r="V226" i="3"/>
  <c r="V265" i="3"/>
  <c r="V294" i="3"/>
  <c r="V293" i="3"/>
  <c r="V319" i="3"/>
  <c r="V24" i="3"/>
  <c r="V42" i="3"/>
  <c r="V56" i="3"/>
  <c r="V63" i="3"/>
  <c r="V87" i="3"/>
  <c r="V95" i="3"/>
  <c r="V126" i="3"/>
  <c r="V134" i="3"/>
  <c r="V138" i="3"/>
  <c r="V148" i="3"/>
  <c r="V251" i="3"/>
  <c r="V237" i="3"/>
  <c r="V304" i="3"/>
  <c r="V248" i="3"/>
  <c r="V41" i="3"/>
  <c r="V123" i="3"/>
  <c r="V235" i="3"/>
  <c r="V312" i="3"/>
  <c r="V196" i="3"/>
  <c r="V218" i="3"/>
  <c r="V209" i="3"/>
  <c r="V313" i="3"/>
  <c r="V211" i="3"/>
  <c r="V7" i="3"/>
  <c r="V67" i="3"/>
  <c r="V334" i="3"/>
  <c r="V80" i="3"/>
  <c r="V163" i="3"/>
  <c r="V159" i="3"/>
  <c r="V12" i="3"/>
  <c r="V182" i="3"/>
  <c r="V228" i="3"/>
  <c r="V39" i="3"/>
  <c r="V295" i="3"/>
  <c r="V296" i="3"/>
  <c r="V320" i="3"/>
  <c r="V18" i="3"/>
  <c r="V310" i="3"/>
  <c r="V45" i="3"/>
  <c r="V57" i="3"/>
  <c r="V84" i="3"/>
  <c r="V91" i="3"/>
  <c r="V110" i="3"/>
  <c r="V128" i="3"/>
  <c r="V133" i="3"/>
  <c r="V285" i="3"/>
  <c r="V149" i="3"/>
  <c r="V52" i="3"/>
  <c r="V239" i="3"/>
  <c r="V280" i="3"/>
  <c r="V305" i="3"/>
  <c r="V75" i="3"/>
  <c r="V54" i="3"/>
  <c r="V124" i="3"/>
  <c r="V256" i="3"/>
  <c r="V202" i="3"/>
  <c r="V185" i="3"/>
  <c r="V30" i="3"/>
  <c r="V38" i="3"/>
  <c r="V71" i="3"/>
  <c r="V337" i="3"/>
  <c r="V78" i="3"/>
  <c r="V164" i="3"/>
  <c r="V160" i="3"/>
  <c r="V174" i="3"/>
  <c r="V14" i="3"/>
  <c r="V225" i="3"/>
  <c r="V264" i="3"/>
  <c r="V288" i="3"/>
  <c r="V299" i="3"/>
  <c r="V321" i="3"/>
  <c r="V22" i="3"/>
  <c r="V46" i="3"/>
  <c r="V58" i="3"/>
  <c r="V83" i="3"/>
  <c r="V90" i="3"/>
  <c r="V261" i="3"/>
  <c r="V127" i="3"/>
  <c r="V249" i="3"/>
  <c r="V13" i="3"/>
  <c r="V53" i="3"/>
  <c r="V274" i="3"/>
  <c r="V244" i="3"/>
  <c r="V308" i="3"/>
  <c r="V50" i="3"/>
  <c r="V55" i="3"/>
  <c r="V130" i="3"/>
  <c r="V269" i="3"/>
  <c r="V332" i="3"/>
  <c r="V203" i="3"/>
  <c r="V189" i="3"/>
  <c r="V214" i="3"/>
  <c r="V287" i="3"/>
  <c r="V192" i="3"/>
  <c r="V143" i="3"/>
  <c r="V208" i="3"/>
  <c r="V187" i="3"/>
  <c r="V4" i="3"/>
  <c r="V35" i="3"/>
  <c r="V311" i="3"/>
  <c r="V9" i="3"/>
  <c r="V335" i="3"/>
  <c r="V79" i="3"/>
  <c r="V176" i="3"/>
  <c r="V162" i="3"/>
  <c r="V223" i="3"/>
  <c r="V161" i="3"/>
  <c r="V266" i="3"/>
  <c r="V17" i="3"/>
  <c r="V338" i="3"/>
  <c r="V255" i="3"/>
  <c r="V19" i="3"/>
  <c r="V23" i="3"/>
  <c r="V48" i="3"/>
  <c r="V59" i="3"/>
  <c r="V85" i="3"/>
  <c r="V94" i="3"/>
  <c r="V112" i="3"/>
  <c r="V129" i="3"/>
  <c r="V139" i="3"/>
  <c r="V144" i="3"/>
  <c r="V153" i="3"/>
  <c r="V276" i="3"/>
  <c r="V252" i="3"/>
  <c r="V273" i="3"/>
  <c r="V307" i="3"/>
  <c r="V157" i="3"/>
  <c r="V82" i="3"/>
  <c r="V131" i="3"/>
  <c r="V271" i="3"/>
  <c r="V333" i="3"/>
  <c r="V204" i="3"/>
  <c r="V190" i="3"/>
  <c r="V217" i="3"/>
  <c r="V142" i="3"/>
  <c r="V205" i="3"/>
  <c r="V107" i="3"/>
  <c r="V186" i="3"/>
  <c r="V300" i="3"/>
  <c r="V216" i="3"/>
  <c r="E184" i="8"/>
  <c r="D184" i="8"/>
  <c r="B184" i="8"/>
  <c r="A184" i="8"/>
  <c r="E183" i="8"/>
  <c r="D183" i="8"/>
  <c r="B183" i="8"/>
  <c r="A183" i="8"/>
  <c r="E182" i="8"/>
  <c r="D182" i="8"/>
  <c r="B182" i="8"/>
  <c r="A182" i="8"/>
  <c r="E181" i="8"/>
  <c r="D181" i="8"/>
  <c r="B181" i="8"/>
  <c r="A181" i="8"/>
  <c r="E180" i="8"/>
  <c r="D180" i="8"/>
  <c r="B180" i="8"/>
  <c r="A180" i="8"/>
  <c r="E179" i="8"/>
  <c r="D179" i="8"/>
  <c r="B179" i="8"/>
  <c r="A179" i="8"/>
  <c r="E178" i="8"/>
  <c r="D178" i="8"/>
  <c r="B178" i="8"/>
  <c r="A178" i="8"/>
  <c r="E177" i="8"/>
  <c r="D177" i="8"/>
  <c r="B177" i="8"/>
  <c r="A177" i="8"/>
  <c r="U6" i="3" l="1"/>
  <c r="U199" i="3"/>
  <c r="U233" i="3"/>
  <c r="U227" i="3"/>
  <c r="U171" i="3"/>
  <c r="U104" i="3"/>
  <c r="U105" i="3"/>
  <c r="U100" i="3"/>
  <c r="U101" i="3"/>
  <c r="U103" i="3"/>
  <c r="U102" i="3"/>
  <c r="U106" i="3"/>
  <c r="U270" i="3"/>
  <c r="U108" i="3"/>
  <c r="U184" i="3"/>
  <c r="U213" i="3"/>
  <c r="U188" i="3"/>
  <c r="U215" i="3"/>
  <c r="U191" i="3"/>
  <c r="U220" i="3"/>
  <c r="U193" i="3"/>
  <c r="U210" i="3"/>
  <c r="U201" i="3"/>
  <c r="U195" i="3"/>
  <c r="U206" i="3"/>
  <c r="U198" i="3"/>
  <c r="U323" i="3"/>
  <c r="U330" i="3"/>
  <c r="U327" i="3"/>
  <c r="U329" i="3"/>
  <c r="U322" i="3"/>
  <c r="U324" i="3"/>
  <c r="U16" i="3"/>
  <c r="U15" i="3"/>
  <c r="U222" i="3"/>
  <c r="U117" i="3"/>
  <c r="U272" i="3"/>
  <c r="U279" i="3"/>
  <c r="U275" i="3"/>
  <c r="U281" i="3"/>
  <c r="U277" i="3"/>
  <c r="U278" i="3"/>
  <c r="U283" i="3"/>
  <c r="U286" i="3"/>
  <c r="U243" i="3"/>
  <c r="U245" i="3"/>
  <c r="U152" i="3"/>
  <c r="U141" i="3"/>
  <c r="U93" i="3"/>
  <c r="U115" i="3"/>
  <c r="U114" i="3"/>
  <c r="U263" i="3"/>
  <c r="U111" i="3"/>
  <c r="U109" i="3"/>
  <c r="U113" i="3"/>
  <c r="U260" i="3"/>
  <c r="U259" i="3"/>
  <c r="U26" i="3"/>
  <c r="U291" i="3"/>
  <c r="U5" i="3"/>
  <c r="U31" i="3"/>
  <c r="U66" i="3"/>
  <c r="U64" i="3"/>
  <c r="U336" i="3"/>
  <c r="U118" i="3"/>
  <c r="U177" i="3"/>
  <c r="U98" i="3"/>
  <c r="U167" i="3"/>
  <c r="U172" i="3"/>
  <c r="U230" i="3"/>
  <c r="U331" i="3"/>
  <c r="U253" i="3"/>
  <c r="U315" i="3"/>
  <c r="U317" i="3"/>
  <c r="U27" i="3"/>
  <c r="U43" i="3"/>
  <c r="U61" i="3"/>
  <c r="U258" i="3"/>
  <c r="U92" i="3"/>
  <c r="U262" i="3"/>
  <c r="U135" i="3"/>
  <c r="U136" i="3"/>
  <c r="U343" i="3"/>
  <c r="U155" i="3"/>
  <c r="U236" i="3"/>
  <c r="U241" i="3"/>
  <c r="U303" i="3"/>
  <c r="U248" i="3"/>
  <c r="U41" i="3"/>
  <c r="U123" i="3"/>
  <c r="U235" i="3"/>
  <c r="U312" i="3"/>
  <c r="U196" i="3"/>
  <c r="U218" i="3"/>
  <c r="U209" i="3"/>
  <c r="U33" i="3"/>
  <c r="U68" i="3"/>
  <c r="U69" i="3"/>
  <c r="U340" i="3"/>
  <c r="U116" i="3"/>
  <c r="U175" i="3"/>
  <c r="U165" i="3"/>
  <c r="U166" i="3"/>
  <c r="U173" i="3"/>
  <c r="U229" i="3"/>
  <c r="U267" i="3"/>
  <c r="U254" i="3"/>
  <c r="U314" i="3"/>
  <c r="U181" i="3"/>
  <c r="U25" i="3"/>
  <c r="U44" i="3"/>
  <c r="U60" i="3"/>
  <c r="U86" i="3"/>
  <c r="U132" i="3"/>
  <c r="U137" i="3"/>
  <c r="U147" i="3"/>
  <c r="U156" i="3"/>
  <c r="U238" i="3"/>
  <c r="U246" i="3"/>
  <c r="U302" i="3"/>
  <c r="U75" i="3"/>
  <c r="U54" i="3"/>
  <c r="U124" i="3"/>
  <c r="U256" i="3"/>
  <c r="U313" i="3"/>
  <c r="U202" i="3"/>
  <c r="U185" i="3"/>
  <c r="U211" i="3"/>
  <c r="U32" i="3"/>
  <c r="U8" i="3"/>
  <c r="U70" i="3"/>
  <c r="U341" i="3"/>
  <c r="U81" i="3"/>
  <c r="U119" i="3"/>
  <c r="U99" i="3"/>
  <c r="U168" i="3"/>
  <c r="U34" i="3"/>
  <c r="U231" i="3"/>
  <c r="U268" i="3"/>
  <c r="U297" i="3"/>
  <c r="U316" i="3"/>
  <c r="U325" i="3"/>
  <c r="U24" i="3"/>
  <c r="U42" i="3"/>
  <c r="U56" i="3"/>
  <c r="U63" i="3"/>
  <c r="U87" i="3"/>
  <c r="U95" i="3"/>
  <c r="U126" i="3"/>
  <c r="U134" i="3"/>
  <c r="U138" i="3"/>
  <c r="U148" i="3"/>
  <c r="U251" i="3"/>
  <c r="U237" i="3"/>
  <c r="U304" i="3"/>
  <c r="U50" i="3"/>
  <c r="U55" i="3"/>
  <c r="U130" i="3"/>
  <c r="U269" i="3"/>
  <c r="U332" i="3"/>
  <c r="U203" i="3"/>
  <c r="U189" i="3"/>
  <c r="U214" i="3"/>
  <c r="U37" i="3"/>
  <c r="U73" i="3"/>
  <c r="U72" i="3"/>
  <c r="U339" i="3"/>
  <c r="U10" i="3"/>
  <c r="U11" i="3"/>
  <c r="U169" i="3"/>
  <c r="U180" i="3"/>
  <c r="U224" i="3"/>
  <c r="U232" i="3"/>
  <c r="U290" i="3"/>
  <c r="U298" i="3"/>
  <c r="U318" i="3"/>
  <c r="U326" i="3"/>
  <c r="U328" i="3"/>
  <c r="U310" i="3"/>
  <c r="U45" i="3"/>
  <c r="U57" i="3"/>
  <c r="U84" i="3"/>
  <c r="U91" i="3"/>
  <c r="U110" i="3"/>
  <c r="U128" i="3"/>
  <c r="U133" i="3"/>
  <c r="U285" i="3"/>
  <c r="U149" i="3"/>
  <c r="U52" i="3"/>
  <c r="U239" i="3"/>
  <c r="U280" i="3"/>
  <c r="U305" i="3"/>
  <c r="U157" i="3"/>
  <c r="U82" i="3"/>
  <c r="U131" i="3"/>
  <c r="U271" i="3"/>
  <c r="U333" i="3"/>
  <c r="U204" i="3"/>
  <c r="U190" i="3"/>
  <c r="U217" i="3"/>
  <c r="U36" i="3"/>
  <c r="U65" i="3"/>
  <c r="U74" i="3"/>
  <c r="U342" i="3"/>
  <c r="U77" i="3"/>
  <c r="U170" i="3"/>
  <c r="U178" i="3"/>
  <c r="U179" i="3"/>
  <c r="U226" i="3"/>
  <c r="U265" i="3"/>
  <c r="U294" i="3"/>
  <c r="U293" i="3"/>
  <c r="U319" i="3"/>
  <c r="U22" i="3"/>
  <c r="U46" i="3"/>
  <c r="U58" i="3"/>
  <c r="U83" i="3"/>
  <c r="U90" i="3"/>
  <c r="U261" i="3"/>
  <c r="U127" i="3"/>
  <c r="U249" i="3"/>
  <c r="U13" i="3"/>
  <c r="U53" i="3"/>
  <c r="U274" i="3"/>
  <c r="U244" i="3"/>
  <c r="U308" i="3"/>
  <c r="U158" i="3"/>
  <c r="U89" i="3"/>
  <c r="U142" i="3"/>
  <c r="U287" i="3"/>
  <c r="U183" i="3"/>
  <c r="U205" i="3"/>
  <c r="U192" i="3"/>
  <c r="U219" i="3"/>
  <c r="U7" i="3"/>
  <c r="U67" i="3"/>
  <c r="U334" i="3"/>
  <c r="U80" i="3"/>
  <c r="U163" i="3"/>
  <c r="U159" i="3"/>
  <c r="U12" i="3"/>
  <c r="U182" i="3"/>
  <c r="U228" i="3"/>
  <c r="U39" i="3"/>
  <c r="U295" i="3"/>
  <c r="U296" i="3"/>
  <c r="U320" i="3"/>
  <c r="U18" i="3"/>
  <c r="U23" i="3"/>
  <c r="U48" i="3"/>
  <c r="U59" i="3"/>
  <c r="U85" i="3"/>
  <c r="U94" i="3"/>
  <c r="U112" i="3"/>
  <c r="U129" i="3"/>
  <c r="U139" i="3"/>
  <c r="U144" i="3"/>
  <c r="U153" i="3"/>
  <c r="U276" i="3"/>
  <c r="U252" i="3"/>
  <c r="U273" i="3"/>
  <c r="U307" i="3"/>
  <c r="U20" i="3"/>
  <c r="U107" i="3"/>
  <c r="U143" i="3"/>
  <c r="U292" i="3"/>
  <c r="U186" i="3"/>
  <c r="U208" i="3"/>
  <c r="U197" i="3"/>
  <c r="U221" i="3"/>
  <c r="U30" i="3"/>
  <c r="U38" i="3"/>
  <c r="U71" i="3"/>
  <c r="U337" i="3"/>
  <c r="U78" i="3"/>
  <c r="U164" i="3"/>
  <c r="U160" i="3"/>
  <c r="U174" i="3"/>
  <c r="U14" i="3"/>
  <c r="U225" i="3"/>
  <c r="U264" i="3"/>
  <c r="U288" i="3"/>
  <c r="U299" i="3"/>
  <c r="U321" i="3"/>
  <c r="U29" i="3"/>
  <c r="U47" i="3"/>
  <c r="U62" i="3"/>
  <c r="U257" i="3"/>
  <c r="U96" i="3"/>
  <c r="U122" i="3"/>
  <c r="U140" i="3"/>
  <c r="U146" i="3"/>
  <c r="U154" i="3"/>
  <c r="U284" i="3"/>
  <c r="U240" i="3"/>
  <c r="U306" i="3"/>
  <c r="U21" i="3"/>
  <c r="U120" i="3"/>
  <c r="U151" i="3"/>
  <c r="U300" i="3"/>
  <c r="U187" i="3"/>
  <c r="U212" i="3"/>
  <c r="U200" i="3"/>
  <c r="U4" i="3"/>
  <c r="U35" i="3"/>
  <c r="U311" i="3"/>
  <c r="U9" i="3"/>
  <c r="U335" i="3"/>
  <c r="U79" i="3"/>
  <c r="U176" i="3"/>
  <c r="U162" i="3"/>
  <c r="U223" i="3"/>
  <c r="U161" i="3"/>
  <c r="U266" i="3"/>
  <c r="U17" i="3"/>
  <c r="U338" i="3"/>
  <c r="U255" i="3"/>
  <c r="U19" i="3"/>
  <c r="U28" i="3"/>
  <c r="U49" i="3"/>
  <c r="U247" i="3"/>
  <c r="U97" i="3"/>
  <c r="U125" i="3"/>
  <c r="U88" i="3"/>
  <c r="U145" i="3"/>
  <c r="U250" i="3"/>
  <c r="U289" i="3"/>
  <c r="U242" i="3"/>
  <c r="U282" i="3"/>
  <c r="U309" i="3"/>
  <c r="U51" i="3"/>
  <c r="U40" i="3"/>
  <c r="U121" i="3"/>
  <c r="U234" i="3"/>
  <c r="U301" i="3"/>
  <c r="U194" i="3"/>
  <c r="U216" i="3"/>
  <c r="U207" i="3"/>
  <c r="E168" i="8"/>
  <c r="D168" i="8"/>
  <c r="B168" i="8"/>
  <c r="A168" i="8"/>
  <c r="E170" i="8"/>
  <c r="D170" i="8"/>
  <c r="B170" i="8"/>
  <c r="A170" i="8"/>
  <c r="E167" i="8"/>
  <c r="D167" i="8"/>
  <c r="B167" i="8"/>
  <c r="A167" i="8"/>
  <c r="E174" i="8"/>
  <c r="D174" i="8"/>
  <c r="B174" i="8"/>
  <c r="A174" i="8"/>
  <c r="E173" i="8"/>
  <c r="D173" i="8"/>
  <c r="B173" i="8"/>
  <c r="A173" i="8"/>
  <c r="E172" i="8"/>
  <c r="D172" i="8"/>
  <c r="B172" i="8"/>
  <c r="A172" i="8"/>
  <c r="E171" i="8"/>
  <c r="D171" i="8"/>
  <c r="B171" i="8"/>
  <c r="A171" i="8"/>
  <c r="E169" i="8"/>
  <c r="D169" i="8"/>
  <c r="B169" i="8"/>
  <c r="A169" i="8"/>
  <c r="T199" i="3" l="1"/>
  <c r="T6" i="3"/>
  <c r="T233" i="3"/>
  <c r="T227" i="3"/>
  <c r="T171" i="3"/>
  <c r="T101" i="3"/>
  <c r="T100" i="3"/>
  <c r="T103" i="3"/>
  <c r="T102" i="3"/>
  <c r="T105" i="3"/>
  <c r="T104" i="3"/>
  <c r="T106" i="3"/>
  <c r="T270" i="3"/>
  <c r="T108" i="3"/>
  <c r="T184" i="3"/>
  <c r="T188" i="3"/>
  <c r="T215" i="3"/>
  <c r="T191" i="3"/>
  <c r="T220" i="3"/>
  <c r="T193" i="3"/>
  <c r="T201" i="3"/>
  <c r="T195" i="3"/>
  <c r="T206" i="3"/>
  <c r="T198" i="3"/>
  <c r="T210" i="3"/>
  <c r="T213" i="3"/>
  <c r="T329" i="3"/>
  <c r="T330" i="3"/>
  <c r="T323" i="3"/>
  <c r="T327" i="3"/>
  <c r="T322" i="3"/>
  <c r="T324" i="3"/>
  <c r="T16" i="3"/>
  <c r="T15" i="3"/>
  <c r="T222" i="3"/>
  <c r="T117" i="3"/>
  <c r="T272" i="3"/>
  <c r="T281" i="3"/>
  <c r="T275" i="3"/>
  <c r="T279" i="3"/>
  <c r="T277" i="3"/>
  <c r="T278" i="3"/>
  <c r="T283" i="3"/>
  <c r="T286" i="3"/>
  <c r="T243" i="3"/>
  <c r="T245" i="3"/>
  <c r="T152" i="3"/>
  <c r="T141" i="3"/>
  <c r="T93" i="3"/>
  <c r="T115" i="3"/>
  <c r="T114" i="3"/>
  <c r="T263" i="3"/>
  <c r="T111" i="3"/>
  <c r="T109" i="3"/>
  <c r="T260" i="3"/>
  <c r="T113" i="3"/>
  <c r="T259" i="3"/>
  <c r="T26" i="3"/>
  <c r="T291" i="3"/>
  <c r="T5" i="3"/>
  <c r="T31" i="3"/>
  <c r="T66" i="3"/>
  <c r="T64" i="3"/>
  <c r="T336" i="3"/>
  <c r="T118" i="3"/>
  <c r="T177" i="3"/>
  <c r="T98" i="3"/>
  <c r="T167" i="3"/>
  <c r="T172" i="3"/>
  <c r="T230" i="3"/>
  <c r="T331" i="3"/>
  <c r="T253" i="3"/>
  <c r="T315" i="3"/>
  <c r="T317" i="3"/>
  <c r="T24" i="3"/>
  <c r="T42" i="3"/>
  <c r="T56" i="3"/>
  <c r="T63" i="3"/>
  <c r="T87" i="3"/>
  <c r="T95" i="3"/>
  <c r="T126" i="3"/>
  <c r="T134" i="3"/>
  <c r="T138" i="3"/>
  <c r="T148" i="3"/>
  <c r="T251" i="3"/>
  <c r="T237" i="3"/>
  <c r="T304" i="3"/>
  <c r="T158" i="3"/>
  <c r="T89" i="3"/>
  <c r="T142" i="3"/>
  <c r="T287" i="3"/>
  <c r="T183" i="3"/>
  <c r="T205" i="3"/>
  <c r="T192" i="3"/>
  <c r="T219" i="3"/>
  <c r="T305" i="3"/>
  <c r="T107" i="3"/>
  <c r="T186" i="3"/>
  <c r="T197" i="3"/>
  <c r="T338" i="3"/>
  <c r="T137" i="3"/>
  <c r="T204" i="3"/>
  <c r="T33" i="3"/>
  <c r="T68" i="3"/>
  <c r="T69" i="3"/>
  <c r="T340" i="3"/>
  <c r="T116" i="3"/>
  <c r="T175" i="3"/>
  <c r="T165" i="3"/>
  <c r="T166" i="3"/>
  <c r="T173" i="3"/>
  <c r="T229" i="3"/>
  <c r="T267" i="3"/>
  <c r="T254" i="3"/>
  <c r="T314" i="3"/>
  <c r="T181" i="3"/>
  <c r="T310" i="3"/>
  <c r="T45" i="3"/>
  <c r="T57" i="3"/>
  <c r="T84" i="3"/>
  <c r="T91" i="3"/>
  <c r="T110" i="3"/>
  <c r="T128" i="3"/>
  <c r="T133" i="3"/>
  <c r="T285" i="3"/>
  <c r="T149" i="3"/>
  <c r="T52" i="3"/>
  <c r="T239" i="3"/>
  <c r="T280" i="3"/>
  <c r="T20" i="3"/>
  <c r="T143" i="3"/>
  <c r="T292" i="3"/>
  <c r="T208" i="3"/>
  <c r="T221" i="3"/>
  <c r="T132" i="3"/>
  <c r="T190" i="3"/>
  <c r="T32" i="3"/>
  <c r="T8" i="3"/>
  <c r="T70" i="3"/>
  <c r="T341" i="3"/>
  <c r="T81" i="3"/>
  <c r="T119" i="3"/>
  <c r="T99" i="3"/>
  <c r="T168" i="3"/>
  <c r="T34" i="3"/>
  <c r="T231" i="3"/>
  <c r="T268" i="3"/>
  <c r="T297" i="3"/>
  <c r="T316" i="3"/>
  <c r="T325" i="3"/>
  <c r="T22" i="3"/>
  <c r="T46" i="3"/>
  <c r="T58" i="3"/>
  <c r="T83" i="3"/>
  <c r="T90" i="3"/>
  <c r="T261" i="3"/>
  <c r="T127" i="3"/>
  <c r="T249" i="3"/>
  <c r="T13" i="3"/>
  <c r="T53" i="3"/>
  <c r="T274" i="3"/>
  <c r="T244" i="3"/>
  <c r="T308" i="3"/>
  <c r="T21" i="3"/>
  <c r="T120" i="3"/>
  <c r="T151" i="3"/>
  <c r="T300" i="3"/>
  <c r="T187" i="3"/>
  <c r="T212" i="3"/>
  <c r="T200" i="3"/>
  <c r="T4" i="3"/>
  <c r="T123" i="3"/>
  <c r="T218" i="3"/>
  <c r="T17" i="3"/>
  <c r="T156" i="3"/>
  <c r="T37" i="3"/>
  <c r="T73" i="3"/>
  <c r="T72" i="3"/>
  <c r="T339" i="3"/>
  <c r="T10" i="3"/>
  <c r="T11" i="3"/>
  <c r="T169" i="3"/>
  <c r="T180" i="3"/>
  <c r="T224" i="3"/>
  <c r="T232" i="3"/>
  <c r="T290" i="3"/>
  <c r="T298" i="3"/>
  <c r="T318" i="3"/>
  <c r="T326" i="3"/>
  <c r="T328" i="3"/>
  <c r="T23" i="3"/>
  <c r="T48" i="3"/>
  <c r="T59" i="3"/>
  <c r="T85" i="3"/>
  <c r="T94" i="3"/>
  <c r="T112" i="3"/>
  <c r="T129" i="3"/>
  <c r="T139" i="3"/>
  <c r="T144" i="3"/>
  <c r="T153" i="3"/>
  <c r="T276" i="3"/>
  <c r="T252" i="3"/>
  <c r="T273" i="3"/>
  <c r="T307" i="3"/>
  <c r="T51" i="3"/>
  <c r="T40" i="3"/>
  <c r="T121" i="3"/>
  <c r="T234" i="3"/>
  <c r="T301" i="3"/>
  <c r="T194" i="3"/>
  <c r="T216" i="3"/>
  <c r="T207" i="3"/>
  <c r="T306" i="3"/>
  <c r="T41" i="3"/>
  <c r="T312" i="3"/>
  <c r="T209" i="3"/>
  <c r="T266" i="3"/>
  <c r="T238" i="3"/>
  <c r="T333" i="3"/>
  <c r="T36" i="3"/>
  <c r="T65" i="3"/>
  <c r="T74" i="3"/>
  <c r="T342" i="3"/>
  <c r="T77" i="3"/>
  <c r="T170" i="3"/>
  <c r="T178" i="3"/>
  <c r="T179" i="3"/>
  <c r="T226" i="3"/>
  <c r="T265" i="3"/>
  <c r="T294" i="3"/>
  <c r="T293" i="3"/>
  <c r="T319" i="3"/>
  <c r="T29" i="3"/>
  <c r="T47" i="3"/>
  <c r="T62" i="3"/>
  <c r="T257" i="3"/>
  <c r="T96" i="3"/>
  <c r="T122" i="3"/>
  <c r="T140" i="3"/>
  <c r="T146" i="3"/>
  <c r="T154" i="3"/>
  <c r="T284" i="3"/>
  <c r="T240" i="3"/>
  <c r="T248" i="3"/>
  <c r="T235" i="3"/>
  <c r="T196" i="3"/>
  <c r="T19" i="3"/>
  <c r="T271" i="3"/>
  <c r="T7" i="3"/>
  <c r="T67" i="3"/>
  <c r="T334" i="3"/>
  <c r="T80" i="3"/>
  <c r="T163" i="3"/>
  <c r="T159" i="3"/>
  <c r="T12" i="3"/>
  <c r="T182" i="3"/>
  <c r="T228" i="3"/>
  <c r="T39" i="3"/>
  <c r="T295" i="3"/>
  <c r="T296" i="3"/>
  <c r="T320" i="3"/>
  <c r="T18" i="3"/>
  <c r="T28" i="3"/>
  <c r="T49" i="3"/>
  <c r="T247" i="3"/>
  <c r="T97" i="3"/>
  <c r="T125" i="3"/>
  <c r="T88" i="3"/>
  <c r="T145" i="3"/>
  <c r="T250" i="3"/>
  <c r="T289" i="3"/>
  <c r="T242" i="3"/>
  <c r="T282" i="3"/>
  <c r="T309" i="3"/>
  <c r="T75" i="3"/>
  <c r="T54" i="3"/>
  <c r="T124" i="3"/>
  <c r="T256" i="3"/>
  <c r="T313" i="3"/>
  <c r="T202" i="3"/>
  <c r="T185" i="3"/>
  <c r="T211" i="3"/>
  <c r="T162" i="3"/>
  <c r="T44" i="3"/>
  <c r="T86" i="3"/>
  <c r="T147" i="3"/>
  <c r="T131" i="3"/>
  <c r="T30" i="3"/>
  <c r="T38" i="3"/>
  <c r="T71" i="3"/>
  <c r="T337" i="3"/>
  <c r="T78" i="3"/>
  <c r="T164" i="3"/>
  <c r="T160" i="3"/>
  <c r="T174" i="3"/>
  <c r="T14" i="3"/>
  <c r="T225" i="3"/>
  <c r="T264" i="3"/>
  <c r="T288" i="3"/>
  <c r="T299" i="3"/>
  <c r="T321" i="3"/>
  <c r="T27" i="3"/>
  <c r="T43" i="3"/>
  <c r="T61" i="3"/>
  <c r="T258" i="3"/>
  <c r="T92" i="3"/>
  <c r="T262" i="3"/>
  <c r="T135" i="3"/>
  <c r="T136" i="3"/>
  <c r="T343" i="3"/>
  <c r="T155" i="3"/>
  <c r="T236" i="3"/>
  <c r="T241" i="3"/>
  <c r="T303" i="3"/>
  <c r="T50" i="3"/>
  <c r="T55" i="3"/>
  <c r="T130" i="3"/>
  <c r="T269" i="3"/>
  <c r="T332" i="3"/>
  <c r="T203" i="3"/>
  <c r="T189" i="3"/>
  <c r="T214" i="3"/>
  <c r="T335" i="3"/>
  <c r="T223" i="3"/>
  <c r="T25" i="3"/>
  <c r="T246" i="3"/>
  <c r="T82" i="3"/>
  <c r="T217" i="3"/>
  <c r="T35" i="3"/>
  <c r="T311" i="3"/>
  <c r="T9" i="3"/>
  <c r="T79" i="3"/>
  <c r="T176" i="3"/>
  <c r="T161" i="3"/>
  <c r="T255" i="3"/>
  <c r="T60" i="3"/>
  <c r="T302" i="3"/>
  <c r="T157" i="3"/>
  <c r="E164" i="8"/>
  <c r="D164" i="8"/>
  <c r="B164" i="8"/>
  <c r="A164" i="8"/>
  <c r="E163" i="8"/>
  <c r="D163" i="8"/>
  <c r="B163" i="8"/>
  <c r="A163" i="8"/>
  <c r="E162" i="8"/>
  <c r="D162" i="8"/>
  <c r="B162" i="8"/>
  <c r="A162" i="8"/>
  <c r="E161" i="8"/>
  <c r="D161" i="8"/>
  <c r="B161" i="8"/>
  <c r="A161" i="8"/>
  <c r="E160" i="8"/>
  <c r="D160" i="8"/>
  <c r="B160" i="8"/>
  <c r="A160" i="8"/>
  <c r="E159" i="8"/>
  <c r="D159" i="8"/>
  <c r="B159" i="8"/>
  <c r="A159" i="8"/>
  <c r="E158" i="8"/>
  <c r="D158" i="8"/>
  <c r="B158" i="8"/>
  <c r="A158" i="8"/>
  <c r="E156" i="8"/>
  <c r="D156" i="8"/>
  <c r="B156" i="8"/>
  <c r="A156" i="8"/>
  <c r="S6" i="3" l="1"/>
  <c r="S199" i="3"/>
  <c r="S233" i="3"/>
  <c r="S227" i="3"/>
  <c r="S171" i="3"/>
  <c r="S104" i="3"/>
  <c r="S100" i="3"/>
  <c r="S105" i="3"/>
  <c r="S101" i="3"/>
  <c r="S103" i="3"/>
  <c r="S102" i="3"/>
  <c r="S106" i="3"/>
  <c r="S270" i="3"/>
  <c r="S108" i="3"/>
  <c r="S201" i="3"/>
  <c r="S195" i="3"/>
  <c r="S206" i="3"/>
  <c r="S198" i="3"/>
  <c r="S210" i="3"/>
  <c r="S184" i="3"/>
  <c r="S213" i="3"/>
  <c r="S188" i="3"/>
  <c r="S215" i="3"/>
  <c r="S191" i="3"/>
  <c r="S220" i="3"/>
  <c r="S193" i="3"/>
  <c r="S322" i="3"/>
  <c r="S329" i="3"/>
  <c r="S324" i="3"/>
  <c r="S327" i="3"/>
  <c r="S323" i="3"/>
  <c r="S330" i="3"/>
  <c r="S16" i="3"/>
  <c r="S222" i="3"/>
  <c r="S15" i="3"/>
  <c r="S117" i="3"/>
  <c r="S272" i="3"/>
  <c r="S275" i="3"/>
  <c r="S277" i="3"/>
  <c r="S278" i="3"/>
  <c r="S281" i="3"/>
  <c r="S283" i="3"/>
  <c r="S286" i="3"/>
  <c r="S279" i="3"/>
  <c r="S245" i="3"/>
  <c r="S243" i="3"/>
  <c r="S152" i="3"/>
  <c r="S141" i="3"/>
  <c r="S93" i="3"/>
  <c r="S114" i="3"/>
  <c r="S263" i="3"/>
  <c r="S113" i="3"/>
  <c r="S111" i="3"/>
  <c r="S109" i="3"/>
  <c r="S115" i="3"/>
  <c r="S260" i="3"/>
  <c r="S259" i="3"/>
  <c r="S26" i="3"/>
  <c r="S291" i="3"/>
  <c r="S5" i="3"/>
  <c r="S31" i="3"/>
  <c r="S66" i="3"/>
  <c r="S64" i="3"/>
  <c r="S336" i="3"/>
  <c r="S118" i="3"/>
  <c r="S177" i="3"/>
  <c r="S98" i="3"/>
  <c r="S167" i="3"/>
  <c r="S172" i="3"/>
  <c r="S230" i="3"/>
  <c r="S331" i="3"/>
  <c r="S253" i="3"/>
  <c r="S315" i="3"/>
  <c r="S317" i="3"/>
  <c r="S22" i="3"/>
  <c r="S46" i="3"/>
  <c r="S58" i="3"/>
  <c r="S83" i="3"/>
  <c r="S90" i="3"/>
  <c r="S261" i="3"/>
  <c r="S127" i="3"/>
  <c r="S249" i="3"/>
  <c r="S13" i="3"/>
  <c r="S53" i="3"/>
  <c r="S274" i="3"/>
  <c r="S244" i="3"/>
  <c r="S308" i="3"/>
  <c r="S248" i="3"/>
  <c r="S41" i="3"/>
  <c r="S123" i="3"/>
  <c r="S235" i="3"/>
  <c r="S312" i="3"/>
  <c r="S196" i="3"/>
  <c r="S218" i="3"/>
  <c r="S209" i="3"/>
  <c r="S221" i="3"/>
  <c r="S78" i="3"/>
  <c r="S225" i="3"/>
  <c r="S126" i="3"/>
  <c r="S251" i="3"/>
  <c r="S162" i="3"/>
  <c r="S255" i="3"/>
  <c r="S57" i="3"/>
  <c r="S52" i="3"/>
  <c r="S301" i="3"/>
  <c r="S33" i="3"/>
  <c r="S68" i="3"/>
  <c r="S69" i="3"/>
  <c r="S340" i="3"/>
  <c r="S116" i="3"/>
  <c r="S175" i="3"/>
  <c r="S165" i="3"/>
  <c r="S166" i="3"/>
  <c r="S173" i="3"/>
  <c r="S229" i="3"/>
  <c r="S267" i="3"/>
  <c r="S254" i="3"/>
  <c r="S314" i="3"/>
  <c r="S181" i="3"/>
  <c r="S23" i="3"/>
  <c r="S48" i="3"/>
  <c r="S59" i="3"/>
  <c r="S85" i="3"/>
  <c r="S94" i="3"/>
  <c r="S112" i="3"/>
  <c r="S129" i="3"/>
  <c r="S139" i="3"/>
  <c r="S144" i="3"/>
  <c r="S153" i="3"/>
  <c r="S276" i="3"/>
  <c r="S252" i="3"/>
  <c r="S273" i="3"/>
  <c r="S307" i="3"/>
  <c r="S75" i="3"/>
  <c r="S54" i="3"/>
  <c r="S124" i="3"/>
  <c r="S256" i="3"/>
  <c r="S313" i="3"/>
  <c r="S202" i="3"/>
  <c r="S185" i="3"/>
  <c r="S211" i="3"/>
  <c r="S38" i="3"/>
  <c r="S14" i="3"/>
  <c r="S321" i="3"/>
  <c r="S138" i="3"/>
  <c r="S304" i="3"/>
  <c r="S187" i="3"/>
  <c r="S35" i="3"/>
  <c r="S335" i="3"/>
  <c r="S266" i="3"/>
  <c r="S110" i="3"/>
  <c r="S239" i="3"/>
  <c r="S51" i="3"/>
  <c r="S32" i="3"/>
  <c r="S8" i="3"/>
  <c r="S70" i="3"/>
  <c r="S341" i="3"/>
  <c r="S81" i="3"/>
  <c r="S119" i="3"/>
  <c r="S99" i="3"/>
  <c r="S168" i="3"/>
  <c r="S34" i="3"/>
  <c r="S231" i="3"/>
  <c r="S268" i="3"/>
  <c r="S297" i="3"/>
  <c r="S316" i="3"/>
  <c r="S325" i="3"/>
  <c r="S29" i="3"/>
  <c r="S47" i="3"/>
  <c r="S62" i="3"/>
  <c r="S257" i="3"/>
  <c r="S96" i="3"/>
  <c r="S122" i="3"/>
  <c r="S140" i="3"/>
  <c r="S146" i="3"/>
  <c r="S154" i="3"/>
  <c r="S284" i="3"/>
  <c r="S240" i="3"/>
  <c r="S306" i="3"/>
  <c r="S50" i="3"/>
  <c r="S55" i="3"/>
  <c r="S130" i="3"/>
  <c r="S269" i="3"/>
  <c r="S332" i="3"/>
  <c r="S203" i="3"/>
  <c r="S189" i="3"/>
  <c r="S214" i="3"/>
  <c r="S197" i="3"/>
  <c r="S30" i="3"/>
  <c r="S71" i="3"/>
  <c r="S174" i="3"/>
  <c r="S299" i="3"/>
  <c r="S95" i="3"/>
  <c r="S237" i="3"/>
  <c r="S151" i="3"/>
  <c r="S200" i="3"/>
  <c r="S161" i="3"/>
  <c r="S338" i="3"/>
  <c r="S91" i="3"/>
  <c r="S280" i="3"/>
  <c r="S216" i="3"/>
  <c r="S37" i="3"/>
  <c r="S73" i="3"/>
  <c r="S72" i="3"/>
  <c r="S339" i="3"/>
  <c r="S10" i="3"/>
  <c r="S11" i="3"/>
  <c r="S169" i="3"/>
  <c r="S180" i="3"/>
  <c r="S224" i="3"/>
  <c r="S232" i="3"/>
  <c r="S290" i="3"/>
  <c r="S298" i="3"/>
  <c r="S318" i="3"/>
  <c r="S326" i="3"/>
  <c r="S328" i="3"/>
  <c r="S28" i="3"/>
  <c r="S49" i="3"/>
  <c r="S247" i="3"/>
  <c r="S97" i="3"/>
  <c r="S125" i="3"/>
  <c r="S88" i="3"/>
  <c r="S145" i="3"/>
  <c r="S250" i="3"/>
  <c r="S289" i="3"/>
  <c r="S242" i="3"/>
  <c r="S282" i="3"/>
  <c r="S309" i="3"/>
  <c r="S157" i="3"/>
  <c r="S82" i="3"/>
  <c r="S131" i="3"/>
  <c r="S271" i="3"/>
  <c r="S333" i="3"/>
  <c r="S204" i="3"/>
  <c r="S190" i="3"/>
  <c r="S217" i="3"/>
  <c r="S208" i="3"/>
  <c r="S160" i="3"/>
  <c r="S24" i="3"/>
  <c r="S79" i="3"/>
  <c r="S310" i="3"/>
  <c r="S45" i="3"/>
  <c r="S285" i="3"/>
  <c r="S234" i="3"/>
  <c r="S36" i="3"/>
  <c r="S65" i="3"/>
  <c r="S74" i="3"/>
  <c r="S342" i="3"/>
  <c r="S77" i="3"/>
  <c r="S170" i="3"/>
  <c r="S178" i="3"/>
  <c r="S179" i="3"/>
  <c r="S226" i="3"/>
  <c r="S265" i="3"/>
  <c r="S294" i="3"/>
  <c r="S293" i="3"/>
  <c r="S319" i="3"/>
  <c r="S27" i="3"/>
  <c r="S43" i="3"/>
  <c r="S61" i="3"/>
  <c r="S258" i="3"/>
  <c r="S92" i="3"/>
  <c r="S262" i="3"/>
  <c r="S135" i="3"/>
  <c r="S136" i="3"/>
  <c r="S343" i="3"/>
  <c r="S155" i="3"/>
  <c r="S236" i="3"/>
  <c r="S241" i="3"/>
  <c r="S303" i="3"/>
  <c r="S158" i="3"/>
  <c r="S89" i="3"/>
  <c r="S142" i="3"/>
  <c r="S287" i="3"/>
  <c r="S183" i="3"/>
  <c r="S205" i="3"/>
  <c r="S192" i="3"/>
  <c r="S219" i="3"/>
  <c r="S186" i="3"/>
  <c r="S337" i="3"/>
  <c r="S264" i="3"/>
  <c r="S56" i="3"/>
  <c r="S63" i="3"/>
  <c r="S134" i="3"/>
  <c r="S21" i="3"/>
  <c r="S300" i="3"/>
  <c r="S223" i="3"/>
  <c r="S19" i="3"/>
  <c r="S84" i="3"/>
  <c r="S149" i="3"/>
  <c r="S40" i="3"/>
  <c r="S207" i="3"/>
  <c r="S7" i="3"/>
  <c r="S67" i="3"/>
  <c r="S334" i="3"/>
  <c r="S80" i="3"/>
  <c r="S163" i="3"/>
  <c r="S159" i="3"/>
  <c r="S12" i="3"/>
  <c r="S182" i="3"/>
  <c r="S228" i="3"/>
  <c r="S39" i="3"/>
  <c r="S295" i="3"/>
  <c r="S296" i="3"/>
  <c r="S320" i="3"/>
  <c r="S18" i="3"/>
  <c r="S25" i="3"/>
  <c r="S44" i="3"/>
  <c r="S60" i="3"/>
  <c r="S86" i="3"/>
  <c r="S132" i="3"/>
  <c r="S137" i="3"/>
  <c r="S147" i="3"/>
  <c r="S156" i="3"/>
  <c r="S238" i="3"/>
  <c r="S246" i="3"/>
  <c r="S302" i="3"/>
  <c r="S20" i="3"/>
  <c r="S107" i="3"/>
  <c r="S143" i="3"/>
  <c r="S292" i="3"/>
  <c r="S164" i="3"/>
  <c r="S288" i="3"/>
  <c r="S42" i="3"/>
  <c r="S87" i="3"/>
  <c r="S148" i="3"/>
  <c r="S120" i="3"/>
  <c r="S212" i="3"/>
  <c r="S4" i="3"/>
  <c r="S9" i="3"/>
  <c r="S133" i="3"/>
  <c r="S121" i="3"/>
  <c r="S311" i="3"/>
  <c r="S176" i="3"/>
  <c r="S17" i="3"/>
  <c r="S128" i="3"/>
  <c r="S305" i="3"/>
  <c r="S194" i="3"/>
  <c r="E143" i="8"/>
  <c r="D143" i="8"/>
  <c r="B143" i="8"/>
  <c r="A143" i="8"/>
  <c r="E139" i="8"/>
  <c r="D139" i="8"/>
  <c r="B139" i="8"/>
  <c r="A139" i="8"/>
  <c r="E137" i="8"/>
  <c r="D137" i="8"/>
  <c r="B137" i="8"/>
  <c r="A137" i="8"/>
  <c r="E141" i="8"/>
  <c r="D141" i="8"/>
  <c r="B141" i="8"/>
  <c r="A141" i="8"/>
  <c r="E142" i="8"/>
  <c r="D142" i="8"/>
  <c r="B142" i="8"/>
  <c r="A142" i="8"/>
  <c r="E140" i="8"/>
  <c r="D140" i="8"/>
  <c r="B140" i="8"/>
  <c r="A140" i="8"/>
  <c r="E138" i="8"/>
  <c r="D138" i="8"/>
  <c r="B138" i="8"/>
  <c r="A138" i="8"/>
  <c r="E136" i="8"/>
  <c r="D136" i="8"/>
  <c r="B136" i="8"/>
  <c r="A136" i="8"/>
  <c r="A122" i="8"/>
  <c r="B122" i="8"/>
  <c r="D122" i="8"/>
  <c r="E122" i="8"/>
  <c r="Q6" i="3" l="1"/>
  <c r="Q199" i="3"/>
  <c r="Q233" i="3"/>
  <c r="Q227" i="3"/>
  <c r="Q171" i="3"/>
  <c r="Q101" i="3"/>
  <c r="Q105" i="3"/>
  <c r="Q100" i="3"/>
  <c r="Q103" i="3"/>
  <c r="Q102" i="3"/>
  <c r="Q104" i="3"/>
  <c r="Q106" i="3"/>
  <c r="Q270" i="3"/>
  <c r="Q108" i="3"/>
  <c r="Q191" i="3"/>
  <c r="Q220" i="3"/>
  <c r="Q193" i="3"/>
  <c r="Q215" i="3"/>
  <c r="Q201" i="3"/>
  <c r="Q195" i="3"/>
  <c r="Q206" i="3"/>
  <c r="Q198" i="3"/>
  <c r="Q210" i="3"/>
  <c r="Q184" i="3"/>
  <c r="Q213" i="3"/>
  <c r="Q188" i="3"/>
  <c r="Q330" i="3"/>
  <c r="Q322" i="3"/>
  <c r="Q329" i="3"/>
  <c r="Q327" i="3"/>
  <c r="Q323" i="3"/>
  <c r="Q324" i="3"/>
  <c r="Q16" i="3"/>
  <c r="Q15" i="3"/>
  <c r="Q222" i="3"/>
  <c r="Q117" i="3"/>
  <c r="Q272" i="3"/>
  <c r="Q275" i="3"/>
  <c r="Q277" i="3"/>
  <c r="Q278" i="3"/>
  <c r="Q279" i="3"/>
  <c r="Q283" i="3"/>
  <c r="Q281" i="3"/>
  <c r="Q286" i="3"/>
  <c r="Q245" i="3"/>
  <c r="Q243" i="3"/>
  <c r="Q152" i="3"/>
  <c r="Q141" i="3"/>
  <c r="Q93" i="3"/>
  <c r="Q263" i="3"/>
  <c r="Q111" i="3"/>
  <c r="Q113" i="3"/>
  <c r="Q109" i="3"/>
  <c r="Q115" i="3"/>
  <c r="Q260" i="3"/>
  <c r="Q114" i="3"/>
  <c r="Q259" i="3"/>
  <c r="Q26" i="3"/>
  <c r="Q291" i="3"/>
  <c r="Q5" i="3"/>
  <c r="Q31" i="3"/>
  <c r="Q66" i="3"/>
  <c r="Q64" i="3"/>
  <c r="Q336" i="3"/>
  <c r="Q118" i="3"/>
  <c r="Q177" i="3"/>
  <c r="Q98" i="3"/>
  <c r="Q167" i="3"/>
  <c r="Q172" i="3"/>
  <c r="Q230" i="3"/>
  <c r="Q331" i="3"/>
  <c r="Q253" i="3"/>
  <c r="Q315" i="3"/>
  <c r="Q317" i="3"/>
  <c r="Q29" i="3"/>
  <c r="Q47" i="3"/>
  <c r="Q62" i="3"/>
  <c r="Q257" i="3"/>
  <c r="Q96" i="3"/>
  <c r="Q122" i="3"/>
  <c r="Q140" i="3"/>
  <c r="Q146" i="3"/>
  <c r="Q154" i="3"/>
  <c r="Q284" i="3"/>
  <c r="Q240" i="3"/>
  <c r="Q306" i="3"/>
  <c r="Q158" i="3"/>
  <c r="Q89" i="3"/>
  <c r="Q142" i="3"/>
  <c r="Q287" i="3"/>
  <c r="Q183" i="3"/>
  <c r="Q205" i="3"/>
  <c r="Q192" i="3"/>
  <c r="Q219" i="3"/>
  <c r="Q125" i="3"/>
  <c r="Q309" i="3"/>
  <c r="Q20" i="3"/>
  <c r="Q292" i="3"/>
  <c r="Q208" i="3"/>
  <c r="Q221" i="3"/>
  <c r="Q217" i="3"/>
  <c r="Q33" i="3"/>
  <c r="Q68" i="3"/>
  <c r="Q69" i="3"/>
  <c r="Q340" i="3"/>
  <c r="Q116" i="3"/>
  <c r="Q175" i="3"/>
  <c r="Q165" i="3"/>
  <c r="Q166" i="3"/>
  <c r="Q173" i="3"/>
  <c r="Q229" i="3"/>
  <c r="Q267" i="3"/>
  <c r="Q254" i="3"/>
  <c r="Q314" i="3"/>
  <c r="Q181" i="3"/>
  <c r="Q28" i="3"/>
  <c r="Q49" i="3"/>
  <c r="Q247" i="3"/>
  <c r="Q97" i="3"/>
  <c r="Q88" i="3"/>
  <c r="Q145" i="3"/>
  <c r="Q250" i="3"/>
  <c r="Q289" i="3"/>
  <c r="Q242" i="3"/>
  <c r="Q282" i="3"/>
  <c r="Q107" i="3"/>
  <c r="Q143" i="3"/>
  <c r="Q186" i="3"/>
  <c r="Q197" i="3"/>
  <c r="Q335" i="3"/>
  <c r="Q32" i="3"/>
  <c r="Q8" i="3"/>
  <c r="Q70" i="3"/>
  <c r="Q341" i="3"/>
  <c r="Q81" i="3"/>
  <c r="Q119" i="3"/>
  <c r="Q99" i="3"/>
  <c r="Q168" i="3"/>
  <c r="Q34" i="3"/>
  <c r="Q231" i="3"/>
  <c r="Q268" i="3"/>
  <c r="Q297" i="3"/>
  <c r="Q316" i="3"/>
  <c r="Q325" i="3"/>
  <c r="Q27" i="3"/>
  <c r="Q43" i="3"/>
  <c r="Q61" i="3"/>
  <c r="Q258" i="3"/>
  <c r="Q92" i="3"/>
  <c r="Q262" i="3"/>
  <c r="Q135" i="3"/>
  <c r="Q136" i="3"/>
  <c r="Q343" i="3"/>
  <c r="Q155" i="3"/>
  <c r="Q236" i="3"/>
  <c r="Q241" i="3"/>
  <c r="Q303" i="3"/>
  <c r="Q21" i="3"/>
  <c r="Q120" i="3"/>
  <c r="Q151" i="3"/>
  <c r="Q300" i="3"/>
  <c r="Q187" i="3"/>
  <c r="Q212" i="3"/>
  <c r="Q200" i="3"/>
  <c r="Q4" i="3"/>
  <c r="Q147" i="3"/>
  <c r="Q238" i="3"/>
  <c r="Q302" i="3"/>
  <c r="Q51" i="3"/>
  <c r="Q234" i="3"/>
  <c r="Q194" i="3"/>
  <c r="Q207" i="3"/>
  <c r="Q176" i="3"/>
  <c r="Q273" i="3"/>
  <c r="Q37" i="3"/>
  <c r="Q73" i="3"/>
  <c r="Q72" i="3"/>
  <c r="Q339" i="3"/>
  <c r="Q10" i="3"/>
  <c r="Q11" i="3"/>
  <c r="Q169" i="3"/>
  <c r="Q180" i="3"/>
  <c r="Q224" i="3"/>
  <c r="Q232" i="3"/>
  <c r="Q290" i="3"/>
  <c r="Q298" i="3"/>
  <c r="Q318" i="3"/>
  <c r="Q326" i="3"/>
  <c r="Q328" i="3"/>
  <c r="Q25" i="3"/>
  <c r="Q44" i="3"/>
  <c r="Q60" i="3"/>
  <c r="Q86" i="3"/>
  <c r="Q132" i="3"/>
  <c r="Q137" i="3"/>
  <c r="Q156" i="3"/>
  <c r="Q246" i="3"/>
  <c r="Q40" i="3"/>
  <c r="Q121" i="3"/>
  <c r="Q301" i="3"/>
  <c r="Q216" i="3"/>
  <c r="Q79" i="3"/>
  <c r="Q252" i="3"/>
  <c r="Q271" i="3"/>
  <c r="Q36" i="3"/>
  <c r="Q65" i="3"/>
  <c r="Q74" i="3"/>
  <c r="Q342" i="3"/>
  <c r="Q77" i="3"/>
  <c r="Q170" i="3"/>
  <c r="Q178" i="3"/>
  <c r="Q179" i="3"/>
  <c r="Q226" i="3"/>
  <c r="Q265" i="3"/>
  <c r="Q294" i="3"/>
  <c r="Q293" i="3"/>
  <c r="Q319" i="3"/>
  <c r="Q24" i="3"/>
  <c r="Q42" i="3"/>
  <c r="Q56" i="3"/>
  <c r="Q63" i="3"/>
  <c r="Q87" i="3"/>
  <c r="Q95" i="3"/>
  <c r="Q126" i="3"/>
  <c r="Q134" i="3"/>
  <c r="Q138" i="3"/>
  <c r="Q148" i="3"/>
  <c r="Q251" i="3"/>
  <c r="Q237" i="3"/>
  <c r="Q304" i="3"/>
  <c r="Q248" i="3"/>
  <c r="Q41" i="3"/>
  <c r="Q123" i="3"/>
  <c r="Q235" i="3"/>
  <c r="Q312" i="3"/>
  <c r="Q196" i="3"/>
  <c r="Q218" i="3"/>
  <c r="Q209" i="3"/>
  <c r="Q311" i="3"/>
  <c r="Q223" i="3"/>
  <c r="Q17" i="3"/>
  <c r="Q19" i="3"/>
  <c r="Q48" i="3"/>
  <c r="Q94" i="3"/>
  <c r="Q139" i="3"/>
  <c r="Q276" i="3"/>
  <c r="Q82" i="3"/>
  <c r="Q204" i="3"/>
  <c r="Q7" i="3"/>
  <c r="Q67" i="3"/>
  <c r="Q334" i="3"/>
  <c r="Q80" i="3"/>
  <c r="Q163" i="3"/>
  <c r="Q159" i="3"/>
  <c r="Q12" i="3"/>
  <c r="Q182" i="3"/>
  <c r="Q228" i="3"/>
  <c r="Q39" i="3"/>
  <c r="Q295" i="3"/>
  <c r="Q296" i="3"/>
  <c r="Q320" i="3"/>
  <c r="Q18" i="3"/>
  <c r="Q310" i="3"/>
  <c r="Q45" i="3"/>
  <c r="Q57" i="3"/>
  <c r="Q84" i="3"/>
  <c r="Q91" i="3"/>
  <c r="Q110" i="3"/>
  <c r="Q128" i="3"/>
  <c r="Q133" i="3"/>
  <c r="Q285" i="3"/>
  <c r="Q149" i="3"/>
  <c r="Q52" i="3"/>
  <c r="Q239" i="3"/>
  <c r="Q280" i="3"/>
  <c r="Q305" i="3"/>
  <c r="Q75" i="3"/>
  <c r="Q54" i="3"/>
  <c r="Q124" i="3"/>
  <c r="Q256" i="3"/>
  <c r="Q313" i="3"/>
  <c r="Q202" i="3"/>
  <c r="Q185" i="3"/>
  <c r="Q211" i="3"/>
  <c r="Q9" i="3"/>
  <c r="Q161" i="3"/>
  <c r="Q338" i="3"/>
  <c r="Q59" i="3"/>
  <c r="Q112" i="3"/>
  <c r="Q144" i="3"/>
  <c r="Q307" i="3"/>
  <c r="Q157" i="3"/>
  <c r="Q190" i="3"/>
  <c r="Q30" i="3"/>
  <c r="Q38" i="3"/>
  <c r="Q71" i="3"/>
  <c r="Q337" i="3"/>
  <c r="Q78" i="3"/>
  <c r="Q164" i="3"/>
  <c r="Q160" i="3"/>
  <c r="Q174" i="3"/>
  <c r="Q14" i="3"/>
  <c r="Q225" i="3"/>
  <c r="Q264" i="3"/>
  <c r="Q288" i="3"/>
  <c r="Q299" i="3"/>
  <c r="Q321" i="3"/>
  <c r="Q22" i="3"/>
  <c r="Q46" i="3"/>
  <c r="Q58" i="3"/>
  <c r="Q83" i="3"/>
  <c r="Q90" i="3"/>
  <c r="Q261" i="3"/>
  <c r="Q127" i="3"/>
  <c r="Q249" i="3"/>
  <c r="Q13" i="3"/>
  <c r="Q53" i="3"/>
  <c r="Q274" i="3"/>
  <c r="Q244" i="3"/>
  <c r="Q308" i="3"/>
  <c r="Q50" i="3"/>
  <c r="Q55" i="3"/>
  <c r="Q130" i="3"/>
  <c r="Q269" i="3"/>
  <c r="Q332" i="3"/>
  <c r="Q203" i="3"/>
  <c r="Q189" i="3"/>
  <c r="Q214" i="3"/>
  <c r="Q35" i="3"/>
  <c r="Q162" i="3"/>
  <c r="Q266" i="3"/>
  <c r="Q255" i="3"/>
  <c r="Q23" i="3"/>
  <c r="Q85" i="3"/>
  <c r="Q129" i="3"/>
  <c r="Q153" i="3"/>
  <c r="Q131" i="3"/>
  <c r="Q333" i="3"/>
  <c r="E131" i="8"/>
  <c r="D131" i="8"/>
  <c r="B131" i="8"/>
  <c r="A131" i="8"/>
  <c r="E133" i="8"/>
  <c r="D133" i="8"/>
  <c r="B133" i="8"/>
  <c r="A133" i="8"/>
  <c r="E132" i="8"/>
  <c r="D132" i="8"/>
  <c r="B132" i="8"/>
  <c r="A132" i="8"/>
  <c r="E130" i="8"/>
  <c r="D130" i="8"/>
  <c r="B130" i="8"/>
  <c r="A130" i="8"/>
  <c r="E129" i="8"/>
  <c r="D129" i="8"/>
  <c r="B129" i="8"/>
  <c r="A129" i="8"/>
  <c r="E127" i="8"/>
  <c r="D127" i="8"/>
  <c r="B127" i="8"/>
  <c r="A127" i="8"/>
  <c r="E128" i="8"/>
  <c r="D128" i="8"/>
  <c r="B128" i="8"/>
  <c r="A128" i="8"/>
  <c r="E126" i="8"/>
  <c r="D126" i="8"/>
  <c r="B126" i="8"/>
  <c r="A126" i="8"/>
  <c r="P199" i="3" l="1"/>
  <c r="P6" i="3"/>
  <c r="P233" i="3"/>
  <c r="P227" i="3"/>
  <c r="P171" i="3"/>
  <c r="P104" i="3"/>
  <c r="P101" i="3"/>
  <c r="P102" i="3"/>
  <c r="P100" i="3"/>
  <c r="P103" i="3"/>
  <c r="P105" i="3"/>
  <c r="P270" i="3"/>
  <c r="P106" i="3"/>
  <c r="P108" i="3"/>
  <c r="P198" i="3"/>
  <c r="P210" i="3"/>
  <c r="P184" i="3"/>
  <c r="P213" i="3"/>
  <c r="P188" i="3"/>
  <c r="P215" i="3"/>
  <c r="P191" i="3"/>
  <c r="P220" i="3"/>
  <c r="P195" i="3"/>
  <c r="P193" i="3"/>
  <c r="P206" i="3"/>
  <c r="P201" i="3"/>
  <c r="P329" i="3"/>
  <c r="P327" i="3"/>
  <c r="P323" i="3"/>
  <c r="P322" i="3"/>
  <c r="P330" i="3"/>
  <c r="P324" i="3"/>
  <c r="P222" i="3"/>
  <c r="P15" i="3"/>
  <c r="P16" i="3"/>
  <c r="P117" i="3"/>
  <c r="P272" i="3"/>
  <c r="P275" i="3"/>
  <c r="P277" i="3"/>
  <c r="P278" i="3"/>
  <c r="P283" i="3"/>
  <c r="P279" i="3"/>
  <c r="P286" i="3"/>
  <c r="P281" i="3"/>
  <c r="P245" i="3"/>
  <c r="P243" i="3"/>
  <c r="P152" i="3"/>
  <c r="P141" i="3"/>
  <c r="P111" i="3"/>
  <c r="P109" i="3"/>
  <c r="P260" i="3"/>
  <c r="P115" i="3"/>
  <c r="P113" i="3"/>
  <c r="P114" i="3"/>
  <c r="P263" i="3"/>
  <c r="P26" i="3"/>
  <c r="P93" i="3"/>
  <c r="P259" i="3"/>
  <c r="P291" i="3"/>
  <c r="P5" i="3"/>
  <c r="P31" i="3"/>
  <c r="P66" i="3"/>
  <c r="P64" i="3"/>
  <c r="P336" i="3"/>
  <c r="P118" i="3"/>
  <c r="P177" i="3"/>
  <c r="P98" i="3"/>
  <c r="P167" i="3"/>
  <c r="P172" i="3"/>
  <c r="P230" i="3"/>
  <c r="P331" i="3"/>
  <c r="P253" i="3"/>
  <c r="P315" i="3"/>
  <c r="P317" i="3"/>
  <c r="P27" i="3"/>
  <c r="P43" i="3"/>
  <c r="P61" i="3"/>
  <c r="P258" i="3"/>
  <c r="P92" i="3"/>
  <c r="P262" i="3"/>
  <c r="P135" i="3"/>
  <c r="P136" i="3"/>
  <c r="P343" i="3"/>
  <c r="P155" i="3"/>
  <c r="P236" i="3"/>
  <c r="P241" i="3"/>
  <c r="P303" i="3"/>
  <c r="P248" i="3"/>
  <c r="P41" i="3"/>
  <c r="P123" i="3"/>
  <c r="P235" i="3"/>
  <c r="P312" i="3"/>
  <c r="P196" i="3"/>
  <c r="P218" i="3"/>
  <c r="P209" i="3"/>
  <c r="P33" i="3"/>
  <c r="P68" i="3"/>
  <c r="P69" i="3"/>
  <c r="P340" i="3"/>
  <c r="P116" i="3"/>
  <c r="P175" i="3"/>
  <c r="P165" i="3"/>
  <c r="P166" i="3"/>
  <c r="P173" i="3"/>
  <c r="P229" i="3"/>
  <c r="P267" i="3"/>
  <c r="P254" i="3"/>
  <c r="P314" i="3"/>
  <c r="P181" i="3"/>
  <c r="P25" i="3"/>
  <c r="P44" i="3"/>
  <c r="P60" i="3"/>
  <c r="P86" i="3"/>
  <c r="P132" i="3"/>
  <c r="P137" i="3"/>
  <c r="P147" i="3"/>
  <c r="P156" i="3"/>
  <c r="P238" i="3"/>
  <c r="P246" i="3"/>
  <c r="P302" i="3"/>
  <c r="P75" i="3"/>
  <c r="P54" i="3"/>
  <c r="P124" i="3"/>
  <c r="P256" i="3"/>
  <c r="P313" i="3"/>
  <c r="P202" i="3"/>
  <c r="P185" i="3"/>
  <c r="P211" i="3"/>
  <c r="P32" i="3"/>
  <c r="P8" i="3"/>
  <c r="P70" i="3"/>
  <c r="P341" i="3"/>
  <c r="P81" i="3"/>
  <c r="P119" i="3"/>
  <c r="P99" i="3"/>
  <c r="P168" i="3"/>
  <c r="P34" i="3"/>
  <c r="P231" i="3"/>
  <c r="P268" i="3"/>
  <c r="P297" i="3"/>
  <c r="P316" i="3"/>
  <c r="P325" i="3"/>
  <c r="P24" i="3"/>
  <c r="P42" i="3"/>
  <c r="P56" i="3"/>
  <c r="P63" i="3"/>
  <c r="P87" i="3"/>
  <c r="P95" i="3"/>
  <c r="P126" i="3"/>
  <c r="P134" i="3"/>
  <c r="P138" i="3"/>
  <c r="P148" i="3"/>
  <c r="P251" i="3"/>
  <c r="P237" i="3"/>
  <c r="P304" i="3"/>
  <c r="P50" i="3"/>
  <c r="P55" i="3"/>
  <c r="P130" i="3"/>
  <c r="P269" i="3"/>
  <c r="P332" i="3"/>
  <c r="P203" i="3"/>
  <c r="P189" i="3"/>
  <c r="P214" i="3"/>
  <c r="P37" i="3"/>
  <c r="P73" i="3"/>
  <c r="P72" i="3"/>
  <c r="P339" i="3"/>
  <c r="P10" i="3"/>
  <c r="P11" i="3"/>
  <c r="P169" i="3"/>
  <c r="P180" i="3"/>
  <c r="P224" i="3"/>
  <c r="P232" i="3"/>
  <c r="P290" i="3"/>
  <c r="P298" i="3"/>
  <c r="P318" i="3"/>
  <c r="P326" i="3"/>
  <c r="P328" i="3"/>
  <c r="P310" i="3"/>
  <c r="P45" i="3"/>
  <c r="P57" i="3"/>
  <c r="P84" i="3"/>
  <c r="P91" i="3"/>
  <c r="P110" i="3"/>
  <c r="P128" i="3"/>
  <c r="P133" i="3"/>
  <c r="P285" i="3"/>
  <c r="P149" i="3"/>
  <c r="P52" i="3"/>
  <c r="P239" i="3"/>
  <c r="P280" i="3"/>
  <c r="P305" i="3"/>
  <c r="P157" i="3"/>
  <c r="P82" i="3"/>
  <c r="P131" i="3"/>
  <c r="P271" i="3"/>
  <c r="P333" i="3"/>
  <c r="P204" i="3"/>
  <c r="P190" i="3"/>
  <c r="P217" i="3"/>
  <c r="P36" i="3"/>
  <c r="P65" i="3"/>
  <c r="P74" i="3"/>
  <c r="P342" i="3"/>
  <c r="P77" i="3"/>
  <c r="P170" i="3"/>
  <c r="P178" i="3"/>
  <c r="P179" i="3"/>
  <c r="P226" i="3"/>
  <c r="P265" i="3"/>
  <c r="P294" i="3"/>
  <c r="P293" i="3"/>
  <c r="P319" i="3"/>
  <c r="P22" i="3"/>
  <c r="P46" i="3"/>
  <c r="P58" i="3"/>
  <c r="P83" i="3"/>
  <c r="P90" i="3"/>
  <c r="P261" i="3"/>
  <c r="P127" i="3"/>
  <c r="P249" i="3"/>
  <c r="P13" i="3"/>
  <c r="P53" i="3"/>
  <c r="P274" i="3"/>
  <c r="P244" i="3"/>
  <c r="P308" i="3"/>
  <c r="P158" i="3"/>
  <c r="P89" i="3"/>
  <c r="P142" i="3"/>
  <c r="P287" i="3"/>
  <c r="P183" i="3"/>
  <c r="P205" i="3"/>
  <c r="P192" i="3"/>
  <c r="P219" i="3"/>
  <c r="P7" i="3"/>
  <c r="P67" i="3"/>
  <c r="P334" i="3"/>
  <c r="P80" i="3"/>
  <c r="P163" i="3"/>
  <c r="P159" i="3"/>
  <c r="P12" i="3"/>
  <c r="P182" i="3"/>
  <c r="P228" i="3"/>
  <c r="P39" i="3"/>
  <c r="P295" i="3"/>
  <c r="P296" i="3"/>
  <c r="P320" i="3"/>
  <c r="P18" i="3"/>
  <c r="P23" i="3"/>
  <c r="P48" i="3"/>
  <c r="P59" i="3"/>
  <c r="P85" i="3"/>
  <c r="P94" i="3"/>
  <c r="P112" i="3"/>
  <c r="P129" i="3"/>
  <c r="P139" i="3"/>
  <c r="P144" i="3"/>
  <c r="P153" i="3"/>
  <c r="P276" i="3"/>
  <c r="P252" i="3"/>
  <c r="P273" i="3"/>
  <c r="P307" i="3"/>
  <c r="P20" i="3"/>
  <c r="P107" i="3"/>
  <c r="P143" i="3"/>
  <c r="P292" i="3"/>
  <c r="P186" i="3"/>
  <c r="P208" i="3"/>
  <c r="P197" i="3"/>
  <c r="P221" i="3"/>
  <c r="P30" i="3"/>
  <c r="P38" i="3"/>
  <c r="P71" i="3"/>
  <c r="P337" i="3"/>
  <c r="P78" i="3"/>
  <c r="P164" i="3"/>
  <c r="P160" i="3"/>
  <c r="P174" i="3"/>
  <c r="P14" i="3"/>
  <c r="P225" i="3"/>
  <c r="P264" i="3"/>
  <c r="P288" i="3"/>
  <c r="P299" i="3"/>
  <c r="P321" i="3"/>
  <c r="P29" i="3"/>
  <c r="P47" i="3"/>
  <c r="P62" i="3"/>
  <c r="P257" i="3"/>
  <c r="P96" i="3"/>
  <c r="P122" i="3"/>
  <c r="P140" i="3"/>
  <c r="P146" i="3"/>
  <c r="P154" i="3"/>
  <c r="P284" i="3"/>
  <c r="P240" i="3"/>
  <c r="P306" i="3"/>
  <c r="P21" i="3"/>
  <c r="P120" i="3"/>
  <c r="P151" i="3"/>
  <c r="P300" i="3"/>
  <c r="P187" i="3"/>
  <c r="P212" i="3"/>
  <c r="P200" i="3"/>
  <c r="P4" i="3"/>
  <c r="P35" i="3"/>
  <c r="P311" i="3"/>
  <c r="P9" i="3"/>
  <c r="P335" i="3"/>
  <c r="P79" i="3"/>
  <c r="P176" i="3"/>
  <c r="P162" i="3"/>
  <c r="P223" i="3"/>
  <c r="P161" i="3"/>
  <c r="P266" i="3"/>
  <c r="P17" i="3"/>
  <c r="P338" i="3"/>
  <c r="P255" i="3"/>
  <c r="P19" i="3"/>
  <c r="P28" i="3"/>
  <c r="P49" i="3"/>
  <c r="P247" i="3"/>
  <c r="P97" i="3"/>
  <c r="P125" i="3"/>
  <c r="P88" i="3"/>
  <c r="P145" i="3"/>
  <c r="P250" i="3"/>
  <c r="P289" i="3"/>
  <c r="P242" i="3"/>
  <c r="P282" i="3"/>
  <c r="P309" i="3"/>
  <c r="P51" i="3"/>
  <c r="P40" i="3"/>
  <c r="P121" i="3"/>
  <c r="P234" i="3"/>
  <c r="P301" i="3"/>
  <c r="P194" i="3"/>
  <c r="P216" i="3"/>
  <c r="P207" i="3"/>
  <c r="E121" i="8"/>
  <c r="D121" i="8"/>
  <c r="B121" i="8"/>
  <c r="A121" i="8"/>
  <c r="E123" i="8"/>
  <c r="D123" i="8"/>
  <c r="B123" i="8"/>
  <c r="A123" i="8"/>
  <c r="E120" i="8"/>
  <c r="D120" i="8"/>
  <c r="B120" i="8"/>
  <c r="A120" i="8"/>
  <c r="E119" i="8"/>
  <c r="D119" i="8"/>
  <c r="B119" i="8"/>
  <c r="A119" i="8"/>
  <c r="E118" i="8"/>
  <c r="D118" i="8"/>
  <c r="B118" i="8"/>
  <c r="A118" i="8"/>
  <c r="E117" i="8"/>
  <c r="D117" i="8"/>
  <c r="B117" i="8"/>
  <c r="A117" i="8"/>
  <c r="E116" i="8"/>
  <c r="D116" i="8"/>
  <c r="B116" i="8"/>
  <c r="A116" i="8"/>
  <c r="E115" i="8"/>
  <c r="D115" i="8"/>
  <c r="B115" i="8"/>
  <c r="A115" i="8"/>
  <c r="E112" i="8"/>
  <c r="D112" i="8"/>
  <c r="B112" i="8"/>
  <c r="A112" i="8"/>
  <c r="E111" i="8"/>
  <c r="D111" i="8"/>
  <c r="B111" i="8"/>
  <c r="A111" i="8"/>
  <c r="E110" i="8"/>
  <c r="D110" i="8"/>
  <c r="B110" i="8"/>
  <c r="A110" i="8"/>
  <c r="E109" i="8"/>
  <c r="D109" i="8"/>
  <c r="B109" i="8"/>
  <c r="A109" i="8"/>
  <c r="E108" i="8"/>
  <c r="D108" i="8"/>
  <c r="B108" i="8"/>
  <c r="A108" i="8"/>
  <c r="E107" i="8"/>
  <c r="D107" i="8"/>
  <c r="B107" i="8"/>
  <c r="A107" i="8"/>
  <c r="E106" i="8"/>
  <c r="D106" i="8"/>
  <c r="B106" i="8"/>
  <c r="A106" i="8"/>
  <c r="E105" i="8"/>
  <c r="D105" i="8"/>
  <c r="B105" i="8"/>
  <c r="A105" i="8"/>
  <c r="O199" i="3" l="1"/>
  <c r="O6" i="3"/>
  <c r="O233" i="3"/>
  <c r="O227" i="3"/>
  <c r="O171" i="3"/>
  <c r="O104" i="3"/>
  <c r="O100" i="3"/>
  <c r="O101" i="3"/>
  <c r="O103" i="3"/>
  <c r="O102" i="3"/>
  <c r="O105" i="3"/>
  <c r="N199" i="3"/>
  <c r="N6" i="3"/>
  <c r="N233" i="3"/>
  <c r="N227" i="3"/>
  <c r="N171" i="3"/>
  <c r="N105" i="3"/>
  <c r="N101" i="3"/>
  <c r="N104" i="3"/>
  <c r="N102" i="3"/>
  <c r="N100" i="3"/>
  <c r="N103" i="3"/>
  <c r="N106" i="3"/>
  <c r="N270" i="3"/>
  <c r="N108" i="3"/>
  <c r="O106" i="3"/>
  <c r="O270" i="3"/>
  <c r="O108" i="3"/>
  <c r="O201" i="3"/>
  <c r="O195" i="3"/>
  <c r="O206" i="3"/>
  <c r="O198" i="3"/>
  <c r="O210" i="3"/>
  <c r="O184" i="3"/>
  <c r="O213" i="3"/>
  <c r="O193" i="3"/>
  <c r="O188" i="3"/>
  <c r="O215" i="3"/>
  <c r="O191" i="3"/>
  <c r="O220" i="3"/>
  <c r="O329" i="3"/>
  <c r="O327" i="3"/>
  <c r="O324" i="3"/>
  <c r="O323" i="3"/>
  <c r="O322" i="3"/>
  <c r="O330" i="3"/>
  <c r="O222" i="3"/>
  <c r="O15" i="3"/>
  <c r="O16" i="3"/>
  <c r="N184" i="3"/>
  <c r="N188" i="3"/>
  <c r="N191" i="3"/>
  <c r="N220" i="3"/>
  <c r="N193" i="3"/>
  <c r="N206" i="3"/>
  <c r="N210" i="3"/>
  <c r="N213" i="3"/>
  <c r="N215" i="3"/>
  <c r="N201" i="3"/>
  <c r="N195" i="3"/>
  <c r="N198" i="3"/>
  <c r="N322" i="3"/>
  <c r="N330" i="3"/>
  <c r="N329" i="3"/>
  <c r="N327" i="3"/>
  <c r="N323" i="3"/>
  <c r="N324" i="3"/>
  <c r="N222" i="3"/>
  <c r="N15" i="3"/>
  <c r="N16" i="3"/>
  <c r="N117" i="3"/>
  <c r="N272" i="3"/>
  <c r="N275" i="3"/>
  <c r="N279" i="3"/>
  <c r="N277" i="3"/>
  <c r="N278" i="3"/>
  <c r="N281" i="3"/>
  <c r="N283" i="3"/>
  <c r="N286" i="3"/>
  <c r="N245" i="3"/>
  <c r="N243" i="3"/>
  <c r="N152" i="3"/>
  <c r="N141" i="3"/>
  <c r="O117" i="3"/>
  <c r="O272" i="3"/>
  <c r="O279" i="3"/>
  <c r="O275" i="3"/>
  <c r="O277" i="3"/>
  <c r="O281" i="3"/>
  <c r="O278" i="3"/>
  <c r="O283" i="3"/>
  <c r="O286" i="3"/>
  <c r="O243" i="3"/>
  <c r="O245" i="3"/>
  <c r="O152" i="3"/>
  <c r="O141" i="3"/>
  <c r="N109" i="3"/>
  <c r="N260" i="3"/>
  <c r="N263" i="3"/>
  <c r="N113" i="3"/>
  <c r="N115" i="3"/>
  <c r="N114" i="3"/>
  <c r="N111" i="3"/>
  <c r="O111" i="3"/>
  <c r="O109" i="3"/>
  <c r="O263" i="3"/>
  <c r="O260" i="3"/>
  <c r="O113" i="3"/>
  <c r="O115" i="3"/>
  <c r="O114" i="3"/>
  <c r="N26" i="3"/>
  <c r="N93" i="3"/>
  <c r="N259" i="3"/>
  <c r="O26" i="3"/>
  <c r="O93" i="3"/>
  <c r="O259" i="3"/>
  <c r="N291" i="3"/>
  <c r="N5" i="3"/>
  <c r="O291" i="3"/>
  <c r="O5" i="3"/>
  <c r="O31" i="3"/>
  <c r="O66" i="3"/>
  <c r="O64" i="3"/>
  <c r="O336" i="3"/>
  <c r="O118" i="3"/>
  <c r="O177" i="3"/>
  <c r="O98" i="3"/>
  <c r="O167" i="3"/>
  <c r="O172" i="3"/>
  <c r="O230" i="3"/>
  <c r="O331" i="3"/>
  <c r="O253" i="3"/>
  <c r="O315" i="3"/>
  <c r="O317" i="3"/>
  <c r="O24" i="3"/>
  <c r="O42" i="3"/>
  <c r="O56" i="3"/>
  <c r="O63" i="3"/>
  <c r="O87" i="3"/>
  <c r="O95" i="3"/>
  <c r="O126" i="3"/>
  <c r="O134" i="3"/>
  <c r="O138" i="3"/>
  <c r="O148" i="3"/>
  <c r="O251" i="3"/>
  <c r="O237" i="3"/>
  <c r="O304" i="3"/>
  <c r="O158" i="3"/>
  <c r="O89" i="3"/>
  <c r="O142" i="3"/>
  <c r="O287" i="3"/>
  <c r="O183" i="3"/>
  <c r="O205" i="3"/>
  <c r="O192" i="3"/>
  <c r="O219" i="3"/>
  <c r="O30" i="3"/>
  <c r="O225" i="3"/>
  <c r="O61" i="3"/>
  <c r="O135" i="3"/>
  <c r="O332" i="3"/>
  <c r="O33" i="3"/>
  <c r="O68" i="3"/>
  <c r="O69" i="3"/>
  <c r="O340" i="3"/>
  <c r="O116" i="3"/>
  <c r="O175" i="3"/>
  <c r="O165" i="3"/>
  <c r="O166" i="3"/>
  <c r="O173" i="3"/>
  <c r="O229" i="3"/>
  <c r="O267" i="3"/>
  <c r="O254" i="3"/>
  <c r="O314" i="3"/>
  <c r="O181" i="3"/>
  <c r="O310" i="3"/>
  <c r="O45" i="3"/>
  <c r="O57" i="3"/>
  <c r="O84" i="3"/>
  <c r="O91" i="3"/>
  <c r="O110" i="3"/>
  <c r="O128" i="3"/>
  <c r="O133" i="3"/>
  <c r="O285" i="3"/>
  <c r="O149" i="3"/>
  <c r="O52" i="3"/>
  <c r="O239" i="3"/>
  <c r="O280" i="3"/>
  <c r="O305" i="3"/>
  <c r="O20" i="3"/>
  <c r="O107" i="3"/>
  <c r="O143" i="3"/>
  <c r="O292" i="3"/>
  <c r="O186" i="3"/>
  <c r="O208" i="3"/>
  <c r="O197" i="3"/>
  <c r="O221" i="3"/>
  <c r="O78" i="3"/>
  <c r="O288" i="3"/>
  <c r="O92" i="3"/>
  <c r="O155" i="3"/>
  <c r="O130" i="3"/>
  <c r="O32" i="3"/>
  <c r="O8" i="3"/>
  <c r="O70" i="3"/>
  <c r="O341" i="3"/>
  <c r="O81" i="3"/>
  <c r="O119" i="3"/>
  <c r="O99" i="3"/>
  <c r="O168" i="3"/>
  <c r="O34" i="3"/>
  <c r="O231" i="3"/>
  <c r="O268" i="3"/>
  <c r="O297" i="3"/>
  <c r="O316" i="3"/>
  <c r="O325" i="3"/>
  <c r="O22" i="3"/>
  <c r="O46" i="3"/>
  <c r="O58" i="3"/>
  <c r="O83" i="3"/>
  <c r="O90" i="3"/>
  <c r="O261" i="3"/>
  <c r="O127" i="3"/>
  <c r="O249" i="3"/>
  <c r="O13" i="3"/>
  <c r="O53" i="3"/>
  <c r="O274" i="3"/>
  <c r="O244" i="3"/>
  <c r="O308" i="3"/>
  <c r="O21" i="3"/>
  <c r="O120" i="3"/>
  <c r="O151" i="3"/>
  <c r="O300" i="3"/>
  <c r="O187" i="3"/>
  <c r="O212" i="3"/>
  <c r="O200" i="3"/>
  <c r="O4" i="3"/>
  <c r="O71" i="3"/>
  <c r="O174" i="3"/>
  <c r="O321" i="3"/>
  <c r="O262" i="3"/>
  <c r="O236" i="3"/>
  <c r="O55" i="3"/>
  <c r="O214" i="3"/>
  <c r="O37" i="3"/>
  <c r="O73" i="3"/>
  <c r="O72" i="3"/>
  <c r="O339" i="3"/>
  <c r="O10" i="3"/>
  <c r="O11" i="3"/>
  <c r="O169" i="3"/>
  <c r="O180" i="3"/>
  <c r="O224" i="3"/>
  <c r="O232" i="3"/>
  <c r="O290" i="3"/>
  <c r="O298" i="3"/>
  <c r="O318" i="3"/>
  <c r="O326" i="3"/>
  <c r="O328" i="3"/>
  <c r="O23" i="3"/>
  <c r="O48" i="3"/>
  <c r="O59" i="3"/>
  <c r="O85" i="3"/>
  <c r="O94" i="3"/>
  <c r="O112" i="3"/>
  <c r="O129" i="3"/>
  <c r="O139" i="3"/>
  <c r="O144" i="3"/>
  <c r="O153" i="3"/>
  <c r="O276" i="3"/>
  <c r="O252" i="3"/>
  <c r="O273" i="3"/>
  <c r="O307" i="3"/>
  <c r="O51" i="3"/>
  <c r="O40" i="3"/>
  <c r="O121" i="3"/>
  <c r="O234" i="3"/>
  <c r="O301" i="3"/>
  <c r="O194" i="3"/>
  <c r="O216" i="3"/>
  <c r="O207" i="3"/>
  <c r="O38" i="3"/>
  <c r="O14" i="3"/>
  <c r="O27" i="3"/>
  <c r="O343" i="3"/>
  <c r="O203" i="3"/>
  <c r="O36" i="3"/>
  <c r="O65" i="3"/>
  <c r="O74" i="3"/>
  <c r="O342" i="3"/>
  <c r="O77" i="3"/>
  <c r="O170" i="3"/>
  <c r="O178" i="3"/>
  <c r="O179" i="3"/>
  <c r="O226" i="3"/>
  <c r="O265" i="3"/>
  <c r="O294" i="3"/>
  <c r="O293" i="3"/>
  <c r="O319" i="3"/>
  <c r="O29" i="3"/>
  <c r="O47" i="3"/>
  <c r="O62" i="3"/>
  <c r="O257" i="3"/>
  <c r="O96" i="3"/>
  <c r="O122" i="3"/>
  <c r="O140" i="3"/>
  <c r="O146" i="3"/>
  <c r="O154" i="3"/>
  <c r="O284" i="3"/>
  <c r="O240" i="3"/>
  <c r="O306" i="3"/>
  <c r="O248" i="3"/>
  <c r="O41" i="3"/>
  <c r="O123" i="3"/>
  <c r="O235" i="3"/>
  <c r="O312" i="3"/>
  <c r="O196" i="3"/>
  <c r="O218" i="3"/>
  <c r="O209" i="3"/>
  <c r="O7" i="3"/>
  <c r="O67" i="3"/>
  <c r="O334" i="3"/>
  <c r="O80" i="3"/>
  <c r="O163" i="3"/>
  <c r="O159" i="3"/>
  <c r="O12" i="3"/>
  <c r="O182" i="3"/>
  <c r="O228" i="3"/>
  <c r="O39" i="3"/>
  <c r="O295" i="3"/>
  <c r="O296" i="3"/>
  <c r="O320" i="3"/>
  <c r="O18" i="3"/>
  <c r="O28" i="3"/>
  <c r="O49" i="3"/>
  <c r="O247" i="3"/>
  <c r="O97" i="3"/>
  <c r="O125" i="3"/>
  <c r="O88" i="3"/>
  <c r="O145" i="3"/>
  <c r="O250" i="3"/>
  <c r="O289" i="3"/>
  <c r="O242" i="3"/>
  <c r="O282" i="3"/>
  <c r="O309" i="3"/>
  <c r="O75" i="3"/>
  <c r="O54" i="3"/>
  <c r="O124" i="3"/>
  <c r="O256" i="3"/>
  <c r="O313" i="3"/>
  <c r="O202" i="3"/>
  <c r="O185" i="3"/>
  <c r="O211" i="3"/>
  <c r="O164" i="3"/>
  <c r="O160" i="3"/>
  <c r="O299" i="3"/>
  <c r="O258" i="3"/>
  <c r="O136" i="3"/>
  <c r="O303" i="3"/>
  <c r="O269" i="3"/>
  <c r="O35" i="3"/>
  <c r="O311" i="3"/>
  <c r="O9" i="3"/>
  <c r="O335" i="3"/>
  <c r="O79" i="3"/>
  <c r="O176" i="3"/>
  <c r="O162" i="3"/>
  <c r="O223" i="3"/>
  <c r="O161" i="3"/>
  <c r="O266" i="3"/>
  <c r="O17" i="3"/>
  <c r="O338" i="3"/>
  <c r="O255" i="3"/>
  <c r="O19" i="3"/>
  <c r="O25" i="3"/>
  <c r="O44" i="3"/>
  <c r="O60" i="3"/>
  <c r="O86" i="3"/>
  <c r="O132" i="3"/>
  <c r="O137" i="3"/>
  <c r="O147" i="3"/>
  <c r="O156" i="3"/>
  <c r="O238" i="3"/>
  <c r="O246" i="3"/>
  <c r="O302" i="3"/>
  <c r="O157" i="3"/>
  <c r="O82" i="3"/>
  <c r="O131" i="3"/>
  <c r="O271" i="3"/>
  <c r="O333" i="3"/>
  <c r="O204" i="3"/>
  <c r="O190" i="3"/>
  <c r="O217" i="3"/>
  <c r="O337" i="3"/>
  <c r="O264" i="3"/>
  <c r="O43" i="3"/>
  <c r="O241" i="3"/>
  <c r="O50" i="3"/>
  <c r="O189" i="3"/>
  <c r="N31" i="3"/>
  <c r="N66" i="3"/>
  <c r="N64" i="3"/>
  <c r="N336" i="3"/>
  <c r="N118" i="3"/>
  <c r="N177" i="3"/>
  <c r="N98" i="3"/>
  <c r="N167" i="3"/>
  <c r="N172" i="3"/>
  <c r="N230" i="3"/>
  <c r="N331" i="3"/>
  <c r="N253" i="3"/>
  <c r="N315" i="3"/>
  <c r="N317" i="3"/>
  <c r="N22" i="3"/>
  <c r="N46" i="3"/>
  <c r="N58" i="3"/>
  <c r="N83" i="3"/>
  <c r="N90" i="3"/>
  <c r="N261" i="3"/>
  <c r="N127" i="3"/>
  <c r="N249" i="3"/>
  <c r="N13" i="3"/>
  <c r="N53" i="3"/>
  <c r="N274" i="3"/>
  <c r="N244" i="3"/>
  <c r="N308" i="3"/>
  <c r="N248" i="3"/>
  <c r="N41" i="3"/>
  <c r="N123" i="3"/>
  <c r="N235" i="3"/>
  <c r="N312" i="3"/>
  <c r="N196" i="3"/>
  <c r="N218" i="3"/>
  <c r="N209" i="3"/>
  <c r="N33" i="3"/>
  <c r="N68" i="3"/>
  <c r="N69" i="3"/>
  <c r="N340" i="3"/>
  <c r="N116" i="3"/>
  <c r="N175" i="3"/>
  <c r="N165" i="3"/>
  <c r="N166" i="3"/>
  <c r="N173" i="3"/>
  <c r="N229" i="3"/>
  <c r="N267" i="3"/>
  <c r="N254" i="3"/>
  <c r="N314" i="3"/>
  <c r="N181" i="3"/>
  <c r="N23" i="3"/>
  <c r="N48" i="3"/>
  <c r="N59" i="3"/>
  <c r="N85" i="3"/>
  <c r="N94" i="3"/>
  <c r="N112" i="3"/>
  <c r="N129" i="3"/>
  <c r="N139" i="3"/>
  <c r="N144" i="3"/>
  <c r="N153" i="3"/>
  <c r="N276" i="3"/>
  <c r="N252" i="3"/>
  <c r="N273" i="3"/>
  <c r="N307" i="3"/>
  <c r="N75" i="3"/>
  <c r="N54" i="3"/>
  <c r="N124" i="3"/>
  <c r="N256" i="3"/>
  <c r="N313" i="3"/>
  <c r="N202" i="3"/>
  <c r="N185" i="3"/>
  <c r="N211" i="3"/>
  <c r="N32" i="3"/>
  <c r="N8" i="3"/>
  <c r="N70" i="3"/>
  <c r="N341" i="3"/>
  <c r="N81" i="3"/>
  <c r="N119" i="3"/>
  <c r="N99" i="3"/>
  <c r="N168" i="3"/>
  <c r="N34" i="3"/>
  <c r="N231" i="3"/>
  <c r="N268" i="3"/>
  <c r="N297" i="3"/>
  <c r="N316" i="3"/>
  <c r="N325" i="3"/>
  <c r="N29" i="3"/>
  <c r="N47" i="3"/>
  <c r="N62" i="3"/>
  <c r="N257" i="3"/>
  <c r="N96" i="3"/>
  <c r="N122" i="3"/>
  <c r="N140" i="3"/>
  <c r="N146" i="3"/>
  <c r="N154" i="3"/>
  <c r="N284" i="3"/>
  <c r="N240" i="3"/>
  <c r="N306" i="3"/>
  <c r="N50" i="3"/>
  <c r="N55" i="3"/>
  <c r="N130" i="3"/>
  <c r="N269" i="3"/>
  <c r="N332" i="3"/>
  <c r="N203" i="3"/>
  <c r="N189" i="3"/>
  <c r="N214" i="3"/>
  <c r="N37" i="3"/>
  <c r="N73" i="3"/>
  <c r="N72" i="3"/>
  <c r="N339" i="3"/>
  <c r="N10" i="3"/>
  <c r="N11" i="3"/>
  <c r="N169" i="3"/>
  <c r="N180" i="3"/>
  <c r="N224" i="3"/>
  <c r="N232" i="3"/>
  <c r="N290" i="3"/>
  <c r="N298" i="3"/>
  <c r="N318" i="3"/>
  <c r="N326" i="3"/>
  <c r="N328" i="3"/>
  <c r="N28" i="3"/>
  <c r="N49" i="3"/>
  <c r="N247" i="3"/>
  <c r="N97" i="3"/>
  <c r="N125" i="3"/>
  <c r="N88" i="3"/>
  <c r="N145" i="3"/>
  <c r="N250" i="3"/>
  <c r="N289" i="3"/>
  <c r="N242" i="3"/>
  <c r="N282" i="3"/>
  <c r="N309" i="3"/>
  <c r="N157" i="3"/>
  <c r="N82" i="3"/>
  <c r="N131" i="3"/>
  <c r="N271" i="3"/>
  <c r="N333" i="3"/>
  <c r="N204" i="3"/>
  <c r="N190" i="3"/>
  <c r="N217" i="3"/>
  <c r="N36" i="3"/>
  <c r="N65" i="3"/>
  <c r="N74" i="3"/>
  <c r="N342" i="3"/>
  <c r="N77" i="3"/>
  <c r="N170" i="3"/>
  <c r="N178" i="3"/>
  <c r="N179" i="3"/>
  <c r="N226" i="3"/>
  <c r="N265" i="3"/>
  <c r="N294" i="3"/>
  <c r="N293" i="3"/>
  <c r="N319" i="3"/>
  <c r="N27" i="3"/>
  <c r="N43" i="3"/>
  <c r="N61" i="3"/>
  <c r="N258" i="3"/>
  <c r="N92" i="3"/>
  <c r="N262" i="3"/>
  <c r="N135" i="3"/>
  <c r="N136" i="3"/>
  <c r="N343" i="3"/>
  <c r="N155" i="3"/>
  <c r="N236" i="3"/>
  <c r="N241" i="3"/>
  <c r="N303" i="3"/>
  <c r="N158" i="3"/>
  <c r="N89" i="3"/>
  <c r="N142" i="3"/>
  <c r="N287" i="3"/>
  <c r="N183" i="3"/>
  <c r="N205" i="3"/>
  <c r="N192" i="3"/>
  <c r="N219" i="3"/>
  <c r="N7" i="3"/>
  <c r="N67" i="3"/>
  <c r="N334" i="3"/>
  <c r="N80" i="3"/>
  <c r="N163" i="3"/>
  <c r="N159" i="3"/>
  <c r="N12" i="3"/>
  <c r="N182" i="3"/>
  <c r="N228" i="3"/>
  <c r="N39" i="3"/>
  <c r="N295" i="3"/>
  <c r="N296" i="3"/>
  <c r="N320" i="3"/>
  <c r="N18" i="3"/>
  <c r="N25" i="3"/>
  <c r="N44" i="3"/>
  <c r="N60" i="3"/>
  <c r="N86" i="3"/>
  <c r="N132" i="3"/>
  <c r="N137" i="3"/>
  <c r="N147" i="3"/>
  <c r="N156" i="3"/>
  <c r="N238" i="3"/>
  <c r="N246" i="3"/>
  <c r="N302" i="3"/>
  <c r="N20" i="3"/>
  <c r="N107" i="3"/>
  <c r="N143" i="3"/>
  <c r="N292" i="3"/>
  <c r="N186" i="3"/>
  <c r="N208" i="3"/>
  <c r="N197" i="3"/>
  <c r="N221" i="3"/>
  <c r="N30" i="3"/>
  <c r="N38" i="3"/>
  <c r="N71" i="3"/>
  <c r="N337" i="3"/>
  <c r="N78" i="3"/>
  <c r="N164" i="3"/>
  <c r="N160" i="3"/>
  <c r="N174" i="3"/>
  <c r="N14" i="3"/>
  <c r="N225" i="3"/>
  <c r="N264" i="3"/>
  <c r="N288" i="3"/>
  <c r="N299" i="3"/>
  <c r="N321" i="3"/>
  <c r="N24" i="3"/>
  <c r="N42" i="3"/>
  <c r="N56" i="3"/>
  <c r="N63" i="3"/>
  <c r="N87" i="3"/>
  <c r="N95" i="3"/>
  <c r="N126" i="3"/>
  <c r="N134" i="3"/>
  <c r="N138" i="3"/>
  <c r="N148" i="3"/>
  <c r="N251" i="3"/>
  <c r="N237" i="3"/>
  <c r="N304" i="3"/>
  <c r="N21" i="3"/>
  <c r="N120" i="3"/>
  <c r="N151" i="3"/>
  <c r="N300" i="3"/>
  <c r="N187" i="3"/>
  <c r="N212" i="3"/>
  <c r="N200" i="3"/>
  <c r="N4" i="3"/>
  <c r="N35" i="3"/>
  <c r="N311" i="3"/>
  <c r="N9" i="3"/>
  <c r="N335" i="3"/>
  <c r="N79" i="3"/>
  <c r="N176" i="3"/>
  <c r="N162" i="3"/>
  <c r="N223" i="3"/>
  <c r="N161" i="3"/>
  <c r="N266" i="3"/>
  <c r="N17" i="3"/>
  <c r="N338" i="3"/>
  <c r="N255" i="3"/>
  <c r="N19" i="3"/>
  <c r="N310" i="3"/>
  <c r="N45" i="3"/>
  <c r="N57" i="3"/>
  <c r="N84" i="3"/>
  <c r="N91" i="3"/>
  <c r="N110" i="3"/>
  <c r="N128" i="3"/>
  <c r="N133" i="3"/>
  <c r="N285" i="3"/>
  <c r="N149" i="3"/>
  <c r="N52" i="3"/>
  <c r="N239" i="3"/>
  <c r="N280" i="3"/>
  <c r="N305" i="3"/>
  <c r="N51" i="3"/>
  <c r="N40" i="3"/>
  <c r="N121" i="3"/>
  <c r="N234" i="3"/>
  <c r="N301" i="3"/>
  <c r="N194" i="3"/>
  <c r="N216" i="3"/>
  <c r="N207" i="3"/>
  <c r="A97" i="8"/>
  <c r="A98" i="8"/>
  <c r="B97" i="8"/>
  <c r="B98" i="8"/>
  <c r="D97" i="8"/>
  <c r="D98" i="8"/>
  <c r="E97" i="8"/>
  <c r="E98" i="8"/>
  <c r="A57" i="8"/>
  <c r="A58" i="8"/>
  <c r="A59" i="8"/>
  <c r="A60" i="8"/>
  <c r="A61" i="8"/>
  <c r="A62" i="8"/>
  <c r="A63" i="8"/>
  <c r="A64" i="8"/>
  <c r="A65" i="8"/>
  <c r="A66" i="8"/>
  <c r="A67" i="8"/>
  <c r="A68" i="8"/>
  <c r="A69" i="8"/>
  <c r="A70" i="8"/>
  <c r="A71" i="8"/>
  <c r="A72" i="8"/>
  <c r="A73" i="8"/>
  <c r="A74" i="8"/>
  <c r="A75" i="8"/>
  <c r="A76" i="8"/>
  <c r="A77" i="8"/>
  <c r="A78" i="8"/>
  <c r="A79" i="8"/>
  <c r="A80" i="8"/>
  <c r="A81" i="8"/>
  <c r="A82" i="8"/>
  <c r="B57" i="8"/>
  <c r="B58" i="8"/>
  <c r="B59" i="8"/>
  <c r="B60" i="8"/>
  <c r="B61" i="8"/>
  <c r="B62" i="8"/>
  <c r="B63" i="8"/>
  <c r="B64" i="8"/>
  <c r="B65" i="8"/>
  <c r="B66" i="8"/>
  <c r="B67" i="8"/>
  <c r="B68" i="8"/>
  <c r="B69" i="8"/>
  <c r="B70" i="8"/>
  <c r="B71" i="8"/>
  <c r="B72" i="8"/>
  <c r="B73" i="8"/>
  <c r="B74" i="8"/>
  <c r="B75" i="8"/>
  <c r="B76" i="8"/>
  <c r="B77" i="8"/>
  <c r="B78" i="8"/>
  <c r="B79" i="8"/>
  <c r="B80" i="8"/>
  <c r="B81" i="8"/>
  <c r="B82" i="8"/>
  <c r="D57" i="8"/>
  <c r="D58" i="8"/>
  <c r="D59" i="8"/>
  <c r="D60" i="8"/>
  <c r="D61" i="8"/>
  <c r="D62" i="8"/>
  <c r="D63" i="8"/>
  <c r="D64" i="8"/>
  <c r="D65" i="8"/>
  <c r="D66" i="8"/>
  <c r="D67" i="8"/>
  <c r="D68" i="8"/>
  <c r="D69" i="8"/>
  <c r="D70" i="8"/>
  <c r="D71" i="8"/>
  <c r="D72" i="8"/>
  <c r="D73" i="8"/>
  <c r="D74" i="8"/>
  <c r="D75" i="8"/>
  <c r="D76" i="8"/>
  <c r="D77" i="8"/>
  <c r="D78" i="8"/>
  <c r="D79" i="8"/>
  <c r="D80" i="8"/>
  <c r="D81" i="8"/>
  <c r="D82" i="8"/>
  <c r="E57" i="8"/>
  <c r="E58" i="8"/>
  <c r="E59" i="8"/>
  <c r="E60" i="8"/>
  <c r="E61" i="8"/>
  <c r="E62" i="8"/>
  <c r="E63" i="8"/>
  <c r="E64" i="8"/>
  <c r="E65" i="8"/>
  <c r="E66" i="8"/>
  <c r="E67" i="8"/>
  <c r="E68" i="8"/>
  <c r="E69" i="8"/>
  <c r="E70" i="8"/>
  <c r="E71" i="8"/>
  <c r="E72" i="8"/>
  <c r="E73" i="8"/>
  <c r="E74" i="8"/>
  <c r="E75" i="8"/>
  <c r="E76" i="8"/>
  <c r="E77" i="8"/>
  <c r="E78" i="8"/>
  <c r="E79" i="8"/>
  <c r="E80" i="8"/>
  <c r="E81" i="8"/>
  <c r="E82" i="8"/>
  <c r="A43" i="8" l="1"/>
  <c r="A44" i="8"/>
  <c r="A45" i="8"/>
  <c r="A46" i="8"/>
  <c r="A47" i="8"/>
  <c r="A48" i="8"/>
  <c r="A49" i="8"/>
  <c r="A50" i="8"/>
  <c r="A52" i="8"/>
  <c r="A53" i="8"/>
  <c r="A54" i="8"/>
  <c r="A55" i="8"/>
  <c r="A56" i="8"/>
  <c r="B43" i="8"/>
  <c r="B44" i="8"/>
  <c r="B45" i="8"/>
  <c r="B46" i="8"/>
  <c r="B47" i="8"/>
  <c r="B48" i="8"/>
  <c r="B49" i="8"/>
  <c r="B50" i="8"/>
  <c r="B52" i="8"/>
  <c r="B53" i="8"/>
  <c r="B54" i="8"/>
  <c r="B55" i="8"/>
  <c r="B56" i="8"/>
  <c r="D43" i="8"/>
  <c r="D44" i="8"/>
  <c r="D45" i="8"/>
  <c r="D46" i="8"/>
  <c r="D47" i="8"/>
  <c r="D48" i="8"/>
  <c r="D49" i="8"/>
  <c r="D50" i="8"/>
  <c r="D52" i="8"/>
  <c r="D53" i="8"/>
  <c r="D54" i="8"/>
  <c r="D55" i="8"/>
  <c r="D56" i="8"/>
  <c r="E43" i="8"/>
  <c r="E44" i="8"/>
  <c r="E45" i="8"/>
  <c r="E46" i="8"/>
  <c r="E47" i="8"/>
  <c r="E48" i="8"/>
  <c r="E49" i="8"/>
  <c r="E50" i="8"/>
  <c r="E52" i="8"/>
  <c r="E53" i="8"/>
  <c r="E54" i="8"/>
  <c r="E55" i="8"/>
  <c r="E56" i="8"/>
  <c r="A39" i="8" l="1"/>
  <c r="A40" i="8"/>
  <c r="A41" i="8"/>
  <c r="A42" i="8"/>
  <c r="B39" i="8"/>
  <c r="B40" i="8"/>
  <c r="B41" i="8"/>
  <c r="B42" i="8"/>
  <c r="D39" i="8"/>
  <c r="D40" i="8"/>
  <c r="D41" i="8"/>
  <c r="D42" i="8"/>
  <c r="E39" i="8"/>
  <c r="E40" i="8"/>
  <c r="E41" i="8"/>
  <c r="E42" i="8"/>
  <c r="A32" i="8" l="1"/>
  <c r="A33" i="8"/>
  <c r="A34" i="8"/>
  <c r="A35" i="8"/>
  <c r="A36" i="8"/>
  <c r="A37" i="8"/>
  <c r="A38" i="8"/>
  <c r="B32" i="8"/>
  <c r="B33" i="8"/>
  <c r="B34" i="8"/>
  <c r="B35" i="8"/>
  <c r="B36" i="8"/>
  <c r="B37" i="8"/>
  <c r="B38" i="8"/>
  <c r="D32" i="8"/>
  <c r="D33" i="8"/>
  <c r="D34" i="8"/>
  <c r="D35" i="8"/>
  <c r="D36" i="8"/>
  <c r="D37" i="8"/>
  <c r="D38" i="8"/>
  <c r="E32" i="8"/>
  <c r="E33" i="8"/>
  <c r="E34" i="8"/>
  <c r="E35" i="8"/>
  <c r="E36" i="8"/>
  <c r="E37" i="8"/>
  <c r="E38" i="8"/>
  <c r="A31" i="8" l="1"/>
  <c r="B31" i="8"/>
  <c r="D31" i="8"/>
  <c r="E31" i="8"/>
  <c r="A26" i="8" l="1"/>
  <c r="A27" i="8"/>
  <c r="A28" i="8"/>
  <c r="A29" i="8"/>
  <c r="A30" i="8"/>
  <c r="B26" i="8"/>
  <c r="B27" i="8"/>
  <c r="B28" i="8"/>
  <c r="B29" i="8"/>
  <c r="B30" i="8"/>
  <c r="D26" i="8"/>
  <c r="D27" i="8"/>
  <c r="D28" i="8"/>
  <c r="D29" i="8"/>
  <c r="D30" i="8"/>
  <c r="E26" i="8"/>
  <c r="E27" i="8"/>
  <c r="E28" i="8"/>
  <c r="E29" i="8"/>
  <c r="E30" i="8"/>
  <c r="A25" i="8"/>
  <c r="B25" i="8"/>
  <c r="D25" i="8"/>
  <c r="E25" i="8"/>
  <c r="A3" i="8" l="1"/>
  <c r="A7" i="8"/>
  <c r="A8" i="8"/>
  <c r="A9" i="8"/>
  <c r="A10" i="8"/>
  <c r="A11" i="8"/>
  <c r="A12" i="8"/>
  <c r="A13" i="8"/>
  <c r="A14" i="8"/>
  <c r="A15" i="8"/>
  <c r="A16" i="8"/>
  <c r="A17" i="8"/>
  <c r="A18" i="8"/>
  <c r="A19" i="8"/>
  <c r="A20" i="8"/>
  <c r="A22" i="8"/>
  <c r="A23" i="8"/>
  <c r="A24" i="8"/>
  <c r="B7" i="8"/>
  <c r="B8" i="8"/>
  <c r="B9" i="8"/>
  <c r="B10" i="8"/>
  <c r="B11" i="8"/>
  <c r="B12" i="8"/>
  <c r="B13" i="8"/>
  <c r="B14" i="8"/>
  <c r="B15" i="8"/>
  <c r="B16" i="8"/>
  <c r="B17" i="8"/>
  <c r="B18" i="8"/>
  <c r="B19" i="8"/>
  <c r="B20" i="8"/>
  <c r="B22" i="8"/>
  <c r="B23" i="8"/>
  <c r="B24" i="8"/>
  <c r="D7" i="8"/>
  <c r="D8" i="8"/>
  <c r="D9" i="8"/>
  <c r="D10" i="8"/>
  <c r="D11" i="8"/>
  <c r="D12" i="8"/>
  <c r="D13" i="8"/>
  <c r="D14" i="8"/>
  <c r="D15" i="8"/>
  <c r="D16" i="8"/>
  <c r="D17" i="8"/>
  <c r="D18" i="8"/>
  <c r="D19" i="8"/>
  <c r="D20" i="8"/>
  <c r="D22" i="8"/>
  <c r="D23" i="8"/>
  <c r="D24" i="8"/>
  <c r="E7" i="8"/>
  <c r="E8" i="8"/>
  <c r="E9" i="8"/>
  <c r="E10" i="8"/>
  <c r="E11" i="8"/>
  <c r="E12" i="8"/>
  <c r="E13" i="8"/>
  <c r="E14" i="8"/>
  <c r="E15" i="8"/>
  <c r="E16" i="8"/>
  <c r="E17" i="8"/>
  <c r="E18" i="8"/>
  <c r="E19" i="8"/>
  <c r="E20" i="8"/>
  <c r="E22" i="8"/>
  <c r="E23" i="8"/>
  <c r="E24" i="8"/>
  <c r="L51" i="3" l="1"/>
  <c r="B95" i="8"/>
  <c r="E95" i="8"/>
  <c r="E96" i="8"/>
  <c r="E99" i="8"/>
  <c r="E100" i="8"/>
  <c r="E101" i="8"/>
  <c r="E102" i="8"/>
  <c r="D95" i="8"/>
  <c r="D96" i="8"/>
  <c r="D99" i="8"/>
  <c r="D100" i="8"/>
  <c r="D101" i="8"/>
  <c r="D102" i="8"/>
  <c r="B96" i="8"/>
  <c r="B99" i="8"/>
  <c r="B100" i="8"/>
  <c r="B101" i="8"/>
  <c r="B102" i="8"/>
  <c r="A95" i="8"/>
  <c r="A96" i="8"/>
  <c r="A99" i="8"/>
  <c r="A100" i="8"/>
  <c r="A101" i="8"/>
  <c r="A102" i="8"/>
  <c r="E3" i="8"/>
  <c r="E4" i="8"/>
  <c r="E5" i="8"/>
  <c r="E6" i="8"/>
  <c r="D3" i="8"/>
  <c r="D4" i="8"/>
  <c r="D5" i="8"/>
  <c r="D6" i="8"/>
  <c r="B3" i="8"/>
  <c r="B4" i="8"/>
  <c r="B5" i="8"/>
  <c r="B6" i="8"/>
  <c r="A4" i="8"/>
  <c r="A5" i="8"/>
  <c r="A6" i="8"/>
  <c r="L100" i="3" s="1"/>
  <c r="L6" i="3" l="1"/>
  <c r="L105" i="3"/>
  <c r="L102" i="3"/>
  <c r="M199" i="3"/>
  <c r="M6" i="3"/>
  <c r="M233" i="3"/>
  <c r="M227" i="3"/>
  <c r="M171" i="3"/>
  <c r="M102" i="3"/>
  <c r="M104" i="3"/>
  <c r="M105" i="3"/>
  <c r="M100" i="3"/>
  <c r="M101" i="3"/>
  <c r="M103" i="3"/>
  <c r="L101" i="3"/>
  <c r="L171" i="3"/>
  <c r="L227" i="3"/>
  <c r="L233" i="3"/>
  <c r="L104" i="3"/>
  <c r="L199" i="3"/>
  <c r="L103" i="3"/>
  <c r="L93" i="3"/>
  <c r="M270" i="3"/>
  <c r="M106" i="3"/>
  <c r="M108" i="3"/>
  <c r="L108" i="3"/>
  <c r="L270" i="3"/>
  <c r="L106" i="3"/>
  <c r="L324" i="3"/>
  <c r="L215" i="3"/>
  <c r="L322" i="3"/>
  <c r="L188" i="3"/>
  <c r="L16" i="3"/>
  <c r="L327" i="3"/>
  <c r="L213" i="3"/>
  <c r="L15" i="3"/>
  <c r="L201" i="3"/>
  <c r="L184" i="3"/>
  <c r="L222" i="3"/>
  <c r="L198" i="3"/>
  <c r="L329" i="3"/>
  <c r="L193" i="3"/>
  <c r="L210" i="3"/>
  <c r="M188" i="3"/>
  <c r="M215" i="3"/>
  <c r="M191" i="3"/>
  <c r="M220" i="3"/>
  <c r="M193" i="3"/>
  <c r="M184" i="3"/>
  <c r="M201" i="3"/>
  <c r="M195" i="3"/>
  <c r="M206" i="3"/>
  <c r="M213" i="3"/>
  <c r="M198" i="3"/>
  <c r="M210" i="3"/>
  <c r="M327" i="3"/>
  <c r="M322" i="3"/>
  <c r="M323" i="3"/>
  <c r="M324" i="3"/>
  <c r="M330" i="3"/>
  <c r="M329" i="3"/>
  <c r="M222" i="3"/>
  <c r="M15" i="3"/>
  <c r="M16" i="3"/>
  <c r="L330" i="3"/>
  <c r="L220" i="3"/>
  <c r="L206" i="3"/>
  <c r="L323" i="3"/>
  <c r="L191" i="3"/>
  <c r="L195" i="3"/>
  <c r="L283" i="3"/>
  <c r="L141" i="3"/>
  <c r="L278" i="3"/>
  <c r="L279" i="3"/>
  <c r="L277" i="3"/>
  <c r="L245" i="3"/>
  <c r="L275" i="3"/>
  <c r="L281" i="3"/>
  <c r="M117" i="3"/>
  <c r="M272" i="3"/>
  <c r="M281" i="3"/>
  <c r="M275" i="3"/>
  <c r="M277" i="3"/>
  <c r="M278" i="3"/>
  <c r="M283" i="3"/>
  <c r="M286" i="3"/>
  <c r="M279" i="3"/>
  <c r="M243" i="3"/>
  <c r="M245" i="3"/>
  <c r="M152" i="3"/>
  <c r="M141" i="3"/>
  <c r="L243" i="3"/>
  <c r="L272" i="3"/>
  <c r="L152" i="3"/>
  <c r="L286" i="3"/>
  <c r="L117" i="3"/>
  <c r="L263" i="3"/>
  <c r="L114" i="3"/>
  <c r="L115" i="3"/>
  <c r="M260" i="3"/>
  <c r="M113" i="3"/>
  <c r="M115" i="3"/>
  <c r="M114" i="3"/>
  <c r="M111" i="3"/>
  <c r="M263" i="3"/>
  <c r="M109" i="3"/>
  <c r="L109" i="3"/>
  <c r="L111" i="3"/>
  <c r="L260" i="3"/>
  <c r="L113" i="3"/>
  <c r="M93" i="3"/>
  <c r="M259" i="3"/>
  <c r="M26" i="3"/>
  <c r="L26" i="3"/>
  <c r="L259" i="3"/>
  <c r="L30" i="3"/>
  <c r="L291" i="3"/>
  <c r="L5" i="3"/>
  <c r="M291" i="3"/>
  <c r="M5" i="3"/>
  <c r="M30" i="3"/>
  <c r="M35" i="3"/>
  <c r="M31" i="3"/>
  <c r="M33" i="3"/>
  <c r="M32" i="3"/>
  <c r="M37" i="3"/>
  <c r="M36" i="3"/>
  <c r="M7" i="3"/>
  <c r="M38" i="3"/>
  <c r="M311" i="3"/>
  <c r="M66" i="3"/>
  <c r="M68" i="3"/>
  <c r="M8" i="3"/>
  <c r="M73" i="3"/>
  <c r="M65" i="3"/>
  <c r="M67" i="3"/>
  <c r="M71" i="3"/>
  <c r="M9" i="3"/>
  <c r="M64" i="3"/>
  <c r="M69" i="3"/>
  <c r="M70" i="3"/>
  <c r="M72" i="3"/>
  <c r="M74" i="3"/>
  <c r="M334" i="3"/>
  <c r="M337" i="3"/>
  <c r="M335" i="3"/>
  <c r="M336" i="3"/>
  <c r="M340" i="3"/>
  <c r="M341" i="3"/>
  <c r="M339" i="3"/>
  <c r="M342" i="3"/>
  <c r="M80" i="3"/>
  <c r="M78" i="3"/>
  <c r="M79" i="3"/>
  <c r="M118" i="3"/>
  <c r="M116" i="3"/>
  <c r="M81" i="3"/>
  <c r="M10" i="3"/>
  <c r="M77" i="3"/>
  <c r="M163" i="3"/>
  <c r="M164" i="3"/>
  <c r="M176" i="3"/>
  <c r="M177" i="3"/>
  <c r="M175" i="3"/>
  <c r="M119" i="3"/>
  <c r="M11" i="3"/>
  <c r="M170" i="3"/>
  <c r="M159" i="3"/>
  <c r="M160" i="3"/>
  <c r="M162" i="3"/>
  <c r="M98" i="3"/>
  <c r="M165" i="3"/>
  <c r="M99" i="3"/>
  <c r="M169" i="3"/>
  <c r="M178" i="3"/>
  <c r="M12" i="3"/>
  <c r="M174" i="3"/>
  <c r="M223" i="3"/>
  <c r="M167" i="3"/>
  <c r="M166" i="3"/>
  <c r="M168" i="3"/>
  <c r="M180" i="3"/>
  <c r="M179" i="3"/>
  <c r="M182" i="3"/>
  <c r="M14" i="3"/>
  <c r="M161" i="3"/>
  <c r="M172" i="3"/>
  <c r="M173" i="3"/>
  <c r="M34" i="3"/>
  <c r="M224" i="3"/>
  <c r="M226" i="3"/>
  <c r="M228" i="3"/>
  <c r="M225" i="3"/>
  <c r="M230" i="3"/>
  <c r="M229" i="3"/>
  <c r="M231" i="3"/>
  <c r="M232" i="3"/>
  <c r="M265" i="3"/>
  <c r="M39" i="3"/>
  <c r="M264" i="3"/>
  <c r="M266" i="3"/>
  <c r="M331" i="3"/>
  <c r="M267" i="3"/>
  <c r="M268" i="3"/>
  <c r="M290" i="3"/>
  <c r="M294" i="3"/>
  <c r="M295" i="3"/>
  <c r="M288" i="3"/>
  <c r="M17" i="3"/>
  <c r="M253" i="3"/>
  <c r="M254" i="3"/>
  <c r="M297" i="3"/>
  <c r="M298" i="3"/>
  <c r="M293" i="3"/>
  <c r="M296" i="3"/>
  <c r="M299" i="3"/>
  <c r="M338" i="3"/>
  <c r="M315" i="3"/>
  <c r="M314" i="3"/>
  <c r="M316" i="3"/>
  <c r="M318" i="3"/>
  <c r="M319" i="3"/>
  <c r="M320" i="3"/>
  <c r="M321" i="3"/>
  <c r="M255" i="3"/>
  <c r="M317" i="3"/>
  <c r="M326" i="3"/>
  <c r="M18" i="3"/>
  <c r="M19" i="3"/>
  <c r="M181" i="3"/>
  <c r="M325" i="3"/>
  <c r="M328" i="3"/>
  <c r="M24" i="3"/>
  <c r="M310" i="3"/>
  <c r="M22" i="3"/>
  <c r="M23" i="3"/>
  <c r="M29" i="3"/>
  <c r="M28" i="3"/>
  <c r="M27" i="3"/>
  <c r="M25" i="3"/>
  <c r="M42" i="3"/>
  <c r="M45" i="3"/>
  <c r="M46" i="3"/>
  <c r="M48" i="3"/>
  <c r="M47" i="3"/>
  <c r="M49" i="3"/>
  <c r="M43" i="3"/>
  <c r="M44" i="3"/>
  <c r="M56" i="3"/>
  <c r="M57" i="3"/>
  <c r="M58" i="3"/>
  <c r="M59" i="3"/>
  <c r="M62" i="3"/>
  <c r="M247" i="3"/>
  <c r="M61" i="3"/>
  <c r="M60" i="3"/>
  <c r="M63" i="3"/>
  <c r="M84" i="3"/>
  <c r="M83" i="3"/>
  <c r="M85" i="3"/>
  <c r="M257" i="3"/>
  <c r="M258" i="3"/>
  <c r="M86" i="3"/>
  <c r="M87" i="3"/>
  <c r="M91" i="3"/>
  <c r="M90" i="3"/>
  <c r="M94" i="3"/>
  <c r="M96" i="3"/>
  <c r="M97" i="3"/>
  <c r="M92" i="3"/>
  <c r="M95" i="3"/>
  <c r="M110" i="3"/>
  <c r="M261" i="3"/>
  <c r="M112" i="3"/>
  <c r="M262" i="3"/>
  <c r="M126" i="3"/>
  <c r="M128" i="3"/>
  <c r="M127" i="3"/>
  <c r="M129" i="3"/>
  <c r="M122" i="3"/>
  <c r="M125" i="3"/>
  <c r="M135" i="3"/>
  <c r="M132" i="3"/>
  <c r="M134" i="3"/>
  <c r="M133" i="3"/>
  <c r="M249" i="3"/>
  <c r="M139" i="3"/>
  <c r="M140" i="3"/>
  <c r="M88" i="3"/>
  <c r="M136" i="3"/>
  <c r="M137" i="3"/>
  <c r="M138" i="3"/>
  <c r="M285" i="3"/>
  <c r="M13" i="3"/>
  <c r="M144" i="3"/>
  <c r="M146" i="3"/>
  <c r="M145" i="3"/>
  <c r="M343" i="3"/>
  <c r="M147" i="3"/>
  <c r="M148" i="3"/>
  <c r="M149" i="3"/>
  <c r="M53" i="3"/>
  <c r="M153" i="3"/>
  <c r="M154" i="3"/>
  <c r="M250" i="3"/>
  <c r="M155" i="3"/>
  <c r="M156" i="3"/>
  <c r="M251" i="3"/>
  <c r="M52" i="3"/>
  <c r="M274" i="3"/>
  <c r="M276" i="3"/>
  <c r="M284" i="3"/>
  <c r="M289" i="3"/>
  <c r="M236" i="3"/>
  <c r="M238" i="3"/>
  <c r="M237" i="3"/>
  <c r="M239" i="3"/>
  <c r="M244" i="3"/>
  <c r="M252" i="3"/>
  <c r="M240" i="3"/>
  <c r="M242" i="3"/>
  <c r="M241" i="3"/>
  <c r="M246" i="3"/>
  <c r="M280" i="3"/>
  <c r="M273" i="3"/>
  <c r="M282" i="3"/>
  <c r="M303" i="3"/>
  <c r="M302" i="3"/>
  <c r="M304" i="3"/>
  <c r="M305" i="3"/>
  <c r="M308" i="3"/>
  <c r="M307" i="3"/>
  <c r="M306" i="3"/>
  <c r="M309" i="3"/>
  <c r="M51" i="3"/>
  <c r="M248" i="3"/>
  <c r="M75" i="3"/>
  <c r="M50" i="3"/>
  <c r="M157" i="3"/>
  <c r="M158" i="3"/>
  <c r="M20" i="3"/>
  <c r="M21" i="3"/>
  <c r="M40" i="3"/>
  <c r="M41" i="3"/>
  <c r="M54" i="3"/>
  <c r="M55" i="3"/>
  <c r="M82" i="3"/>
  <c r="M89" i="3"/>
  <c r="M107" i="3"/>
  <c r="M120" i="3"/>
  <c r="M121" i="3"/>
  <c r="M123" i="3"/>
  <c r="M124" i="3"/>
  <c r="M130" i="3"/>
  <c r="M131" i="3"/>
  <c r="M142" i="3"/>
  <c r="M143" i="3"/>
  <c r="M151" i="3"/>
  <c r="M234" i="3"/>
  <c r="M235" i="3"/>
  <c r="M256" i="3"/>
  <c r="M269" i="3"/>
  <c r="M271" i="3"/>
  <c r="M287" i="3"/>
  <c r="M292" i="3"/>
  <c r="M300" i="3"/>
  <c r="M301" i="3"/>
  <c r="M312" i="3"/>
  <c r="M313" i="3"/>
  <c r="M332" i="3"/>
  <c r="M333" i="3"/>
  <c r="M183" i="3"/>
  <c r="M186" i="3"/>
  <c r="M187" i="3"/>
  <c r="M194" i="3"/>
  <c r="M196" i="3"/>
  <c r="M202" i="3"/>
  <c r="M203" i="3"/>
  <c r="M204" i="3"/>
  <c r="M205" i="3"/>
  <c r="M208" i="3"/>
  <c r="M212" i="3"/>
  <c r="M216" i="3"/>
  <c r="M218" i="3"/>
  <c r="M185" i="3"/>
  <c r="M189" i="3"/>
  <c r="M190" i="3"/>
  <c r="M192" i="3"/>
  <c r="M197" i="3"/>
  <c r="M200" i="3"/>
  <c r="M207" i="3"/>
  <c r="M209" i="3"/>
  <c r="M211" i="3"/>
  <c r="M214" i="3"/>
  <c r="M217" i="3"/>
  <c r="M219" i="3"/>
  <c r="M221" i="3"/>
  <c r="L19" i="3"/>
  <c r="L67" i="3"/>
  <c r="L178" i="3"/>
  <c r="L169" i="3"/>
  <c r="L23" i="3"/>
  <c r="L14" i="3"/>
  <c r="L52" i="3"/>
  <c r="L251" i="3"/>
  <c r="L132" i="3"/>
  <c r="L92" i="3"/>
  <c r="L49" i="3"/>
  <c r="L257" i="3"/>
  <c r="L338" i="3"/>
  <c r="L176" i="3"/>
  <c r="L46" i="3"/>
  <c r="L269" i="3"/>
  <c r="L149" i="3"/>
  <c r="L45" i="3"/>
  <c r="L182" i="3"/>
  <c r="L183" i="3"/>
  <c r="L202" i="3"/>
  <c r="L126" i="3"/>
  <c r="L319" i="3"/>
  <c r="L77" i="3"/>
  <c r="L134" i="3"/>
  <c r="L248" i="3"/>
  <c r="L318" i="3"/>
  <c r="L10" i="3"/>
  <c r="L144" i="3"/>
  <c r="L216" i="3"/>
  <c r="L241" i="3"/>
  <c r="L258" i="3"/>
  <c r="L268" i="3"/>
  <c r="L70" i="3"/>
  <c r="L311" i="3"/>
  <c r="L151" i="3"/>
  <c r="L145" i="3"/>
  <c r="L28" i="3"/>
  <c r="L166" i="3"/>
  <c r="L273" i="3"/>
  <c r="L186" i="3"/>
  <c r="L284" i="3"/>
  <c r="L62" i="3"/>
  <c r="L230" i="3"/>
  <c r="L66" i="3"/>
  <c r="L79" i="3"/>
  <c r="L83" i="3"/>
  <c r="L164" i="3"/>
  <c r="L84" i="3"/>
  <c r="L237" i="3"/>
  <c r="L137" i="3"/>
  <c r="L262" i="3"/>
  <c r="L247" i="3"/>
  <c r="L48" i="3"/>
  <c r="L332" i="3"/>
  <c r="L326" i="3"/>
  <c r="L297" i="3"/>
  <c r="L250" i="3"/>
  <c r="L240" i="3"/>
  <c r="L261" i="3"/>
  <c r="L333" i="3"/>
  <c r="L130" i="3"/>
  <c r="L285" i="3"/>
  <c r="L310" i="3"/>
  <c r="L12" i="3"/>
  <c r="L153" i="3"/>
  <c r="L313" i="3"/>
  <c r="L95" i="3"/>
  <c r="L293" i="3"/>
  <c r="L342" i="3"/>
  <c r="L209" i="3"/>
  <c r="L302" i="3"/>
  <c r="L298" i="3"/>
  <c r="L339" i="3"/>
  <c r="L112" i="3"/>
  <c r="L194" i="3"/>
  <c r="L236" i="3"/>
  <c r="L61" i="3"/>
  <c r="L231" i="3"/>
  <c r="L8" i="3"/>
  <c r="L82" i="3"/>
  <c r="L120" i="3"/>
  <c r="L88" i="3"/>
  <c r="L181" i="3"/>
  <c r="L165" i="3"/>
  <c r="L59" i="3"/>
  <c r="L292" i="3"/>
  <c r="L154" i="3"/>
  <c r="L47" i="3"/>
  <c r="L172" i="3"/>
  <c r="L31" i="3"/>
  <c r="L217" i="3"/>
  <c r="L22" i="3"/>
  <c r="L78" i="3"/>
  <c r="L203" i="3"/>
  <c r="L211" i="3"/>
  <c r="L123" i="3"/>
  <c r="L142" i="3"/>
  <c r="L316" i="3"/>
  <c r="L229" i="3"/>
  <c r="L249" i="3"/>
  <c r="L228" i="3"/>
  <c r="L204" i="3"/>
  <c r="L307" i="3"/>
  <c r="L341" i="3"/>
  <c r="L300" i="3"/>
  <c r="L208" i="3"/>
  <c r="L160" i="3"/>
  <c r="L308" i="3"/>
  <c r="L299" i="3"/>
  <c r="L55" i="3"/>
  <c r="L133" i="3"/>
  <c r="L18" i="3"/>
  <c r="L159" i="3"/>
  <c r="L85" i="3"/>
  <c r="L256" i="3"/>
  <c r="L87" i="3"/>
  <c r="L294" i="3"/>
  <c r="L74" i="3"/>
  <c r="L218" i="3"/>
  <c r="L246" i="3"/>
  <c r="L86" i="3"/>
  <c r="L290" i="3"/>
  <c r="L72" i="3"/>
  <c r="L301" i="3"/>
  <c r="L155" i="3"/>
  <c r="L43" i="3"/>
  <c r="L34" i="3"/>
  <c r="L32" i="3"/>
  <c r="L54" i="3"/>
  <c r="L21" i="3"/>
  <c r="L125" i="3"/>
  <c r="L175" i="3"/>
  <c r="L17" i="3"/>
  <c r="L143" i="3"/>
  <c r="L146" i="3"/>
  <c r="L29" i="3"/>
  <c r="L167" i="3"/>
  <c r="L35" i="3"/>
  <c r="L271" i="3"/>
  <c r="L321" i="3"/>
  <c r="L337" i="3"/>
  <c r="L289" i="3"/>
  <c r="L253" i="3"/>
  <c r="L161" i="3"/>
  <c r="L185" i="3"/>
  <c r="L11" i="3"/>
  <c r="L33" i="3"/>
  <c r="L244" i="3"/>
  <c r="L174" i="3"/>
  <c r="L50" i="3"/>
  <c r="L128" i="3"/>
  <c r="L320" i="3"/>
  <c r="L163" i="3"/>
  <c r="L266" i="3"/>
  <c r="L75" i="3"/>
  <c r="L63" i="3"/>
  <c r="L265" i="3"/>
  <c r="L65" i="3"/>
  <c r="L196" i="3"/>
  <c r="L238" i="3"/>
  <c r="L60" i="3"/>
  <c r="L232" i="3"/>
  <c r="L73" i="3"/>
  <c r="L162" i="3"/>
  <c r="L234" i="3"/>
  <c r="L343" i="3"/>
  <c r="L27" i="3"/>
  <c r="L168" i="3"/>
  <c r="L192" i="3"/>
  <c r="L148" i="3"/>
  <c r="L309" i="3"/>
  <c r="L314" i="3"/>
  <c r="L116" i="3"/>
  <c r="L9" i="3"/>
  <c r="L107" i="3"/>
  <c r="L140" i="3"/>
  <c r="L98" i="3"/>
  <c r="L205" i="3"/>
  <c r="L288" i="3"/>
  <c r="L71" i="3"/>
  <c r="L90" i="3"/>
  <c r="L39" i="3"/>
  <c r="L223" i="3"/>
  <c r="L138" i="3"/>
  <c r="L187" i="3"/>
  <c r="L197" i="3"/>
  <c r="L96" i="3"/>
  <c r="L57" i="3"/>
  <c r="L170" i="3"/>
  <c r="L207" i="3"/>
  <c r="L255" i="3"/>
  <c r="L331" i="3"/>
  <c r="L287" i="3"/>
  <c r="L276" i="3"/>
  <c r="L53" i="3"/>
  <c r="L214" i="3"/>
  <c r="L305" i="3"/>
  <c r="L110" i="3"/>
  <c r="L296" i="3"/>
  <c r="L80" i="3"/>
  <c r="L335" i="3"/>
  <c r="L304" i="3"/>
  <c r="L56" i="3"/>
  <c r="L226" i="3"/>
  <c r="L36" i="3"/>
  <c r="L312" i="3"/>
  <c r="L156" i="3"/>
  <c r="L44" i="3"/>
  <c r="L224" i="3"/>
  <c r="L37" i="3"/>
  <c r="L190" i="3"/>
  <c r="L121" i="3"/>
  <c r="L136" i="3"/>
  <c r="L325" i="3"/>
  <c r="L99" i="3"/>
  <c r="L89" i="3"/>
  <c r="L200" i="3"/>
  <c r="L282" i="3"/>
  <c r="L97" i="3"/>
  <c r="L254" i="3"/>
  <c r="L340" i="3"/>
  <c r="L131" i="3"/>
  <c r="L20" i="3"/>
  <c r="L122" i="3"/>
  <c r="L317" i="3"/>
  <c r="L177" i="3"/>
  <c r="L158" i="3"/>
  <c r="L274" i="3"/>
  <c r="L264" i="3"/>
  <c r="L38" i="3"/>
  <c r="L239" i="3"/>
  <c r="L24" i="3"/>
  <c r="L328" i="3"/>
  <c r="L81" i="3"/>
  <c r="L68" i="3"/>
  <c r="L336" i="3"/>
  <c r="L58" i="3"/>
  <c r="L7" i="3"/>
  <c r="L41" i="3"/>
  <c r="L303" i="3"/>
  <c r="L173" i="3"/>
  <c r="L64" i="3"/>
  <c r="L94" i="3"/>
  <c r="L127" i="3"/>
  <c r="L189" i="3"/>
  <c r="L280" i="3"/>
  <c r="L91" i="3"/>
  <c r="L295" i="3"/>
  <c r="L334" i="3"/>
  <c r="L157" i="3"/>
  <c r="L42" i="3"/>
  <c r="L179" i="3"/>
  <c r="L252" i="3"/>
  <c r="L235" i="3"/>
  <c r="L147" i="3"/>
  <c r="L25" i="3"/>
  <c r="L180" i="3"/>
  <c r="L219" i="3"/>
  <c r="L124" i="3"/>
  <c r="L40" i="3"/>
  <c r="L135" i="3"/>
  <c r="L119" i="3"/>
  <c r="L129" i="3"/>
  <c r="L212" i="3"/>
  <c r="L242" i="3"/>
  <c r="L267" i="3"/>
  <c r="L69" i="3"/>
  <c r="L221" i="3"/>
  <c r="L306" i="3"/>
  <c r="L315" i="3"/>
  <c r="L118" i="3"/>
  <c r="L139" i="3"/>
  <c r="L13" i="3"/>
  <c r="L225" i="3"/>
  <c r="M4" i="3"/>
  <c r="L4" i="3"/>
</calcChain>
</file>

<file path=xl/comments1.xml><?xml version="1.0" encoding="utf-8"?>
<comments xmlns="http://schemas.openxmlformats.org/spreadsheetml/2006/main">
  <authors>
    <author>Mark Kerr</author>
  </authors>
  <commentList>
    <comment ref="J286" authorId="0" shapeId="0">
      <text>
        <r>
          <rPr>
            <b/>
            <sz val="9"/>
            <color indexed="81"/>
            <rFont val="Tahoma"/>
            <family val="2"/>
          </rPr>
          <t>Mark Kerr:</t>
        </r>
        <r>
          <rPr>
            <sz val="9"/>
            <color indexed="81"/>
            <rFont val="Tahoma"/>
            <family val="2"/>
          </rPr>
          <t xml:space="preserve">
2024 - VISA3006 moved to Sem 1 Availability, meaning three units in Y3 Sem1, meaning Major can no longer be studied full-time in B-Arts.</t>
        </r>
      </text>
    </comment>
    <comment ref="J316" authorId="0" shapeId="0">
      <text>
        <r>
          <rPr>
            <b/>
            <sz val="9"/>
            <color indexed="81"/>
            <rFont val="Tahoma"/>
            <family val="2"/>
          </rPr>
          <t>Mark Kerr:</t>
        </r>
        <r>
          <rPr>
            <sz val="9"/>
            <color indexed="81"/>
            <rFont val="Tahoma"/>
            <family val="2"/>
          </rPr>
          <t xml:space="preserve">
Structure notes - Study MGMT2007 in AUS AND NOT undertaking the Employment Relations specialisation.</t>
        </r>
      </text>
    </comment>
    <comment ref="J389" authorId="0" shapeId="0">
      <text>
        <r>
          <rPr>
            <b/>
            <sz val="9"/>
            <color indexed="81"/>
            <rFont val="Tahoma"/>
            <family val="2"/>
          </rPr>
          <t>Mark Kerr:</t>
        </r>
        <r>
          <rPr>
            <sz val="9"/>
            <color indexed="81"/>
            <rFont val="Tahoma"/>
            <family val="2"/>
          </rPr>
          <t xml:space="preserve">
Structure Notes: Students taking the Open Major in the BArts or BCom must enrol in SPRO3004.</t>
        </r>
      </text>
    </comment>
    <comment ref="J391" authorId="0" shapeId="0">
      <text>
        <r>
          <rPr>
            <b/>
            <sz val="9"/>
            <color indexed="81"/>
            <rFont val="Tahoma"/>
            <family val="2"/>
          </rPr>
          <t>Mark Kerr:</t>
        </r>
        <r>
          <rPr>
            <sz val="9"/>
            <color indexed="81"/>
            <rFont val="Tahoma"/>
            <family val="2"/>
          </rPr>
          <t xml:space="preserve">
Due to structure note above, students must take SPRO2001.</t>
        </r>
      </text>
    </comment>
  </commentList>
</comments>
</file>

<file path=xl/sharedStrings.xml><?xml version="1.0" encoding="utf-8"?>
<sst xmlns="http://schemas.openxmlformats.org/spreadsheetml/2006/main" count="6365" uniqueCount="1036">
  <si>
    <t>UDC</t>
  </si>
  <si>
    <t>Ver</t>
  </si>
  <si>
    <t>OUA Cd</t>
  </si>
  <si>
    <t>Unit Title</t>
  </si>
  <si>
    <t>Pre-reqs</t>
  </si>
  <si>
    <t>Credits</t>
  </si>
  <si>
    <t>Availabilities</t>
  </si>
  <si>
    <t>Progress Notes</t>
  </si>
  <si>
    <r>
      <rPr>
        <b/>
        <sz val="11"/>
        <color rgb="FFFFFFFF"/>
        <rFont val="Arial"/>
        <family val="2"/>
      </rPr>
      <t xml:space="preserve">Curtin University
</t>
    </r>
    <r>
      <rPr>
        <sz val="11"/>
        <color rgb="FFFFFFFF"/>
        <rFont val="Arial"/>
        <family val="2"/>
      </rPr>
      <t>School of Media, Creative Arts and Social</t>
    </r>
  </si>
  <si>
    <t>Course:</t>
  </si>
  <si>
    <t>Bachelor of Arts</t>
  </si>
  <si>
    <t>Course version:</t>
  </si>
  <si>
    <t>Arts / First Major:</t>
  </si>
  <si>
    <t>Digital and Social Media Major (BA)</t>
  </si>
  <si>
    <t>Arts / First Major version:</t>
  </si>
  <si>
    <t>Second Major:</t>
  </si>
  <si>
    <t>Tourism and Hospitality Major (BCom)</t>
  </si>
  <si>
    <t>Second Major version:</t>
  </si>
  <si>
    <t>Commencing:</t>
  </si>
  <si>
    <t>Semester 2 (July -  November)</t>
  </si>
  <si>
    <t>Credits to Complete:</t>
  </si>
  <si>
    <t>2024 Availabilities</t>
  </si>
  <si>
    <t>Year 1</t>
  </si>
  <si>
    <t>Study Period</t>
  </si>
  <si>
    <t>Pre Requisite(s)</t>
  </si>
  <si>
    <t>CP</t>
  </si>
  <si>
    <t>Sem1 BEN</t>
  </si>
  <si>
    <t>Sem1 FO</t>
  </si>
  <si>
    <t>Sem2 BEN</t>
  </si>
  <si>
    <t>Sem2 FO</t>
  </si>
  <si>
    <t>Year 2</t>
  </si>
  <si>
    <t>Year 3</t>
  </si>
  <si>
    <t>Arts Major - Alternate Core / Option Lists</t>
  </si>
  <si>
    <t>2nd Major - Alternate Core / Option Lists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</si>
  <si>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</si>
  <si>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Curtin University is a trademark of Curtin University of Technology</t>
  </si>
  <si>
    <t>CRICOS Provider Code 00301J</t>
  </si>
  <si>
    <t>B-Arts Year 1 Option List</t>
  </si>
  <si>
    <t>S</t>
  </si>
  <si>
    <t>ANTH1000</t>
  </si>
  <si>
    <t>T</t>
  </si>
  <si>
    <t>ANTH1001</t>
  </si>
  <si>
    <t>A</t>
  </si>
  <si>
    <t>CHIN1000</t>
  </si>
  <si>
    <t>CHIN1001</t>
  </si>
  <si>
    <t>I</t>
  </si>
  <si>
    <t>CWRI1000</t>
  </si>
  <si>
    <t>C</t>
  </si>
  <si>
    <t>CWRI1003</t>
  </si>
  <si>
    <t>GEOG1000</t>
  </si>
  <si>
    <t>L</t>
  </si>
  <si>
    <t>HIST1000</t>
  </si>
  <si>
    <t>INTR1001</t>
  </si>
  <si>
    <t>INTR1002</t>
  </si>
  <si>
    <t>JAPN1000</t>
  </si>
  <si>
    <t>JAPN1001</t>
  </si>
  <si>
    <t>JAPN2001</t>
  </si>
  <si>
    <t>JAPN2002</t>
  </si>
  <si>
    <t>JOUR1000</t>
  </si>
  <si>
    <t>JOUR1001</t>
  </si>
  <si>
    <t>KORE1000</t>
  </si>
  <si>
    <t>KORE1001</t>
  </si>
  <si>
    <t>LCST1004</t>
  </si>
  <si>
    <t>NETS1000</t>
  </si>
  <si>
    <t>NETS1001</t>
  </si>
  <si>
    <t>PHGY1000</t>
  </si>
  <si>
    <t>PWRP1000</t>
  </si>
  <si>
    <t>PWRP1003</t>
  </si>
  <si>
    <t>SCST1000</t>
  </si>
  <si>
    <t>SPRO1000</t>
  </si>
  <si>
    <t>STRD1000</t>
  </si>
  <si>
    <t>STRD1001</t>
  </si>
  <si>
    <t>THTR1001</t>
  </si>
  <si>
    <t>THTR1002</t>
  </si>
  <si>
    <t>VISA1004</t>
  </si>
  <si>
    <t>VISA1005</t>
  </si>
  <si>
    <r>
      <rPr>
        <b/>
        <sz val="12"/>
        <rFont val="Calibri"/>
        <family val="2"/>
        <scheme val="minor"/>
      </rPr>
      <t xml:space="preserve">If you have any queries about your course, please contact </t>
    </r>
    <r>
      <rPr>
        <b/>
        <u/>
        <sz val="12"/>
        <color theme="10"/>
        <rFont val="Calibri"/>
        <family val="2"/>
        <scheme val="minor"/>
      </rPr>
      <t>Curtin Connect</t>
    </r>
    <r>
      <rPr>
        <u/>
        <sz val="12"/>
        <color theme="10"/>
        <rFont val="Calibri"/>
        <family val="2"/>
        <scheme val="minor"/>
      </rPr>
      <t>.</t>
    </r>
  </si>
  <si>
    <t>RangeUnitSets</t>
  </si>
  <si>
    <t>B-ARTSSem1</t>
  </si>
  <si>
    <t>B-ARTSSem2</t>
  </si>
  <si>
    <t>Y1Sem1</t>
  </si>
  <si>
    <t>COMS1010</t>
  </si>
  <si>
    <t>Y1Sem2</t>
  </si>
  <si>
    <t>ArtsMajorRec / OptY1</t>
  </si>
  <si>
    <t>Choose your Course</t>
  </si>
  <si>
    <t>Version</t>
  </si>
  <si>
    <t>Credit Points</t>
  </si>
  <si>
    <t>Effective Date</t>
  </si>
  <si>
    <t>Akari Update</t>
  </si>
  <si>
    <t>2ndMajorRec / OptY1</t>
  </si>
  <si>
    <t>B-ARTS</t>
  </si>
  <si>
    <t>v.6</t>
  </si>
  <si>
    <t>600 credit points required</t>
  </si>
  <si>
    <t>Sem1 INT&amp;FO;Sem2 INT&amp;FO</t>
  </si>
  <si>
    <t>Elective</t>
  </si>
  <si>
    <t>Elective / 2ndMajorRec</t>
  </si>
  <si>
    <t>COMS1003</t>
  </si>
  <si>
    <t>Choose your commencing study period (drop-down list)</t>
  </si>
  <si>
    <t>START</t>
  </si>
  <si>
    <t>Next</t>
  </si>
  <si>
    <t>Semester 1 (February - June)</t>
  </si>
  <si>
    <t>Sem1</t>
  </si>
  <si>
    <t>Sem2</t>
  </si>
  <si>
    <t>Y2Sem1</t>
  </si>
  <si>
    <t>ArtsMajor</t>
  </si>
  <si>
    <t>Y2Sem2</t>
  </si>
  <si>
    <t>2nd Major</t>
  </si>
  <si>
    <t>Choose your Arts / First Major (drop-down list)</t>
  </si>
  <si>
    <t>Co-ordinator</t>
  </si>
  <si>
    <t>Anthropology and Sociology Major (BA)</t>
  </si>
  <si>
    <t>MJRU-ANTSO</t>
  </si>
  <si>
    <t>v.2</t>
  </si>
  <si>
    <t>200 credit points required</t>
  </si>
  <si>
    <t>Donna Butorac</t>
  </si>
  <si>
    <t>Chinese Major (BA)</t>
  </si>
  <si>
    <t>MJRU-CHNSE</t>
  </si>
  <si>
    <t>v.1</t>
  </si>
  <si>
    <t>Julian Chen (EDUC)</t>
  </si>
  <si>
    <t>Creative Writing Major (BA)</t>
  </si>
  <si>
    <t>MJRU-CRWRI</t>
  </si>
  <si>
    <t>David Whish-Wilson (BEN)</t>
  </si>
  <si>
    <t>MJRU-NETCM</t>
  </si>
  <si>
    <t>Amy Dobson</t>
  </si>
  <si>
    <t>English and Cultural Studies Major (BA)</t>
  </si>
  <si>
    <t>MJRU-LITCU</t>
  </si>
  <si>
    <t>v.4</t>
  </si>
  <si>
    <t>Rob Briggs</t>
  </si>
  <si>
    <t>Y3Sem1</t>
  </si>
  <si>
    <t>Y3Sem2</t>
  </si>
  <si>
    <t>Geography Major (BA)</t>
  </si>
  <si>
    <t>MJRU-GEOGR</t>
  </si>
  <si>
    <t>Shaphan Cox (DBE)</t>
  </si>
  <si>
    <t>History Major (BA)</t>
  </si>
  <si>
    <t>MJRU-HISTR</t>
  </si>
  <si>
    <t>Vannessa Hearman</t>
  </si>
  <si>
    <t>Indigenous Australian Culture Major</t>
  </si>
  <si>
    <t>MJRU-INAUC</t>
  </si>
  <si>
    <t>?? Robyn Heckenberg (CAS)</t>
  </si>
  <si>
    <t>International Relations Major (BA)</t>
  </si>
  <si>
    <t>MJRU-INTRL</t>
  </si>
  <si>
    <t>Shannon Ford</t>
  </si>
  <si>
    <t>Japanese Major (BA)</t>
  </si>
  <si>
    <t>MJRU-JAPAN</t>
  </si>
  <si>
    <t>Journalism Major (BA)</t>
  </si>
  <si>
    <t>MJRU-JOURN</t>
  </si>
  <si>
    <t>Glynn Greensmith</t>
  </si>
  <si>
    <t>Korean Studies Major (BA)</t>
  </si>
  <si>
    <t>MJRU-KORES</t>
  </si>
  <si>
    <t>Jo Elfving-Hwang</t>
  </si>
  <si>
    <t>2nd Major / Elective</t>
  </si>
  <si>
    <t>Professional Writing and Publishing Major (BA)</t>
  </si>
  <si>
    <t>MJRU-PRWRP</t>
  </si>
  <si>
    <t>Per Henningsgaard</t>
  </si>
  <si>
    <t>Security and Strategic Studies Major (BA)</t>
  </si>
  <si>
    <t>MJRU-SCSTR</t>
  </si>
  <si>
    <t>Alexey Muraviev</t>
  </si>
  <si>
    <t>Choose your Second Major (drop-down list)</t>
  </si>
  <si>
    <t>Best Guess!</t>
  </si>
  <si>
    <t>No Second Major (combined Specialisations / Electives)</t>
  </si>
  <si>
    <t>NoSecMaj</t>
  </si>
  <si>
    <t>RangeArtsMajor</t>
  </si>
  <si>
    <t>MJRU-ANTSOSem1</t>
  </si>
  <si>
    <t>MJRU-ANTSOSem2</t>
  </si>
  <si>
    <t>MJRU-CHNSESem1</t>
  </si>
  <si>
    <t>MJRU-CHNSESem2</t>
  </si>
  <si>
    <t>MJRU-CRWRISem1</t>
  </si>
  <si>
    <t>MJRU-CRWRISem2</t>
  </si>
  <si>
    <t>MJRU-GEOGRSem1</t>
  </si>
  <si>
    <t>MJRU-GEOGRSem2</t>
  </si>
  <si>
    <t>MJRU-HISTRSem1</t>
  </si>
  <si>
    <t>MJRU-HISTRSem2</t>
  </si>
  <si>
    <t>MJRU-INAUCSem1</t>
  </si>
  <si>
    <t>MJRU-INAUCSem2</t>
  </si>
  <si>
    <t>MJRU-INTRLSem1</t>
  </si>
  <si>
    <t>MJRU-INTRLSem2</t>
  </si>
  <si>
    <t>MJRU-JAPANSem1</t>
  </si>
  <si>
    <t>MJRU-JAPANSem2</t>
  </si>
  <si>
    <t>MJRU-JOURNSem1</t>
  </si>
  <si>
    <t>MJRU-JOURNSem2</t>
  </si>
  <si>
    <t>MJRU-KORESSem1</t>
  </si>
  <si>
    <t>MJRU-KORESSem2</t>
  </si>
  <si>
    <t>MJRU-LITCUSem1</t>
  </si>
  <si>
    <t>MJRU-LITCUSem2</t>
  </si>
  <si>
    <t>MJRU-NETCMSem1</t>
  </si>
  <si>
    <t>MJRU-NETCMSem2</t>
  </si>
  <si>
    <t>MJRU-PRWRPSem1</t>
  </si>
  <si>
    <t>MJRU-PRWRPSem2</t>
  </si>
  <si>
    <t>MJRU-SCSTRSem1</t>
  </si>
  <si>
    <t>MJRU-SCSTRSem2</t>
  </si>
  <si>
    <t>Y1S1Rec</t>
  </si>
  <si>
    <t>Y1S2Rec</t>
  </si>
  <si>
    <t>OptionY1</t>
  </si>
  <si>
    <t>-KSM-</t>
  </si>
  <si>
    <t>*** Second Arts Major ***</t>
  </si>
  <si>
    <t>ANTH2003</t>
  </si>
  <si>
    <t>ANTH2000</t>
  </si>
  <si>
    <t>CHIN2000</t>
  </si>
  <si>
    <t>CHIN2003</t>
  </si>
  <si>
    <t>CWRI2001</t>
  </si>
  <si>
    <t>CWRI2007</t>
  </si>
  <si>
    <t>GEOG2001</t>
  </si>
  <si>
    <t>HIST2001</t>
  </si>
  <si>
    <t>HIST2003</t>
  </si>
  <si>
    <t>INDS1000</t>
  </si>
  <si>
    <t>INTR2002</t>
  </si>
  <si>
    <t>POLS2000</t>
  </si>
  <si>
    <t>JAPN2000</t>
  </si>
  <si>
    <t>JOUR2005</t>
  </si>
  <si>
    <t>JOUR2003</t>
  </si>
  <si>
    <t>KORE2000</t>
  </si>
  <si>
    <t>LCST2006</t>
  </si>
  <si>
    <t>LCST2007</t>
  </si>
  <si>
    <t>NETS2000</t>
  </si>
  <si>
    <t>NETS2001</t>
  </si>
  <si>
    <t>PWRP2001</t>
  </si>
  <si>
    <t>PWRP2008</t>
  </si>
  <si>
    <t>STRD2001</t>
  </si>
  <si>
    <t>STRD2000</t>
  </si>
  <si>
    <t>SUST2000</t>
  </si>
  <si>
    <t>ANTH2002</t>
  </si>
  <si>
    <t>CHIN2001</t>
  </si>
  <si>
    <t>CHIN2002</t>
  </si>
  <si>
    <t>CWRI2002</t>
  </si>
  <si>
    <t>CWRI2016</t>
  </si>
  <si>
    <t>GEOG2002</t>
  </si>
  <si>
    <t>HIST2002</t>
  </si>
  <si>
    <t>HIST2000</t>
  </si>
  <si>
    <t>INDS2004</t>
  </si>
  <si>
    <t>INDS2002</t>
  </si>
  <si>
    <t>INTR2000</t>
  </si>
  <si>
    <t>INTR2003</t>
  </si>
  <si>
    <t>JAPN2003</t>
  </si>
  <si>
    <t>JOUR2000</t>
  </si>
  <si>
    <t>JOUR2002</t>
  </si>
  <si>
    <t>KORE2002</t>
  </si>
  <si>
    <t>Opt-LITCUY2</t>
  </si>
  <si>
    <t>NETS2002</t>
  </si>
  <si>
    <t>NETS2003</t>
  </si>
  <si>
    <t>PWRP2007</t>
  </si>
  <si>
    <t>PWRP2010</t>
  </si>
  <si>
    <t>STRD2002</t>
  </si>
  <si>
    <t>STRD2003</t>
  </si>
  <si>
    <t>GEOG2000</t>
  </si>
  <si>
    <t>INDS2001</t>
  </si>
  <si>
    <t>KORE2001</t>
  </si>
  <si>
    <t>PHGY2000</t>
  </si>
  <si>
    <t>AC-KORES</t>
  </si>
  <si>
    <t>ANTH3006</t>
  </si>
  <si>
    <t>ANTH3004</t>
  </si>
  <si>
    <t>CHIN3000</t>
  </si>
  <si>
    <t>CHIN3001</t>
  </si>
  <si>
    <t>CWRI3005</t>
  </si>
  <si>
    <t>CWRI3003</t>
  </si>
  <si>
    <t>PHGY3002</t>
  </si>
  <si>
    <t>HIST3000</t>
  </si>
  <si>
    <t>HIST3001</t>
  </si>
  <si>
    <t>LCST3006</t>
  </si>
  <si>
    <t>INDS3003</t>
  </si>
  <si>
    <t>INTR3003</t>
  </si>
  <si>
    <t>POLS3002</t>
  </si>
  <si>
    <t>JAPN3000</t>
  </si>
  <si>
    <t>JAPN3001</t>
  </si>
  <si>
    <t>JOUR3009</t>
  </si>
  <si>
    <t>JOUR3010</t>
  </si>
  <si>
    <t>KORE3000</t>
  </si>
  <si>
    <t>LCST3007</t>
  </si>
  <si>
    <t>NETS3010</t>
  </si>
  <si>
    <t>NETS3000</t>
  </si>
  <si>
    <t>PWRP3000</t>
  </si>
  <si>
    <t>PWRP3002</t>
  </si>
  <si>
    <t>STRD3000</t>
  </si>
  <si>
    <t>STRD3002</t>
  </si>
  <si>
    <t>ANTH3005</t>
  </si>
  <si>
    <t>ANTH3003</t>
  </si>
  <si>
    <t>CHIN3002</t>
  </si>
  <si>
    <t>CHIN3003</t>
  </si>
  <si>
    <t>Opt-CRWRI</t>
  </si>
  <si>
    <t>-</t>
  </si>
  <si>
    <t>GEOG3001</t>
  </si>
  <si>
    <t>HIST3003</t>
  </si>
  <si>
    <t>HIST3002</t>
  </si>
  <si>
    <t>INDS2003</t>
  </si>
  <si>
    <t>INTR3002</t>
  </si>
  <si>
    <t>POLS3000</t>
  </si>
  <si>
    <t>JAPN3002</t>
  </si>
  <si>
    <t>JAPN3003</t>
  </si>
  <si>
    <t>Opt-JOURN</t>
  </si>
  <si>
    <t>WORK3006</t>
  </si>
  <si>
    <t>Opt-LITCUY3</t>
  </si>
  <si>
    <t>Opt-NETCM</t>
  </si>
  <si>
    <t>NETS3004</t>
  </si>
  <si>
    <t>PWRP3014</t>
  </si>
  <si>
    <t>PWRP3010</t>
  </si>
  <si>
    <t>STRD3001</t>
  </si>
  <si>
    <t>STRD3003</t>
  </si>
  <si>
    <t>PHGY3000</t>
  </si>
  <si>
    <t>KORE3001</t>
  </si>
  <si>
    <t>GEOG3000</t>
  </si>
  <si>
    <t>KORE3002</t>
  </si>
  <si>
    <t>--</t>
  </si>
  <si>
    <t>CWRI3002</t>
  </si>
  <si>
    <t>GRDE2027</t>
  </si>
  <si>
    <t>COMS2001</t>
  </si>
  <si>
    <t>NETS3003</t>
  </si>
  <si>
    <t>CWRI3011</t>
  </si>
  <si>
    <t>JOUR3001</t>
  </si>
  <si>
    <t>NETS3012</t>
  </si>
  <si>
    <t>JOUR3002</t>
  </si>
  <si>
    <t>COMS2000</t>
  </si>
  <si>
    <t>JOUR3005</t>
  </si>
  <si>
    <t>*** Non-Arts Majors ***</t>
  </si>
  <si>
    <t>JOUR3013</t>
  </si>
  <si>
    <t>Business Law Major</t>
  </si>
  <si>
    <t>MJRU-BSLAW</t>
  </si>
  <si>
    <t>Economics Major</t>
  </si>
  <si>
    <t>MJRU-ECONS</t>
  </si>
  <si>
    <t>Finance Major</t>
  </si>
  <si>
    <t>MJRU-FINCE</t>
  </si>
  <si>
    <t>Also 1/04/2024</t>
  </si>
  <si>
    <t>Human Resource Management Major (BCom)</t>
  </si>
  <si>
    <t>MJRU-HRMGM</t>
  </si>
  <si>
    <t>International Business Major</t>
  </si>
  <si>
    <t>MJRU-INTBU</t>
  </si>
  <si>
    <t>Logistics and Supply Chain Management Major</t>
  </si>
  <si>
    <t>MJRU-LGSCM</t>
  </si>
  <si>
    <t>v.3</t>
  </si>
  <si>
    <t>Management Major (BCom)</t>
  </si>
  <si>
    <t>MJRU-MNGMT</t>
  </si>
  <si>
    <t>Marketing Major</t>
  </si>
  <si>
    <t>MJRU-MRKTG</t>
  </si>
  <si>
    <t>Property Investment and Development Major</t>
  </si>
  <si>
    <t>MJRU-PRPTY</t>
  </si>
  <si>
    <t>Screen Arts Major (BCA)</t>
  </si>
  <si>
    <t>MJRU-SCRAR</t>
  </si>
  <si>
    <t>Michelle Johnston</t>
  </si>
  <si>
    <t>SCST3010</t>
  </si>
  <si>
    <t>Theatre Arts Major (BCA)</t>
  </si>
  <si>
    <t>MJRU-THTRA</t>
  </si>
  <si>
    <t>Leah Mercer</t>
  </si>
  <si>
    <t>Availability &amp; Sequencing Issues</t>
  </si>
  <si>
    <t>Not Available</t>
  </si>
  <si>
    <t>Major cannot be studied full-time in B-Arts</t>
  </si>
  <si>
    <t>MJRU-TRHOS</t>
  </si>
  <si>
    <t>2 Akari updates for 1/01/2024</t>
  </si>
  <si>
    <t>VISA3006 moved to Sem1</t>
  </si>
  <si>
    <t>All Y3 Units only available Sem2</t>
  </si>
  <si>
    <t>Fine Art Major (BCA)</t>
  </si>
  <si>
    <t>MJRU-FINAR</t>
  </si>
  <si>
    <t>Mark Parfitt (BEN)</t>
  </si>
  <si>
    <t>RangeSecMajor</t>
  </si>
  <si>
    <t>NoSecMajSem1</t>
  </si>
  <si>
    <t>NoSecMajSem2</t>
  </si>
  <si>
    <t>MJRU-BSLAWSem1</t>
  </si>
  <si>
    <t>MJRU-BSLAWSem2</t>
  </si>
  <si>
    <t>MJRU-ECONSSem1</t>
  </si>
  <si>
    <t>MJRU-ECONSSem2</t>
  </si>
  <si>
    <t>MJRU-FINARSem1</t>
  </si>
  <si>
    <t>MJRU-FINARSem2</t>
  </si>
  <si>
    <t>MJRU-FINCESem1</t>
  </si>
  <si>
    <t>MJRU-FINCESem2</t>
  </si>
  <si>
    <t>MJRU-HRMGMSem1</t>
  </si>
  <si>
    <t>MJRU-HRMGMSem2</t>
  </si>
  <si>
    <t>MJRU-INTBUSem1</t>
  </si>
  <si>
    <t>MJRU-INTBUSem2</t>
  </si>
  <si>
    <t>MJRU-LGSCMSem1</t>
  </si>
  <si>
    <t>MJRU-LGSCMSem2</t>
  </si>
  <si>
    <t>MJRU-MNGMTSem1</t>
  </si>
  <si>
    <t>MJRU-MNGMTSem2</t>
  </si>
  <si>
    <t>MJRU-MRKTGSem1</t>
  </si>
  <si>
    <t>MJRU-MRKTGSem2</t>
  </si>
  <si>
    <t>MJRU-PRPTYSem1</t>
  </si>
  <si>
    <t>MJRU-PRPTYSem2</t>
  </si>
  <si>
    <t>MJRU-SCRARSem1</t>
  </si>
  <si>
    <t>MJRU-SCRARSem2</t>
  </si>
  <si>
    <t>MJRU-THTRASem1</t>
  </si>
  <si>
    <t>MJRU-THTRASem2</t>
  </si>
  <si>
    <t>MJRU-TRHOSSem1</t>
  </si>
  <si>
    <t>MJRU-TRHOSSem2</t>
  </si>
  <si>
    <t>Y1S1Elec</t>
  </si>
  <si>
    <t>Y1S2Elec</t>
  </si>
  <si>
    <t>BLAW1006</t>
  </si>
  <si>
    <t>ECON1000</t>
  </si>
  <si>
    <t>FNCE2000</t>
  </si>
  <si>
    <t>MGMT2008</t>
  </si>
  <si>
    <t>IBUS1001</t>
  </si>
  <si>
    <t>MGMT2015</t>
  </si>
  <si>
    <t>MGMT2000</t>
  </si>
  <si>
    <t>MKTG2004</t>
  </si>
  <si>
    <t>PROP2002</t>
  </si>
  <si>
    <t>TOUR2000</t>
  </si>
  <si>
    <t>SpecElect</t>
  </si>
  <si>
    <t>BLAW2012</t>
  </si>
  <si>
    <t>BLAW2010</t>
  </si>
  <si>
    <t>ECON2004</t>
  </si>
  <si>
    <t>ECON2001</t>
  </si>
  <si>
    <t>VISA2004</t>
  </si>
  <si>
    <t>FNCE3001</t>
  </si>
  <si>
    <t>FNCE2003</t>
  </si>
  <si>
    <t>ISYS2013</t>
  </si>
  <si>
    <t>MGMT2017</t>
  </si>
  <si>
    <t>MGMT2018</t>
  </si>
  <si>
    <t>MGMT2004</t>
  </si>
  <si>
    <t>MGMT3001</t>
  </si>
  <si>
    <t>MKTG2006</t>
  </si>
  <si>
    <t>MKTG3003</t>
  </si>
  <si>
    <t>BLDG2005</t>
  </si>
  <si>
    <t>VALU2000</t>
  </si>
  <si>
    <t>SCWR2000</t>
  </si>
  <si>
    <t>SPRO2004</t>
  </si>
  <si>
    <t>THTR2002</t>
  </si>
  <si>
    <t>THTR2001</t>
  </si>
  <si>
    <t>TOUR2002</t>
  </si>
  <si>
    <t>TOUR2001</t>
  </si>
  <si>
    <t>BLAW2006</t>
  </si>
  <si>
    <t>BLAW2009</t>
  </si>
  <si>
    <t>ECOM2001</t>
  </si>
  <si>
    <t>VISA2023</t>
  </si>
  <si>
    <t>FNCE3000</t>
  </si>
  <si>
    <t>AC-FINCE</t>
  </si>
  <si>
    <t>MGMT2007</t>
  </si>
  <si>
    <t>AC-INTBU</t>
  </si>
  <si>
    <t>IBUS2000</t>
  </si>
  <si>
    <t>MGMT2016</t>
  </si>
  <si>
    <t>MGMT3018</t>
  </si>
  <si>
    <t>AC-MNGMT</t>
  </si>
  <si>
    <t>MGMT3004</t>
  </si>
  <si>
    <t>AC-MRKTGY2</t>
  </si>
  <si>
    <t>MKTG2005</t>
  </si>
  <si>
    <t>PROP2001</t>
  </si>
  <si>
    <t>PROP3000</t>
  </si>
  <si>
    <t>SPRO2003</t>
  </si>
  <si>
    <t>SCST2009</t>
  </si>
  <si>
    <t>Opt-THTRA</t>
  </si>
  <si>
    <t>THTR2003</t>
  </si>
  <si>
    <t>TOUR3000</t>
  </si>
  <si>
    <t>AC-TRHOS1</t>
  </si>
  <si>
    <t>VISA2006</t>
  </si>
  <si>
    <t>MGMT2009</t>
  </si>
  <si>
    <t>AC-ECONSY2</t>
  </si>
  <si>
    <t>VISA2007</t>
  </si>
  <si>
    <t>MGMT3002</t>
  </si>
  <si>
    <t>BLAW3004</t>
  </si>
  <si>
    <t>AC-BSLAW</t>
  </si>
  <si>
    <t>ECON3000</t>
  </si>
  <si>
    <t>ECON3004</t>
  </si>
  <si>
    <t>VISA3009</t>
  </si>
  <si>
    <t>FNCE3004</t>
  </si>
  <si>
    <t>MGMT3013</t>
  </si>
  <si>
    <t>MGMT3014</t>
  </si>
  <si>
    <t>MGMT3016</t>
  </si>
  <si>
    <t>MGMT3017</t>
  </si>
  <si>
    <t>MGMT3006</t>
  </si>
  <si>
    <t>MKTG3006</t>
  </si>
  <si>
    <t>MKTG3004</t>
  </si>
  <si>
    <t>PROP3001</t>
  </si>
  <si>
    <t>SPRO3004</t>
  </si>
  <si>
    <t>THTR3000</t>
  </si>
  <si>
    <t>THTR3004</t>
  </si>
  <si>
    <t>AC-TRHOS2</t>
  </si>
  <si>
    <t>TOUR3002</t>
  </si>
  <si>
    <t>BLAW2014</t>
  </si>
  <si>
    <t>AC-ECONSY3</t>
  </si>
  <si>
    <t>VISA3010</t>
  </si>
  <si>
    <t>INVE3001</t>
  </si>
  <si>
    <t>MGMT3012</t>
  </si>
  <si>
    <t>MGMT3010</t>
  </si>
  <si>
    <t>MGMT3031</t>
  </si>
  <si>
    <t>AC-MRKTGY3</t>
  </si>
  <si>
    <t>PROP3002</t>
  </si>
  <si>
    <t>SPRO2001</t>
  </si>
  <si>
    <t>Opt-SCRARY3S2</t>
  </si>
  <si>
    <t>THTR3003</t>
  </si>
  <si>
    <t>THTR3007</t>
  </si>
  <si>
    <t>TOUR3003</t>
  </si>
  <si>
    <t>VISA3006</t>
  </si>
  <si>
    <t>INVE3000</t>
  </si>
  <si>
    <t>VISA3023</t>
  </si>
  <si>
    <t>BLAW3005</t>
  </si>
  <si>
    <t>ECOM2000</t>
  </si>
  <si>
    <t>BLAW2011</t>
  </si>
  <si>
    <t>MKTG2000</t>
  </si>
  <si>
    <t>SPRO3003</t>
  </si>
  <si>
    <t>THTR2004</t>
  </si>
  <si>
    <t>TOUR2003</t>
  </si>
  <si>
    <t>TAXA3007</t>
  </si>
  <si>
    <t>ECON2006</t>
  </si>
  <si>
    <t>ECON2007</t>
  </si>
  <si>
    <t>MKTG2002</t>
  </si>
  <si>
    <t>SPRO3009</t>
  </si>
  <si>
    <t>VISA3005</t>
  </si>
  <si>
    <t>MGMT3024</t>
  </si>
  <si>
    <t xml:space="preserve"> </t>
  </si>
  <si>
    <t>MKTG3009</t>
  </si>
  <si>
    <t>TOUR3001</t>
  </si>
  <si>
    <t>ECON3002</t>
  </si>
  <si>
    <t>MKTG3010</t>
  </si>
  <si>
    <t>ECON3007</t>
  </si>
  <si>
    <t>One unit not avail S2</t>
  </si>
  <si>
    <t>Title</t>
  </si>
  <si>
    <t>S1INT</t>
  </si>
  <si>
    <t>S1FO</t>
  </si>
  <si>
    <t>S2INT</t>
  </si>
  <si>
    <t>S2FO</t>
  </si>
  <si>
    <t>Notes</t>
  </si>
  <si>
    <t>OptionMajors</t>
  </si>
  <si>
    <t>Please note this is a 50CP unit</t>
  </si>
  <si>
    <t>Not relevant to this selection</t>
  </si>
  <si>
    <t>---</t>
  </si>
  <si>
    <t>Not available for full-time study with Semester 2 entry, contact Major Coordinator.</t>
  </si>
  <si>
    <t>Study either TAXA3007 or BLAW3005 (see below)</t>
  </si>
  <si>
    <t>See below</t>
  </si>
  <si>
    <t>Study one of ECOM2000 or ECON2006 or ECON2007 (see below)</t>
  </si>
  <si>
    <t>Study one of (ECON3002 or ECON3007) OR study an Elective unit</t>
  </si>
  <si>
    <t>Study either ECOM2001 or ECON2007 (see below)</t>
  </si>
  <si>
    <t>AC-HRMGM</t>
  </si>
  <si>
    <t>Study one of MGMT2007 or MGMT2000 or MGMT2002 (see below)</t>
  </si>
  <si>
    <t>Study either MKTG2002 or ISYS2013 (see below)</t>
  </si>
  <si>
    <t>Study either COMS2001 or INTR2002 (see below)</t>
  </si>
  <si>
    <t>Study either MGMT2008 or BLAW2011 (see below)</t>
  </si>
  <si>
    <t>Study either MKTG2000 or MKTG2002 (see below)</t>
  </si>
  <si>
    <t>Study either MKTG3009 or MKTG3010 (see below)</t>
  </si>
  <si>
    <t>AC-SCRAR</t>
  </si>
  <si>
    <t>Study either SPRO3007 or SPRO3004 (see below)</t>
  </si>
  <si>
    <t>Study either TOUR2003 or MGMT3024 (see below)</t>
  </si>
  <si>
    <t>Study either TOUR3001 or MKTG3009 (see below)</t>
  </si>
  <si>
    <t>Self, Culture and Society</t>
  </si>
  <si>
    <t>None</t>
  </si>
  <si>
    <t>Society and Culture in a Globalising World</t>
  </si>
  <si>
    <t>Ethnographies of the City</t>
  </si>
  <si>
    <t>Private Lives and Public Issues</t>
  </si>
  <si>
    <t>Language and Social Life</t>
  </si>
  <si>
    <t>Human Rights and Social Justice</t>
  </si>
  <si>
    <t>Doing Social Research A</t>
  </si>
  <si>
    <t>New Version</t>
  </si>
  <si>
    <t>ANTH3004.PO</t>
  </si>
  <si>
    <t>Phasing Out</t>
  </si>
  <si>
    <t>Social Inequality: Possibilities for Change</t>
  </si>
  <si>
    <t>Understanding Social Research A</t>
  </si>
  <si>
    <t>Introduction to Business Law</t>
  </si>
  <si>
    <t>Company Law for Business</t>
  </si>
  <si>
    <t>Property Law for Business</t>
  </si>
  <si>
    <t>Practical Consumer and Competition Law</t>
  </si>
  <si>
    <t>Safety and Environmental Health Law</t>
  </si>
  <si>
    <t>100 Credit Points</t>
  </si>
  <si>
    <t>Applied Contract Law</t>
  </si>
  <si>
    <t>Tort Liability for Business</t>
  </si>
  <si>
    <t>Business Intellectual Property</t>
  </si>
  <si>
    <t>BLAW1006 or BLAW2006</t>
  </si>
  <si>
    <t>Practical Employment Law</t>
  </si>
  <si>
    <t>Property Construction</t>
  </si>
  <si>
    <t>Chinese for Beginners</t>
  </si>
  <si>
    <t>All Pre Reqs Removed for 2024</t>
  </si>
  <si>
    <t>Foundations of Chinese</t>
  </si>
  <si>
    <t>Chinese Society and Culture</t>
  </si>
  <si>
    <t>Intermediate Chinese: Everyday Contexts</t>
  </si>
  <si>
    <t>Intermediate Chinese: Extending Everyday Contexts</t>
  </si>
  <si>
    <t>Communicating with China</t>
  </si>
  <si>
    <t>Advanced Chinese: Language Variations</t>
  </si>
  <si>
    <t>Proficient Chinese: Language Variations</t>
  </si>
  <si>
    <t>Advanced Chinese: Cultural Connections</t>
  </si>
  <si>
    <t>Advanced Chinese: Engagement with the Chinese Community</t>
  </si>
  <si>
    <t>Culture to Cultures</t>
  </si>
  <si>
    <t>Academic and Professional Communications</t>
  </si>
  <si>
    <t>Media, Culture and Consumption</t>
  </si>
  <si>
    <t>COMS1001 or COMS1003 or 100CP</t>
  </si>
  <si>
    <t>Asian Media in Transition</t>
  </si>
  <si>
    <t>ASIA1005 or COMS1001 or COMS1003 or COMS1010 or 100CP</t>
  </si>
  <si>
    <t>Creative Writing</t>
  </si>
  <si>
    <t>Engaging Narrative</t>
  </si>
  <si>
    <t>Writing Poetry</t>
  </si>
  <si>
    <t>Writing Short Fiction</t>
  </si>
  <si>
    <t>Experimental Writing</t>
  </si>
  <si>
    <t>Writing Genre Fiction</t>
  </si>
  <si>
    <t>Travel Writing</t>
  </si>
  <si>
    <t>Creative Writing Supervised Project</t>
  </si>
  <si>
    <t>CWRI2001 + CWRI2002 + CWRI2007</t>
  </si>
  <si>
    <t>Writing Long Fiction</t>
  </si>
  <si>
    <t>Writing for Children</t>
  </si>
  <si>
    <t>Econometric Principles</t>
  </si>
  <si>
    <t>ECOM2001 or ECON2000</t>
  </si>
  <si>
    <t>Quantitative Techniques for Business</t>
  </si>
  <si>
    <t>Introductory Economics</t>
  </si>
  <si>
    <t>Macroeconomic Principles</t>
  </si>
  <si>
    <t>Microeconomic Principles</t>
  </si>
  <si>
    <t>Applied Economics</t>
  </si>
  <si>
    <t>ECON2001 or ECON2004</t>
  </si>
  <si>
    <t>Behavioural Economics and Finance</t>
  </si>
  <si>
    <t>Microeconomic Theory</t>
  </si>
  <si>
    <t>ECOM2001 or ECON2004</t>
  </si>
  <si>
    <t>Economic Modelling</t>
  </si>
  <si>
    <t>ECOM2000 or ECOM2001 or ECON2000</t>
  </si>
  <si>
    <t>Macroeconomic Theory</t>
  </si>
  <si>
    <t>Advanced Applied Economics</t>
  </si>
  <si>
    <t>Study an Elective Unit</t>
  </si>
  <si>
    <t>See Handbook</t>
  </si>
  <si>
    <t>Introduction to Finance Principles</t>
  </si>
  <si>
    <t>Business Analysis for Investment</t>
  </si>
  <si>
    <t>Corporate Finance</t>
  </si>
  <si>
    <t>FNCE2000 or FNCE2003</t>
  </si>
  <si>
    <t>Introduction to Financial Instruments and Markets</t>
  </si>
  <si>
    <t>International Finance</t>
  </si>
  <si>
    <t>Human Geography</t>
  </si>
  <si>
    <t>Geographies of Migration</t>
  </si>
  <si>
    <t>Geographies of Food Security</t>
  </si>
  <si>
    <t>Fieldwork Skills</t>
  </si>
  <si>
    <t>Urban Geographies</t>
  </si>
  <si>
    <t>Sustainable Livelihoods</t>
  </si>
  <si>
    <t>Photography Contexts and Practice</t>
  </si>
  <si>
    <t>Legacies of Empire</t>
  </si>
  <si>
    <t>Social Change in Contemporary Australian History</t>
  </si>
  <si>
    <t>Democracy and Dictatorship</t>
  </si>
  <si>
    <t>Politics of the Modern Middle East</t>
  </si>
  <si>
    <t>A History of Terrorism and Insurgency</t>
  </si>
  <si>
    <t>A History of Nationalism and Nation-Making</t>
  </si>
  <si>
    <t>Competition, Cooperation and Conflict since 1945</t>
  </si>
  <si>
    <t>Local History Project</t>
  </si>
  <si>
    <t>Australians at War</t>
  </si>
  <si>
    <t>Introduction to Global Business</t>
  </si>
  <si>
    <t>International Business Ethics</t>
  </si>
  <si>
    <t>Introduction to Indigenous Australians</t>
  </si>
  <si>
    <t>Indigenous Australian Land and Environments</t>
  </si>
  <si>
    <t>Indigenous Australian Arts</t>
  </si>
  <si>
    <t>Nyungar Culture and Identity (Block Teaching - see Handbook)</t>
  </si>
  <si>
    <t>No 2024 Semester availabilities, Quarter 3 only</t>
  </si>
  <si>
    <t>Listening to Country: First Nations’ Perspectives</t>
  </si>
  <si>
    <t>Rock Art, Archaeology and Antiquity</t>
  </si>
  <si>
    <t>Australia's Global Politics</t>
  </si>
  <si>
    <t>INTR1001.PO</t>
  </si>
  <si>
    <t>Australia and Asia Transformed</t>
  </si>
  <si>
    <t>Foundations of International Relations</t>
  </si>
  <si>
    <t>International Relations Theory</t>
  </si>
  <si>
    <t>INTR2000.PO</t>
  </si>
  <si>
    <t>Introduction to International Relations</t>
  </si>
  <si>
    <t>Diplomacy and Conflict in the Indo-Pacific</t>
  </si>
  <si>
    <t>INTR2002.PO</t>
  </si>
  <si>
    <t>Conflict and Diplomacy in the Asia Pacific</t>
  </si>
  <si>
    <t>Global Governance</t>
  </si>
  <si>
    <t>International Ethics</t>
  </si>
  <si>
    <t>Extremism in Global Politics</t>
  </si>
  <si>
    <t>Introduction to Derivative Securities</t>
  </si>
  <si>
    <t>(FNCE2000 or FNCE2003) + (FNCE3001 or MATH2009)</t>
  </si>
  <si>
    <t>Portfolio Management</t>
  </si>
  <si>
    <t>INVE3001.PO</t>
  </si>
  <si>
    <t>(FNCE2000 OR FNCE2003) AND (FNCE3001 OR MATH2009)</t>
  </si>
  <si>
    <t>Project Management</t>
  </si>
  <si>
    <t>Japanese for Beginners</t>
  </si>
  <si>
    <t>Foundations of Japanese</t>
  </si>
  <si>
    <t>Japanese Society and Culture</t>
  </si>
  <si>
    <t>Intermediate Japanese: Everyday Contexts</t>
  </si>
  <si>
    <t>Intermediate Japanese: Extending Everyday Contexts</t>
  </si>
  <si>
    <t>Communicating with Japan</t>
  </si>
  <si>
    <t>Advanced Japanese: Intercultural Communication</t>
  </si>
  <si>
    <t>Advanced Japanese: Cultural Connections</t>
  </si>
  <si>
    <t>Advanced Japanese: Language Variation</t>
  </si>
  <si>
    <t>Advanced Japanese: Engagement with the Japanese Community</t>
  </si>
  <si>
    <t>Introduction to Journalism - Writing</t>
  </si>
  <si>
    <t>Introduction to Journalism - Broadcast</t>
  </si>
  <si>
    <t>Radio News</t>
  </si>
  <si>
    <t>Video News</t>
  </si>
  <si>
    <t>News Writing and Reporting</t>
  </si>
  <si>
    <t>Media Law and Ethics</t>
  </si>
  <si>
    <t>JOUR1000 + JOUR1001*</t>
  </si>
  <si>
    <t>Pre Reqs - Akari has only JOUR1001</t>
  </si>
  <si>
    <t>Journalism Industry Placement (with approval)</t>
  </si>
  <si>
    <t>Presentation for Broadcast</t>
  </si>
  <si>
    <t>JOUR2000* or JOUR2002</t>
  </si>
  <si>
    <t>Feature Journalism</t>
  </si>
  <si>
    <t>Multimedia News Production</t>
  </si>
  <si>
    <t>JOUR2003 + JOUR2005 + (JOUR2000 or JOUR2002)</t>
  </si>
  <si>
    <t>Journalism Major Project</t>
  </si>
  <si>
    <t>JOUR2003 + (JOUR2000 or JOUR2002)</t>
  </si>
  <si>
    <t>Podcasting</t>
  </si>
  <si>
    <t>Korean Beginners 1</t>
  </si>
  <si>
    <t>Korean Beginners 2</t>
  </si>
  <si>
    <t>Korean Intermediate 3</t>
  </si>
  <si>
    <t>Korean Intermediate 4</t>
  </si>
  <si>
    <t>Korean Society and Politics</t>
  </si>
  <si>
    <t>Korean Advanced 5</t>
  </si>
  <si>
    <t>Avail - Manually Added as no availabilities yet</t>
  </si>
  <si>
    <t>Korean Advanced 6</t>
  </si>
  <si>
    <t>Korean Popular Culture</t>
  </si>
  <si>
    <t>200 Credit Points</t>
  </si>
  <si>
    <t>Introduction to Cultural Studies</t>
  </si>
  <si>
    <t>Genre and Classic Texts</t>
  </si>
  <si>
    <t>LCST2006.PO</t>
  </si>
  <si>
    <t>Classic Texts</t>
  </si>
  <si>
    <t>Reading Gender</t>
  </si>
  <si>
    <t>Decolonising Place</t>
  </si>
  <si>
    <t>Textual Futures</t>
  </si>
  <si>
    <t>MajorArts</t>
  </si>
  <si>
    <t>Choose an Arts Major</t>
  </si>
  <si>
    <t>MajorOption</t>
  </si>
  <si>
    <t>Choose a Second Major or a combination of Specialisations and Electives</t>
  </si>
  <si>
    <t>Organisational Behaviour</t>
  </si>
  <si>
    <t>MGMT2002</t>
  </si>
  <si>
    <t>Employee Relations in Singapore</t>
  </si>
  <si>
    <t>Structure notes say do not study</t>
  </si>
  <si>
    <t>Business and Sustainable Development</t>
  </si>
  <si>
    <t>Australian Employment Relations</t>
  </si>
  <si>
    <t>MGMT2008*</t>
  </si>
  <si>
    <t>Human Resources Management Introduction</t>
  </si>
  <si>
    <t>Human Resources Development</t>
  </si>
  <si>
    <t>Supply Chain Management</t>
  </si>
  <si>
    <t>Supply Chain Logistics</t>
  </si>
  <si>
    <t>Supply Chain Decision Analytics</t>
  </si>
  <si>
    <t>Sustainable Procurement</t>
  </si>
  <si>
    <t>International Management</t>
  </si>
  <si>
    <t>Managing Change</t>
  </si>
  <si>
    <t>300 Credit Points</t>
  </si>
  <si>
    <t>Entrepreneurship</t>
  </si>
  <si>
    <t>MGMT3004.PO</t>
  </si>
  <si>
    <t>Business Ethics</t>
  </si>
  <si>
    <t>Strategic Management</t>
  </si>
  <si>
    <t>International Human Resources Management</t>
  </si>
  <si>
    <t>Building a Sustainable Workforce</t>
  </si>
  <si>
    <t>Strategic Rewards and Performance Management</t>
  </si>
  <si>
    <t>Responsible Management in Asia</t>
  </si>
  <si>
    <t>Supply Chain Capstone</t>
  </si>
  <si>
    <t>Operations and Materials Management</t>
  </si>
  <si>
    <t>Business Study Tour (with approval)</t>
  </si>
  <si>
    <t>No 2024 Availabilities</t>
  </si>
  <si>
    <t>Supply Chain Project</t>
  </si>
  <si>
    <t>MJRU-BSLAW.PO</t>
  </si>
  <si>
    <t>Business Law Major (BCom)</t>
  </si>
  <si>
    <t>MJRU-ECONS.PO</t>
  </si>
  <si>
    <t>Economics Major (BCom)</t>
  </si>
  <si>
    <t>VISA3006 moved to Sem 1 Availability, meaning three units in Y3 Sem1, meaning Major can no longer be studied full-time in B-Arts.</t>
  </si>
  <si>
    <t>MJRU-FINCE.PO</t>
  </si>
  <si>
    <t>Finance Major (BCom)</t>
  </si>
  <si>
    <t>MJRU-GEOGR.PO</t>
  </si>
  <si>
    <t>MJRU-HISTR.PO</t>
  </si>
  <si>
    <t>MJRU-INTBU.PO</t>
  </si>
  <si>
    <t>International Business Major (BCom)</t>
  </si>
  <si>
    <t>MJRU-INTRL.PO</t>
  </si>
  <si>
    <t>MJRU-LGSCM.PO</t>
  </si>
  <si>
    <t>Logistics and Supply Chain Management Major (BCom)</t>
  </si>
  <si>
    <t>MJRU-MRKTG.PO</t>
  </si>
  <si>
    <t>Marketing Major (BCom)</t>
  </si>
  <si>
    <t>MJRU-PRPTY.PO</t>
  </si>
  <si>
    <t>Property Investment and Development Major (BCom)</t>
  </si>
  <si>
    <t>MJRU-PRWRP.PO</t>
  </si>
  <si>
    <t>MJRU-TRHOS.PO</t>
  </si>
  <si>
    <t>Integrated Marketing Communications</t>
  </si>
  <si>
    <t>Marketing Across Borders</t>
  </si>
  <si>
    <t>Consumer Behaviour</t>
  </si>
  <si>
    <t>Marketing Intelligence</t>
  </si>
  <si>
    <t>MKTG1000 or MKTG2002 or MKTG2004</t>
  </si>
  <si>
    <t>Managing Social Media Platforms</t>
  </si>
  <si>
    <t>Digital Marketing and E-Commerce</t>
  </si>
  <si>
    <t>MKTG3003.PO</t>
  </si>
  <si>
    <t>Digital Marketing Strategy</t>
  </si>
  <si>
    <t>Corporate Marketing Strategy</t>
  </si>
  <si>
    <t>375 CP + (MKTG2000 or MKTG2001 or MKTG2004)</t>
  </si>
  <si>
    <t>Services Marketing</t>
  </si>
  <si>
    <t>400 Credit Points</t>
  </si>
  <si>
    <t>MKTG3007.PO</t>
  </si>
  <si>
    <t>Retailing and E-Commerce</t>
  </si>
  <si>
    <t>Deactivated 31/12/2023, removed.</t>
  </si>
  <si>
    <t>Business Internship (with approval)</t>
  </si>
  <si>
    <t>300 Credit Points + Interview</t>
  </si>
  <si>
    <t>Creating Content and Marketing Briefs</t>
  </si>
  <si>
    <t>Digital Culture and Everyday Life</t>
  </si>
  <si>
    <t>Web Communications</t>
  </si>
  <si>
    <t>Web Media</t>
  </si>
  <si>
    <t>Writing on the Web</t>
  </si>
  <si>
    <t>Social Media, Communities and Networks</t>
  </si>
  <si>
    <t>The Digital Economy</t>
  </si>
  <si>
    <t>Online Power and Resistance</t>
  </si>
  <si>
    <t>NETS2000 or NETS2001 or NETS2002 or NETS2003</t>
  </si>
  <si>
    <t>Akari &amp; S1 do not match Pre Reqs</t>
  </si>
  <si>
    <t>Internet Collaboration and Innovation</t>
  </si>
  <si>
    <t>NETS2002 or NETS2003</t>
  </si>
  <si>
    <t>Digital and Social Media Development Futures</t>
  </si>
  <si>
    <t>NETS2000*</t>
  </si>
  <si>
    <t>Online Games and Play</t>
  </si>
  <si>
    <t>NETS3010.PO</t>
  </si>
  <si>
    <t>Online Games, Play and Gamification</t>
  </si>
  <si>
    <t>Digital and Social Media Project (with approval)</t>
  </si>
  <si>
    <t>(NETS2000 or NETS2003)* + (NETS2001 or NETS2002)*</t>
  </si>
  <si>
    <t>NETS3012.PO</t>
  </si>
  <si>
    <t>Study a Creative Writing Major Option unit (see below)</t>
  </si>
  <si>
    <t>Study a B-ARTS Year 1 Option unit (see list below)</t>
  </si>
  <si>
    <t>Study a Journalism Major Option unit (see below)</t>
  </si>
  <si>
    <t>Study a Year 2 English and Cultural Studies Major Option (see below)</t>
  </si>
  <si>
    <t>Study a Year 3 English and Cultural Studies Major Option (see below)</t>
  </si>
  <si>
    <t>Study a Digital and Social Media Major Option unit (see below)</t>
  </si>
  <si>
    <t>Opt-SCRARY3S1</t>
  </si>
  <si>
    <t>Study a Year 3 Semester 1 Screen Arts Major Option unit (see below)</t>
  </si>
  <si>
    <t>Study a Year 3 Semester 2 Screen Arts Major Option unit (see below)</t>
  </si>
  <si>
    <t>Study a Theatre Arts Major Option unit (see below)</t>
  </si>
  <si>
    <t>Physical Geography</t>
  </si>
  <si>
    <t>Natural Hazards</t>
  </si>
  <si>
    <t>Cultural Landscapes</t>
  </si>
  <si>
    <t>Rural Geographies</t>
  </si>
  <si>
    <t>Foreign Policy</t>
  </si>
  <si>
    <t>POLS2000.PO</t>
  </si>
  <si>
    <t>Foreign Policy Analysis</t>
  </si>
  <si>
    <t>International Political Economy</t>
  </si>
  <si>
    <t>Africa's International Relations</t>
  </si>
  <si>
    <t>Property Economics and Policy</t>
  </si>
  <si>
    <t>Introduction to Property Markets</t>
  </si>
  <si>
    <t>Property Investment Analysis</t>
  </si>
  <si>
    <t>Residential Property Development</t>
  </si>
  <si>
    <t>PROP2002 + BLDG2005</t>
  </si>
  <si>
    <t>Property Finance and Capital Markets</t>
  </si>
  <si>
    <t>PROP2002 + PROP3000</t>
  </si>
  <si>
    <t>Introduction to Creative and Professional Writing</t>
  </si>
  <si>
    <t>Skills in Professional Writing</t>
  </si>
  <si>
    <t>PWRP1003.PO</t>
  </si>
  <si>
    <t>Writing, Rhetoric and Persuasion</t>
  </si>
  <si>
    <t>Editing</t>
  </si>
  <si>
    <t>PWRP2001.PO</t>
  </si>
  <si>
    <t>Writing, Editing and Publishing</t>
  </si>
  <si>
    <t>PWRP2006.PO</t>
  </si>
  <si>
    <t>Writing Feature Articles</t>
  </si>
  <si>
    <t>Narrative Nonfiction</t>
  </si>
  <si>
    <t>PWRP2007.PO</t>
  </si>
  <si>
    <t>Writing the Zeitgeist</t>
  </si>
  <si>
    <t>Publishing</t>
  </si>
  <si>
    <t>PWRP2001* (contact Major Coordinator)</t>
  </si>
  <si>
    <t>Workplace Writing</t>
  </si>
  <si>
    <t>Advanced Workplace Writing</t>
  </si>
  <si>
    <t>PWRP3000.PO</t>
  </si>
  <si>
    <t>Writing and Research for Professional Contexts</t>
  </si>
  <si>
    <t>Professional Writing Placement and Project</t>
  </si>
  <si>
    <t>PWRP3000 (contact Major Coordinator)</t>
  </si>
  <si>
    <t>PWRP3002.PO</t>
  </si>
  <si>
    <t>Professional Writing Placement</t>
  </si>
  <si>
    <t>Advanced Narrative Nonfiction</t>
  </si>
  <si>
    <t>PWRP2007 or CWRI2002 or LCST2007</t>
  </si>
  <si>
    <t>PWRP3010.PO</t>
  </si>
  <si>
    <t>Writing Creative Non-Fiction</t>
  </si>
  <si>
    <t>PWRP3012.PO</t>
  </si>
  <si>
    <t>Portfolio Development for Writers</t>
  </si>
  <si>
    <t>JOUR2003 or PWRP3000 or PWRP3010 or CWRI2002 or LCST3006</t>
  </si>
  <si>
    <t>Publishing Studio</t>
  </si>
  <si>
    <t>PWRP2008 or PWRP3003</t>
  </si>
  <si>
    <t>Introduction to Screen Creativity</t>
  </si>
  <si>
    <t>Experimental Screens</t>
  </si>
  <si>
    <t>Reading Screens</t>
  </si>
  <si>
    <t>Introduction to Screenwriting</t>
  </si>
  <si>
    <t>Study a combination of Specialisation or Elective units</t>
  </si>
  <si>
    <t>Introduction to Screen Industries</t>
  </si>
  <si>
    <t>Digital FX Production</t>
  </si>
  <si>
    <t>Drama Narratives</t>
  </si>
  <si>
    <t>Creative Documentary and Actualities</t>
  </si>
  <si>
    <t>Advanced Studio Production</t>
  </si>
  <si>
    <t>SPRO2000 or SPRO2003</t>
  </si>
  <si>
    <t>Community Media Production</t>
  </si>
  <si>
    <t>SPRO2000 or SPRO2004</t>
  </si>
  <si>
    <t>SPRO3007</t>
  </si>
  <si>
    <t>Major Project Pre-production</t>
  </si>
  <si>
    <t>Admitted to MJRU-SCRAR + (SPRO2000 or SCWR2000) + (SPRO2003 or SCST2009)</t>
  </si>
  <si>
    <t>Akari has MJRU-SCART (retired) not MJRU-SCRAR</t>
  </si>
  <si>
    <t>Sports Media Production</t>
  </si>
  <si>
    <t>Akari has SPRO2000 OR SPRO2004</t>
  </si>
  <si>
    <t>Power, Politics and Government</t>
  </si>
  <si>
    <t>Foundations to Strategic Studies</t>
  </si>
  <si>
    <t>History of Warfare and the Evolution of Conflict</t>
  </si>
  <si>
    <t>Great Power Competition</t>
  </si>
  <si>
    <t>Military Technology and the Arms Race</t>
  </si>
  <si>
    <t>Unconventional Threats and Conflict</t>
  </si>
  <si>
    <t>Ethics, Leadership and Management</t>
  </si>
  <si>
    <t>Strategic and Defence Planning</t>
  </si>
  <si>
    <t>Intelligence and Strategic Risk</t>
  </si>
  <si>
    <t>Strategic Analysis Project</t>
  </si>
  <si>
    <t>Sociocultural Perspectives of Sustainability</t>
  </si>
  <si>
    <t>Elementary Australian Taxation Law</t>
  </si>
  <si>
    <t>BLAW1002</t>
  </si>
  <si>
    <t>Pre Req not available in MJRU-BSLAW Major</t>
  </si>
  <si>
    <t>Acting Fundamentals</t>
  </si>
  <si>
    <t>Devising Fundamentals</t>
  </si>
  <si>
    <t>Acting</t>
  </si>
  <si>
    <t>Technical Theatre Fundamentals</t>
  </si>
  <si>
    <t>Movement for the Actor</t>
  </si>
  <si>
    <t>Voice for the Actor</t>
  </si>
  <si>
    <t>Directing Theatre</t>
  </si>
  <si>
    <t>THTR2001 or THTR2002 or THTR2005</t>
  </si>
  <si>
    <t>International Theatre</t>
  </si>
  <si>
    <t>THTR2001 or THTR2005 or THTR3006</t>
  </si>
  <si>
    <t>Australian Theatre</t>
  </si>
  <si>
    <t>Applied Theatre</t>
  </si>
  <si>
    <t>THTR2001 or THTR2005 or VISA2028</t>
  </si>
  <si>
    <t>Principles of Tourism, Hospitality and Events</t>
  </si>
  <si>
    <t>Marketing for Tourism, Hospitality and Events</t>
  </si>
  <si>
    <t>Hospitality Experience</t>
  </si>
  <si>
    <t>Entertainment Industry Essentials</t>
  </si>
  <si>
    <t>Pre Reqs - MGMT2010 being deactivated!</t>
  </si>
  <si>
    <t>Managing Tourism Destinations</t>
  </si>
  <si>
    <t>Responsible Tourism Management</t>
  </si>
  <si>
    <t>TOUR3001.PO</t>
  </si>
  <si>
    <t>MGMT2010</t>
  </si>
  <si>
    <t>Hospitality Management</t>
  </si>
  <si>
    <t>Contemporary Issues in Tourism Management</t>
  </si>
  <si>
    <t>Valuation Methodology</t>
  </si>
  <si>
    <t>Fine Art Studio Methods</t>
  </si>
  <si>
    <t>Fine Art Studio Materials</t>
  </si>
  <si>
    <t>Fine Art Studio Strategies</t>
  </si>
  <si>
    <t>Fine Art Studio Extension</t>
  </si>
  <si>
    <t>VISA2004 or VISA2005 or EDSC4032</t>
  </si>
  <si>
    <t>Fine Art Project</t>
  </si>
  <si>
    <t>VISA2004 or VISA2005</t>
  </si>
  <si>
    <t>Fine Art Theory and Criticism</t>
  </si>
  <si>
    <t>Creative Arts Professional Practicum</t>
  </si>
  <si>
    <t>Fine Art Concepts and Contexts</t>
  </si>
  <si>
    <t>VISA2023 or EDSC4028</t>
  </si>
  <si>
    <t>Fine Art Project Development</t>
  </si>
  <si>
    <t>VISA2004 + (VISA2007 or VISA3005)</t>
  </si>
  <si>
    <t>Fine Art Studio Practice</t>
  </si>
  <si>
    <t>Fine Art Project Advanced</t>
  </si>
  <si>
    <t>VISA2006 + VISA2007 + (VISA3009 or VISA3010)</t>
  </si>
  <si>
    <t>Go Global - Internship 4 (with approval)</t>
  </si>
  <si>
    <t>-FAM-</t>
  </si>
  <si>
    <t>Effective:</t>
  </si>
  <si>
    <t>Downloaded:</t>
  </si>
  <si>
    <t>V</t>
  </si>
  <si>
    <t>OUA Code</t>
  </si>
  <si>
    <t>CPs</t>
  </si>
  <si>
    <t>No.</t>
  </si>
  <si>
    <t>Component Type</t>
  </si>
  <si>
    <t>Year Level</t>
  </si>
  <si>
    <t>Study Package Code</t>
  </si>
  <si>
    <t>Structure Line</t>
  </si>
  <si>
    <t>Effective</t>
  </si>
  <si>
    <t>Discont.</t>
  </si>
  <si>
    <t>Column1</t>
  </si>
  <si>
    <t>Column2</t>
  </si>
  <si>
    <t>Core</t>
  </si>
  <si>
    <t>Semester 1</t>
  </si>
  <si>
    <t>Option</t>
  </si>
  <si>
    <t>Opt-ARTSY1</t>
  </si>
  <si>
    <t>Choose First Year Options</t>
  </si>
  <si>
    <t>OptionB-ARTSY1</t>
  </si>
  <si>
    <t>Choose Elective</t>
  </si>
  <si>
    <t>Semester 2</t>
  </si>
  <si>
    <t>NA</t>
  </si>
  <si>
    <t>Core/Option</t>
  </si>
  <si>
    <t/>
  </si>
  <si>
    <t>Choose your optional unit to the value of:</t>
  </si>
  <si>
    <t>OptionCRWRI</t>
  </si>
  <si>
    <t>URDE3003</t>
  </si>
  <si>
    <t>INTR2001</t>
  </si>
  <si>
    <t>Nyungar Culture and Identity</t>
  </si>
  <si>
    <t>Choose Options</t>
  </si>
  <si>
    <t>OptionJOURN</t>
  </si>
  <si>
    <t>Journalism Industry Placement</t>
  </si>
  <si>
    <t>PWRP3012</t>
  </si>
  <si>
    <t>AltCore</t>
  </si>
  <si>
    <t>Choose COMS2001 or INTR2002</t>
  </si>
  <si>
    <t>AltCoreKORES</t>
  </si>
  <si>
    <t>Go Global - Internship 4</t>
  </si>
  <si>
    <t>Options for Year 2</t>
  </si>
  <si>
    <t>OptionLITCUY2</t>
  </si>
  <si>
    <t>Options for Year 3</t>
  </si>
  <si>
    <t>OptionLITCUY3</t>
  </si>
  <si>
    <t>PWRP2006</t>
  </si>
  <si>
    <t>Choose an Option</t>
  </si>
  <si>
    <t>OptionNETCM</t>
  </si>
  <si>
    <t>Digital and Social Media Project</t>
  </si>
  <si>
    <t>PWRP2000</t>
  </si>
  <si>
    <t>AltCorePRWRP</t>
  </si>
  <si>
    <t>PWRP3003</t>
  </si>
  <si>
    <t>Choose TAXA3007 or BLAW3005</t>
  </si>
  <si>
    <t>AltCoreBSLAW</t>
  </si>
  <si>
    <t>Choose ECOM2000 or ECON2006 or ECON2007</t>
  </si>
  <si>
    <t>AltCoreECONSY2</t>
  </si>
  <si>
    <t>Choose ECON3002 or ECON3007</t>
  </si>
  <si>
    <t>AltCoreECONSY3</t>
  </si>
  <si>
    <t>Choose ECOM2001 or ECON2007</t>
  </si>
  <si>
    <t>AltCoreFINCE</t>
  </si>
  <si>
    <t>Choose MGMT2007 if you are studying in Australia and are NOT undertaking the Employment Relations specialisation.  Choose MGMT2000 if you are studying in Australia and are undertaking this major with the Employment Relations specialisation.  Choose MGMT2002 if you are studying in Singapore.</t>
  </si>
  <si>
    <t>AltCoreHRMGM</t>
  </si>
  <si>
    <t>Choose MKTG2002 or ISYS2013</t>
  </si>
  <si>
    <t>AltCoreINTBU</t>
  </si>
  <si>
    <t>Choose MGMT2008 or BLAW2011</t>
  </si>
  <si>
    <t>AltCoreMNGMT</t>
  </si>
  <si>
    <t>Choose MKTG2000 or MKTG2002</t>
  </si>
  <si>
    <t>AltCoreMRKTG</t>
  </si>
  <si>
    <t>Choose MKTG3009 or MKTG3010</t>
  </si>
  <si>
    <t>Business Internship</t>
  </si>
  <si>
    <t>MKTG3007</t>
  </si>
  <si>
    <t>Choose either SPRO3007 or SPRO3004</t>
  </si>
  <si>
    <t>AltCoreSCRAR</t>
  </si>
  <si>
    <t>Choose your third year optional units</t>
  </si>
  <si>
    <t>OptionSCRARY3S1</t>
  </si>
  <si>
    <t>OptionSCRARY3S2</t>
  </si>
  <si>
    <t>Choose Options for Year 2, Semester 1</t>
  </si>
  <si>
    <t>OptionTHTRA</t>
  </si>
  <si>
    <t>HOSP2000</t>
  </si>
  <si>
    <t>MKTG2003</t>
  </si>
  <si>
    <t>Choose TOUR2003 or MGMT3024</t>
  </si>
  <si>
    <t>AltCoreTRHOS1</t>
  </si>
  <si>
    <t>MGMT3019</t>
  </si>
  <si>
    <t>Choose TOUR3001 or MKTG3009</t>
  </si>
  <si>
    <t>AltCoreTRHOS2</t>
  </si>
  <si>
    <t>MGMT3020</t>
  </si>
  <si>
    <t>Business Study Tour</t>
  </si>
  <si>
    <t>Count of Availability Available to Students Flag</t>
  </si>
  <si>
    <t>Column Labels</t>
  </si>
  <si>
    <t>Downloaded 2024:</t>
  </si>
  <si>
    <t>Row Labels</t>
  </si>
  <si>
    <t>Internal</t>
  </si>
  <si>
    <t>Online</t>
  </si>
  <si>
    <t>Internal2</t>
  </si>
  <si>
    <t>Online3</t>
  </si>
  <si>
    <t>Manually Added</t>
  </si>
  <si>
    <t>Date</t>
  </si>
  <si>
    <t>Component</t>
  </si>
  <si>
    <t>Issue</t>
  </si>
  <si>
    <t>Action</t>
  </si>
  <si>
    <t>Need to confirm a preferred sequence of study for both Sem1 and Sem2.</t>
  </si>
  <si>
    <t>Contains a Block Teaching unit INDS2003, where should it sit in the sequence?</t>
  </si>
  <si>
    <t>Contains two units that are Core Units in two other Arts Majors: LCST3006 - MJRU-LITCU; GEOG3001 - MJRU-GEOGR, requiring unit substitutions.</t>
  </si>
  <si>
    <t>There is an AltCore spot in the structure for Sem2, however both AltCore units are only available in Sem1.</t>
  </si>
  <si>
    <t>Semester 2 commencement for full-time study is not possible due to sequencing issues created by pre requistes and availabilities.</t>
  </si>
  <si>
    <t xml:space="preserve">With the move of VISA3006 to Sem1 availability only, the major is no longer available for full-time study with most other Arts Majors for either Sem1 or Sem2 commencement. </t>
  </si>
  <si>
    <t xml:space="preserve">All Y3 core units are only available Sem2, contrary to structure. </t>
  </si>
  <si>
    <t>With no pre requisite issues, the sequence has been adjusted to move a Y2 unit to Y3 and a Y3 unit to Y2.</t>
  </si>
  <si>
    <t>Option spot listed in structure for Y3 Sem2, however one option unit (SPRO3003) is not available in Sem2</t>
  </si>
  <si>
    <t>Akari / SM mismatch - Pre Reqs. Akari has only JOUR1001, SM has JOUR1000 + JOUR1001*. Itn 6 update effective 1/01/2020 not transferred through to SM.</t>
  </si>
  <si>
    <t>Akari / SM mismatch - Pre Reqs. Akari has NETS1001 or NETS2000 or NETS2002 or NETS2003. SM has NETS2000 or NETS2001 or NETS2002 or NETS2003. Not sure where it went wrong!</t>
  </si>
  <si>
    <t>Pre Reqs issue. Both Akari and SM reference admission to MJRU-SCART (retired) should be MJRU-SCRAR.</t>
  </si>
  <si>
    <t>Akari / SM mismatch - Pre Reqs. Akari has SPRO2000 OR SPRO2004, SM has SPRO1000.</t>
  </si>
  <si>
    <t>Pre Reqs issue. AltCore unit TAXA3007 has a Pre Req BLAW1002 that is not available in MJRU-BSLAW Major.</t>
  </si>
  <si>
    <t>Pre Reqs issue. Pre req listed as MGMT2010 which is being deactivated!</t>
  </si>
  <si>
    <t>Not Available for Sem2 Entry in 2024</t>
  </si>
  <si>
    <t>Contact Major Coordinator</t>
  </si>
  <si>
    <t>4/04/2024 - Meeting with Nicole S and Jo E-H. Will be managed for 2024 with U-Subs and Jo will request update to structure to move availabilities for KORE2002 to Sem2, KORE3002 to Sem 1 (allows same person to teach) and then move AC-KORES to Sem 1. Needs structure update.</t>
  </si>
  <si>
    <t>4/04/2024 - Meeting with Nicole S and Jo E-H. For 2024 will represent that Semester 2 commencement is not available full-time.</t>
  </si>
  <si>
    <t>UC requested SPRO2004 only, Akari change submitted 4/04/2024.</t>
  </si>
  <si>
    <t>05/04/2024 Meeting with Nicole S &amp; Mark P, actions all for 2025: 
VISA2006 &amp; VISA2007 - change Pre Reqs to 100CP only
VISA3023 - keep Level 2 Pre Reqs, remove Level 3 alternate Pre Reqs and replace with 200CP
VISA3006 - add an Alternate Core Option of VISA3005 Creative Arts Professional Practicum, but have some Course advice for BCA students to take VISA3006.
For 2024 Sem2 - Fine Art Major removed from selectable list and not represented at all in the planner.</t>
  </si>
  <si>
    <t>Fine Arts not available for FULL-TIME study with Sem2 entry.</t>
  </si>
  <si>
    <t>Korean Studies not available for FULL-TIME study with Sem2 entry.</t>
  </si>
  <si>
    <t>PWRP2000 or PWRP2010</t>
  </si>
  <si>
    <t>2024 Full-Time Enrolment Planner (Sem2 Commencement)</t>
  </si>
  <si>
    <t>Notes /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</si>
</sst>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9"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sz val="12"/>
      <name val="Calibri"/>
      <family val="2"/>
      <scheme val="minor"/>
    </font>
    <font>
      <i/>
      <sz val="12"/>
      <color theme="0" tint="-0.34998626667073579"/>
      <name val="Calibri"/>
      <family val="2"/>
      <scheme val="minor"/>
    </font>
    <font>
      <b/>
      <sz val="8"/>
      <color rgb="FFFFFFFF"/>
      <name val="Segoe UI"/>
      <family val="2"/>
    </font>
    <font>
      <sz val="12"/>
      <color rgb="FFFF0000"/>
      <name val="Calibri"/>
      <family val="2"/>
      <scheme val="minor"/>
    </font>
    <font>
      <strike/>
      <sz val="12"/>
      <color theme="1"/>
      <name val="Calibri"/>
      <family val="2"/>
      <scheme val="minor"/>
    </font>
    <font>
      <sz val="9"/>
      <color indexed="81"/>
      <name val="Tahoma"/>
      <family val="2"/>
    </font>
    <font>
      <b/>
      <sz val="9"/>
      <color indexed="81"/>
      <name val="Tahoma"/>
      <family val="2"/>
    </font>
    <font>
      <b/>
      <sz val="8"/>
      <name val="Arial"/>
      <family val="2"/>
    </font>
    <font>
      <b/>
      <sz val="14"/>
      <color theme="0"/>
      <name val="Segoe UI"/>
      <family val="2"/>
    </font>
    <font>
      <sz val="14"/>
      <color theme="1"/>
      <name val="Calibri"/>
      <family val="2"/>
      <scheme val="minor"/>
    </font>
    <font>
      <b/>
      <sz val="18"/>
      <color theme="1"/>
      <name val="Segoe UI"/>
      <family val="2"/>
    </font>
    <font>
      <b/>
      <i/>
      <sz val="8"/>
      <color theme="0" tint="-0.499984740745262"/>
      <name val="Arial"/>
      <family val="2"/>
    </font>
    <font>
      <i/>
      <sz val="8"/>
      <color theme="0" tint="-0.499984740745262"/>
      <name val="Arial"/>
      <family val="2"/>
    </font>
    <font>
      <b/>
      <sz val="11"/>
      <color rgb="FFFFFFFF"/>
      <name val="Arial"/>
      <family val="2"/>
    </font>
    <font>
      <sz val="11"/>
      <color rgb="FFFFFFFF"/>
      <name val="Arial"/>
      <family val="2"/>
    </font>
    <font>
      <b/>
      <i/>
      <sz val="12"/>
      <color theme="0" tint="-0.34998626667073579"/>
      <name val="Calibri"/>
      <family val="2"/>
      <scheme val="minor"/>
    </font>
    <font>
      <sz val="8"/>
      <color rgb="FF00B050"/>
      <name val="Arial"/>
      <family val="2"/>
    </font>
    <font>
      <b/>
      <sz val="12"/>
      <name val="Segoe UI"/>
      <family val="2"/>
    </font>
    <font>
      <sz val="8"/>
      <color theme="0" tint="-0.34998626667073579"/>
      <name val="Arial"/>
      <family val="2"/>
    </font>
    <font>
      <sz val="10"/>
      <color rgb="FF00B050"/>
      <name val="Arial"/>
      <family val="2"/>
    </font>
    <font>
      <b/>
      <i/>
      <sz val="12"/>
      <color rgb="FF00B050"/>
      <name val="Calibri"/>
      <family val="2"/>
      <scheme val="minor"/>
    </font>
    <font>
      <sz val="8"/>
      <color rgb="FFFFC000"/>
      <name val="Arial"/>
      <family val="2"/>
    </font>
    <font>
      <b/>
      <sz val="8"/>
      <name val="Segoe UI"/>
      <family val="2"/>
    </font>
    <font>
      <u/>
      <sz val="12"/>
      <color theme="10"/>
      <name val="Calibri"/>
      <family val="2"/>
      <scheme val="minor"/>
    </font>
    <font>
      <b/>
      <sz val="12"/>
      <name val="Calibri"/>
      <family val="2"/>
      <scheme val="minor"/>
    </font>
    <font>
      <b/>
      <u/>
      <sz val="12"/>
      <color theme="10"/>
      <name val="Calibri"/>
      <family val="2"/>
      <scheme val="minor"/>
    </font>
    <font>
      <sz val="8"/>
      <color rgb="FF00B0F0"/>
      <name val="Arial"/>
      <family val="2"/>
    </font>
    <font>
      <sz val="10"/>
      <color theme="1"/>
      <name val="Arial"/>
      <family val="2"/>
    </font>
    <font>
      <sz val="10"/>
      <color rgb="FF000000"/>
      <name val="Arial"/>
      <family val="2"/>
    </font>
  </fonts>
  <fills count="23">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4" tint="0.79998168889431442"/>
        <bgColor rgb="FF000000"/>
      </patternFill>
    </fill>
    <fill>
      <patternFill patternType="solid">
        <fgColor theme="1"/>
        <bgColor indexed="64"/>
      </patternFill>
    </fill>
    <fill>
      <patternFill patternType="solid">
        <fgColor theme="5"/>
        <bgColor indexed="64"/>
      </patternFill>
    </fill>
    <fill>
      <patternFill patternType="solid">
        <fgColor theme="1"/>
        <bgColor rgb="FF000000"/>
      </patternFill>
    </fill>
    <fill>
      <patternFill patternType="solid">
        <fgColor rgb="FFFFC0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A6A6A6"/>
        <bgColor rgb="FF000000"/>
      </patternFill>
    </fill>
    <fill>
      <patternFill patternType="solid">
        <fgColor theme="5"/>
        <bgColor rgb="FF000000"/>
      </patternFill>
    </fill>
    <fill>
      <patternFill patternType="solid">
        <fgColor theme="7" tint="-0.499984740745262"/>
        <bgColor indexed="64"/>
      </patternFill>
    </fill>
    <fill>
      <patternFill patternType="solid">
        <fgColor theme="9" tint="-0.499984740745262"/>
        <bgColor indexed="64"/>
      </patternFill>
    </fill>
    <fill>
      <patternFill patternType="solid">
        <fgColor rgb="FFFF0000"/>
        <bgColor indexed="64"/>
      </patternFill>
    </fill>
  </fills>
  <borders count="4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top style="thin">
        <color indexed="64"/>
      </top>
      <bottom/>
      <diagonal/>
    </border>
    <border>
      <left style="thin">
        <color indexed="64"/>
      </left>
      <right style="thin">
        <color indexed="64"/>
      </right>
      <top style="thin">
        <color indexed="64"/>
      </top>
      <bottom style="thin">
        <color indexed="64"/>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top style="thin">
        <color theme="1"/>
      </top>
      <bottom style="thin">
        <color theme="1"/>
      </bottom>
      <diagonal/>
    </border>
    <border>
      <left style="thin">
        <color indexed="64"/>
      </left>
      <right style="thin">
        <color theme="0" tint="-0.24994659260841701"/>
      </right>
      <top/>
      <bottom/>
      <diagonal/>
    </border>
  </borders>
  <cellStyleXfs count="3">
    <xf numFmtId="0" fontId="0" fillId="0" borderId="0"/>
    <xf numFmtId="0" fontId="1" fillId="0" borderId="0"/>
    <xf numFmtId="0" fontId="63" fillId="0" borderId="0" applyNumberFormat="0" applyFill="0" applyBorder="0" applyAlignment="0" applyProtection="0"/>
  </cellStyleXfs>
  <cellXfs count="389">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10" fillId="0" borderId="0" xfId="0" applyFont="1" applyAlignment="1">
      <alignment horizontal="center"/>
    </xf>
    <xf numFmtId="0" fontId="10" fillId="0" borderId="0" xfId="0" applyFont="1" applyAlignment="1">
      <alignment horizontal="right"/>
    </xf>
    <xf numFmtId="0" fontId="5" fillId="0" borderId="0" xfId="0" applyFont="1" applyAlignment="1">
      <alignment horizontal="right"/>
    </xf>
    <xf numFmtId="0" fontId="6" fillId="0" borderId="0" xfId="0" applyFont="1" applyAlignment="1">
      <alignment horizontal="right"/>
    </xf>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5" fillId="4" borderId="0" xfId="0" applyFont="1" applyFill="1"/>
    <xf numFmtId="0" fontId="5" fillId="4" borderId="0" xfId="0" applyFont="1" applyFill="1" applyAlignment="1">
      <alignment horizontal="center"/>
    </xf>
    <xf numFmtId="0" fontId="7" fillId="0" borderId="0" xfId="0" applyFont="1" applyAlignment="1">
      <alignment horizontal="center"/>
    </xf>
    <xf numFmtId="0" fontId="16" fillId="0" borderId="0" xfId="0" applyFont="1"/>
    <xf numFmtId="0" fontId="5" fillId="4" borderId="0" xfId="0" applyFont="1" applyFill="1" applyAlignment="1">
      <alignment horizontal="left"/>
    </xf>
    <xf numFmtId="0" fontId="5" fillId="4" borderId="8" xfId="0" applyFont="1" applyFill="1" applyBorder="1" applyAlignment="1">
      <alignment horizontal="center"/>
    </xf>
    <xf numFmtId="0" fontId="5" fillId="4" borderId="7" xfId="0" applyFont="1" applyFill="1" applyBorder="1" applyAlignment="1">
      <alignment horizontal="left"/>
    </xf>
    <xf numFmtId="0" fontId="18" fillId="0" borderId="0" xfId="0" applyFont="1" applyAlignment="1">
      <alignment horizontal="center"/>
    </xf>
    <xf numFmtId="0" fontId="17" fillId="0" borderId="0" xfId="0" applyFont="1"/>
    <xf numFmtId="0" fontId="0" fillId="0" borderId="5" xfId="0" applyBorder="1"/>
    <xf numFmtId="0" fontId="2" fillId="3" borderId="1" xfId="0" applyFont="1" applyFill="1" applyBorder="1" applyAlignment="1">
      <alignment horizontal="right" vertical="center"/>
    </xf>
    <xf numFmtId="0" fontId="5" fillId="4" borderId="11" xfId="0" applyFont="1" applyFill="1" applyBorder="1" applyAlignment="1">
      <alignment horizontal="left"/>
    </xf>
    <xf numFmtId="0" fontId="10" fillId="5" borderId="7" xfId="0" applyFont="1" applyFill="1" applyBorder="1" applyAlignment="1">
      <alignment horizontal="center"/>
    </xf>
    <xf numFmtId="0" fontId="10" fillId="5" borderId="8" xfId="0" applyFont="1" applyFill="1" applyBorder="1" applyAlignment="1">
      <alignment horizontal="center"/>
    </xf>
    <xf numFmtId="0" fontId="5" fillId="4" borderId="1" xfId="0" applyFont="1" applyFill="1" applyBorder="1" applyAlignment="1">
      <alignment horizontal="left"/>
    </xf>
    <xf numFmtId="0" fontId="5" fillId="4" borderId="3" xfId="0" applyFont="1" applyFill="1" applyBorder="1" applyAlignment="1">
      <alignment horizontal="left"/>
    </xf>
    <xf numFmtId="0" fontId="5" fillId="4" borderId="2" xfId="0" applyFont="1" applyFill="1" applyBorder="1" applyAlignment="1">
      <alignment horizontal="left"/>
    </xf>
    <xf numFmtId="0" fontId="39" fillId="0" borderId="0" xfId="0" applyFont="1"/>
    <xf numFmtId="0" fontId="39" fillId="0" borderId="0" xfId="0" applyFont="1" applyAlignment="1">
      <alignment horizontal="right"/>
    </xf>
    <xf numFmtId="0" fontId="39" fillId="0" borderId="0" xfId="0" applyFont="1" applyAlignment="1">
      <alignment horizontal="center"/>
    </xf>
    <xf numFmtId="0" fontId="0" fillId="0" borderId="25" xfId="0" applyBorder="1" applyAlignment="1">
      <alignment horizontal="center"/>
    </xf>
    <xf numFmtId="0" fontId="10" fillId="5" borderId="0" xfId="0" applyFont="1" applyFill="1" applyAlignment="1">
      <alignment horizontal="center"/>
    </xf>
    <xf numFmtId="0" fontId="6" fillId="5" borderId="0" xfId="0" applyFont="1" applyFill="1" applyAlignment="1">
      <alignment horizontal="center"/>
    </xf>
    <xf numFmtId="0" fontId="5" fillId="4" borderId="11" xfId="0" applyFont="1" applyFill="1" applyBorder="1" applyAlignment="1">
      <alignment horizontal="left" textRotation="90"/>
    </xf>
    <xf numFmtId="0" fontId="10" fillId="5" borderId="26" xfId="0" applyFont="1" applyFill="1" applyBorder="1" applyAlignment="1">
      <alignment horizontal="center"/>
    </xf>
    <xf numFmtId="0" fontId="10" fillId="5" borderId="27" xfId="0" applyFont="1" applyFill="1" applyBorder="1" applyAlignment="1">
      <alignment horizontal="center"/>
    </xf>
    <xf numFmtId="0" fontId="10" fillId="5" borderId="28" xfId="0" applyFont="1" applyFill="1" applyBorder="1" applyAlignment="1">
      <alignment horizontal="center"/>
    </xf>
    <xf numFmtId="0" fontId="10" fillId="6" borderId="0" xfId="0" applyFont="1" applyFill="1" applyAlignment="1">
      <alignment wrapText="1"/>
    </xf>
    <xf numFmtId="0" fontId="40" fillId="0" borderId="0" xfId="0" applyFont="1"/>
    <xf numFmtId="0" fontId="0" fillId="8" borderId="0" xfId="0" applyFill="1"/>
    <xf numFmtId="0" fontId="0" fillId="8" borderId="0" xfId="0" applyFill="1" applyAlignment="1">
      <alignment horizontal="center"/>
    </xf>
    <xf numFmtId="0" fontId="6" fillId="0" borderId="0" xfId="0" applyFont="1" applyAlignment="1">
      <alignment horizontal="left"/>
    </xf>
    <xf numFmtId="0" fontId="3" fillId="0" borderId="4" xfId="0" applyFont="1" applyBorder="1" applyAlignment="1">
      <alignment horizontal="center" vertical="center"/>
    </xf>
    <xf numFmtId="0" fontId="4"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10" fillId="5" borderId="30" xfId="0" applyFont="1" applyFill="1" applyBorder="1" applyAlignment="1">
      <alignment horizontal="center"/>
    </xf>
    <xf numFmtId="0" fontId="10" fillId="5" borderId="31" xfId="0" applyFont="1" applyFill="1" applyBorder="1" applyAlignment="1">
      <alignment horizontal="center"/>
    </xf>
    <xf numFmtId="0" fontId="10" fillId="5" borderId="32" xfId="0" applyFont="1" applyFill="1" applyBorder="1" applyAlignment="1">
      <alignment horizontal="center"/>
    </xf>
    <xf numFmtId="0" fontId="10" fillId="5" borderId="1" xfId="0" applyFont="1" applyFill="1" applyBorder="1" applyAlignment="1">
      <alignment horizontal="center"/>
    </xf>
    <xf numFmtId="0" fontId="10" fillId="5" borderId="3" xfId="0" applyFont="1" applyFill="1" applyBorder="1" applyAlignment="1">
      <alignment horizontal="center"/>
    </xf>
    <xf numFmtId="0" fontId="6" fillId="5" borderId="3" xfId="0" applyFont="1" applyFill="1" applyBorder="1" applyAlignment="1">
      <alignment horizontal="center"/>
    </xf>
    <xf numFmtId="0" fontId="10" fillId="5" borderId="2" xfId="0" applyFont="1" applyFill="1" applyBorder="1" applyAlignment="1">
      <alignment horizontal="center"/>
    </xf>
    <xf numFmtId="0" fontId="5" fillId="4" borderId="29" xfId="0" applyFont="1" applyFill="1" applyBorder="1" applyAlignment="1">
      <alignment horizontal="left"/>
    </xf>
    <xf numFmtId="0" fontId="41" fillId="0" borderId="0" xfId="0" applyFont="1" applyAlignment="1">
      <alignment horizontal="right"/>
    </xf>
    <xf numFmtId="0" fontId="10" fillId="7" borderId="28" xfId="0" applyFont="1" applyFill="1" applyBorder="1" applyAlignment="1">
      <alignment horizontal="center"/>
    </xf>
    <xf numFmtId="0" fontId="10" fillId="7" borderId="32" xfId="0" applyFont="1" applyFill="1" applyBorder="1" applyAlignment="1">
      <alignment horizontal="center"/>
    </xf>
    <xf numFmtId="0" fontId="3" fillId="0" borderId="6" xfId="0" quotePrefix="1" applyFont="1" applyBorder="1" applyAlignment="1">
      <alignment horizontal="center" vertical="center"/>
    </xf>
    <xf numFmtId="0" fontId="2" fillId="10" borderId="4" xfId="0" applyFont="1" applyFill="1" applyBorder="1" applyAlignment="1">
      <alignment horizontal="right" vertical="center"/>
    </xf>
    <xf numFmtId="0" fontId="2" fillId="10" borderId="5" xfId="0" applyFont="1" applyFill="1" applyBorder="1" applyAlignment="1">
      <alignment horizontal="right" vertical="center"/>
    </xf>
    <xf numFmtId="0" fontId="2" fillId="10" borderId="6" xfId="0" applyFont="1" applyFill="1" applyBorder="1" applyAlignment="1">
      <alignment horizontal="right" vertical="center"/>
    </xf>
    <xf numFmtId="0" fontId="2" fillId="11" borderId="4" xfId="0" applyFont="1" applyFill="1" applyBorder="1" applyAlignment="1">
      <alignment horizontal="right" vertical="center"/>
    </xf>
    <xf numFmtId="0" fontId="2" fillId="11" borderId="5" xfId="0" applyFont="1" applyFill="1" applyBorder="1" applyAlignment="1">
      <alignment horizontal="right" vertical="center"/>
    </xf>
    <xf numFmtId="0" fontId="2" fillId="11" borderId="6" xfId="0" applyFont="1" applyFill="1" applyBorder="1" applyAlignment="1">
      <alignment horizontal="right" vertical="center"/>
    </xf>
    <xf numFmtId="0" fontId="10" fillId="5" borderId="4" xfId="0" applyFont="1" applyFill="1" applyBorder="1" applyAlignment="1">
      <alignment horizontal="center"/>
    </xf>
    <xf numFmtId="0" fontId="10" fillId="5" borderId="5" xfId="0" applyFont="1" applyFill="1" applyBorder="1" applyAlignment="1">
      <alignment horizontal="center"/>
    </xf>
    <xf numFmtId="0" fontId="6" fillId="5" borderId="5" xfId="0" applyFont="1" applyFill="1" applyBorder="1" applyAlignment="1">
      <alignment horizontal="center"/>
    </xf>
    <xf numFmtId="0" fontId="10" fillId="5" borderId="6" xfId="0" applyFont="1" applyFill="1" applyBorder="1" applyAlignment="1">
      <alignment horizont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5" xfId="0" quotePrefix="1" applyFont="1" applyBorder="1" applyAlignment="1">
      <alignment horizontal="center" vertical="center"/>
    </xf>
    <xf numFmtId="0" fontId="2" fillId="10" borderId="1" xfId="0" applyFont="1" applyFill="1" applyBorder="1" applyAlignment="1">
      <alignment horizontal="right" vertical="center"/>
    </xf>
    <xf numFmtId="0" fontId="2" fillId="10" borderId="2" xfId="0" applyFont="1" applyFill="1" applyBorder="1" applyAlignment="1">
      <alignment horizontal="right" vertical="center"/>
    </xf>
    <xf numFmtId="0" fontId="3" fillId="0" borderId="0" xfId="0" quotePrefix="1" applyFont="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6" fillId="0" borderId="0" xfId="0" quotePrefix="1" applyFont="1" applyAlignment="1">
      <alignment horizontal="left"/>
    </xf>
    <xf numFmtId="0" fontId="4" fillId="9" borderId="8" xfId="0" applyFont="1" applyFill="1" applyBorder="1" applyAlignment="1">
      <alignment horizontal="center" vertical="center"/>
    </xf>
    <xf numFmtId="0" fontId="4" fillId="9" borderId="6" xfId="0" applyFont="1" applyFill="1" applyBorder="1" applyAlignment="1">
      <alignment horizontal="center" vertical="center"/>
    </xf>
    <xf numFmtId="0" fontId="10" fillId="0" borderId="0" xfId="0" quotePrefix="1" applyFont="1"/>
    <xf numFmtId="0" fontId="43" fillId="0" borderId="0" xfId="0" applyFont="1"/>
    <xf numFmtId="0" fontId="11" fillId="0" borderId="0" xfId="0" applyFont="1" applyAlignment="1">
      <alignment horizontal="center"/>
    </xf>
    <xf numFmtId="0" fontId="4"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2" fillId="11" borderId="1" xfId="0" applyFont="1" applyFill="1" applyBorder="1" applyAlignment="1">
      <alignment horizontal="right" vertical="center"/>
    </xf>
    <xf numFmtId="0" fontId="2" fillId="11" borderId="2" xfId="0" applyFont="1" applyFill="1" applyBorder="1" applyAlignment="1">
      <alignment horizontal="right" vertical="center"/>
    </xf>
    <xf numFmtId="0" fontId="9" fillId="0" borderId="0" xfId="0" applyFont="1" applyAlignment="1">
      <alignment horizontal="center"/>
    </xf>
    <xf numFmtId="0" fontId="9" fillId="7" borderId="8" xfId="0" applyFont="1" applyFill="1" applyBorder="1" applyAlignment="1">
      <alignment horizontal="center" vertical="center"/>
    </xf>
    <xf numFmtId="0" fontId="8" fillId="0" borderId="0" xfId="0" applyFont="1" applyAlignment="1">
      <alignment horizontal="center"/>
    </xf>
    <xf numFmtId="0" fontId="44" fillId="0" borderId="0" xfId="0" applyFont="1"/>
    <xf numFmtId="0" fontId="47" fillId="11" borderId="4" xfId="0" applyFont="1" applyFill="1" applyBorder="1" applyAlignment="1">
      <alignment horizontal="right" vertical="center"/>
    </xf>
    <xf numFmtId="0" fontId="47" fillId="11" borderId="6" xfId="0" applyFont="1" applyFill="1" applyBorder="1" applyAlignment="1">
      <alignment horizontal="right" vertical="center"/>
    </xf>
    <xf numFmtId="0" fontId="3" fillId="0" borderId="4" xfId="0" quotePrefix="1" applyFont="1" applyBorder="1" applyAlignment="1">
      <alignment horizontal="center" vertical="center"/>
    </xf>
    <xf numFmtId="0" fontId="4" fillId="0" borderId="8" xfId="0" applyFont="1" applyBorder="1" applyAlignment="1">
      <alignment horizontal="center" vertical="center"/>
    </xf>
    <xf numFmtId="0" fontId="52" fillId="0" borderId="4" xfId="0" applyFont="1" applyBorder="1" applyAlignment="1">
      <alignment horizontal="center" vertical="center"/>
    </xf>
    <xf numFmtId="0" fontId="52" fillId="0" borderId="6" xfId="0" applyFont="1" applyBorder="1" applyAlignment="1">
      <alignment horizontal="center" vertical="center"/>
    </xf>
    <xf numFmtId="0" fontId="52" fillId="0" borderId="5" xfId="0" applyFont="1" applyBorder="1" applyAlignment="1">
      <alignment horizontal="center" vertical="center"/>
    </xf>
    <xf numFmtId="0" fontId="52" fillId="0" borderId="7" xfId="0" applyFont="1" applyBorder="1" applyAlignment="1">
      <alignment horizontal="center" vertical="center"/>
    </xf>
    <xf numFmtId="0" fontId="52" fillId="0" borderId="8" xfId="0" applyFont="1" applyBorder="1" applyAlignment="1">
      <alignment horizontal="center" vertical="center"/>
    </xf>
    <xf numFmtId="0" fontId="52" fillId="0" borderId="0" xfId="0" applyFont="1" applyAlignment="1">
      <alignment horizontal="center" vertical="center"/>
    </xf>
    <xf numFmtId="0" fontId="52" fillId="0" borderId="10" xfId="0" applyFont="1" applyBorder="1" applyAlignment="1">
      <alignment horizontal="center" vertical="center"/>
    </xf>
    <xf numFmtId="0" fontId="52" fillId="0" borderId="11" xfId="0" applyFont="1" applyBorder="1" applyAlignment="1">
      <alignment horizontal="center" vertical="center"/>
    </xf>
    <xf numFmtId="0" fontId="52" fillId="0" borderId="9" xfId="0" applyFont="1" applyBorder="1" applyAlignment="1">
      <alignment horizontal="center" vertical="center"/>
    </xf>
    <xf numFmtId="0" fontId="52" fillId="0" borderId="6" xfId="0" quotePrefix="1" applyFont="1" applyBorder="1" applyAlignment="1">
      <alignment horizontal="center" vertical="center"/>
    </xf>
    <xf numFmtId="0" fontId="52" fillId="0" borderId="0" xfId="0" quotePrefix="1" applyFont="1" applyAlignment="1">
      <alignment horizontal="center" vertical="center"/>
    </xf>
    <xf numFmtId="0" fontId="52" fillId="0" borderId="5" xfId="0" quotePrefix="1" applyFont="1" applyBorder="1" applyAlignment="1">
      <alignment horizontal="center" vertical="center"/>
    </xf>
    <xf numFmtId="0" fontId="51" fillId="5" borderId="1" xfId="0" applyFont="1" applyFill="1" applyBorder="1" applyAlignment="1">
      <alignment horizontal="right" vertical="center"/>
    </xf>
    <xf numFmtId="0" fontId="51" fillId="5" borderId="2" xfId="0" applyFont="1" applyFill="1" applyBorder="1" applyAlignment="1">
      <alignment horizontal="right" vertical="center"/>
    </xf>
    <xf numFmtId="0" fontId="51" fillId="5" borderId="5" xfId="0" applyFont="1" applyFill="1" applyBorder="1" applyAlignment="1">
      <alignment horizontal="right" vertical="center"/>
    </xf>
    <xf numFmtId="0" fontId="51" fillId="5" borderId="4" xfId="0" applyFont="1" applyFill="1" applyBorder="1" applyAlignment="1">
      <alignment horizontal="right" vertical="center"/>
    </xf>
    <xf numFmtId="0" fontId="51" fillId="5" borderId="6" xfId="0" applyFont="1" applyFill="1" applyBorder="1" applyAlignment="1">
      <alignment horizontal="right" vertical="center"/>
    </xf>
    <xf numFmtId="0" fontId="51" fillId="5" borderId="35" xfId="0" applyFont="1" applyFill="1" applyBorder="1" applyAlignment="1">
      <alignment horizontal="right" vertical="center"/>
    </xf>
    <xf numFmtId="0" fontId="52" fillId="0" borderId="35" xfId="0" applyFont="1" applyBorder="1" applyAlignment="1">
      <alignment horizontal="center" vertical="center"/>
    </xf>
    <xf numFmtId="0" fontId="52" fillId="0" borderId="25" xfId="0" applyFont="1" applyBorder="1" applyAlignment="1">
      <alignment horizontal="center" vertical="center"/>
    </xf>
    <xf numFmtId="0" fontId="52" fillId="0" borderId="36" xfId="0" applyFont="1" applyBorder="1" applyAlignment="1">
      <alignment horizontal="center" vertical="center"/>
    </xf>
    <xf numFmtId="0" fontId="52" fillId="0" borderId="35" xfId="0" quotePrefix="1" applyFont="1" applyBorder="1" applyAlignment="1">
      <alignment horizontal="center" vertical="center"/>
    </xf>
    <xf numFmtId="0" fontId="2" fillId="5" borderId="37" xfId="0" applyFont="1" applyFill="1" applyBorder="1" applyAlignment="1">
      <alignment horizontal="righ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0" fillId="15" borderId="0" xfId="0" applyFill="1"/>
    <xf numFmtId="0" fontId="55" fillId="0" borderId="0" xfId="0" applyFont="1" applyAlignment="1">
      <alignment horizontal="right"/>
    </xf>
    <xf numFmtId="0" fontId="56" fillId="0" borderId="6" xfId="0" applyFont="1" applyBorder="1" applyAlignment="1">
      <alignment horizontal="center" vertical="center"/>
    </xf>
    <xf numFmtId="0" fontId="56" fillId="0" borderId="8" xfId="0" applyFont="1" applyBorder="1" applyAlignment="1">
      <alignment horizontal="center" vertical="center"/>
    </xf>
    <xf numFmtId="0" fontId="56" fillId="0" borderId="9" xfId="0" applyFont="1" applyBorder="1" applyAlignment="1">
      <alignment horizontal="center" vertical="center"/>
    </xf>
    <xf numFmtId="0" fontId="56" fillId="0" borderId="5" xfId="0" applyFont="1" applyBorder="1" applyAlignment="1">
      <alignment horizontal="center" vertical="center"/>
    </xf>
    <xf numFmtId="0" fontId="56" fillId="0" borderId="0" xfId="0" applyFont="1" applyAlignment="1">
      <alignment horizontal="center" vertical="center"/>
    </xf>
    <xf numFmtId="0" fontId="56" fillId="0" borderId="11" xfId="0" applyFont="1" applyBorder="1" applyAlignment="1">
      <alignment horizontal="center" vertical="center"/>
    </xf>
    <xf numFmtId="0" fontId="56" fillId="0" borderId="6" xfId="0" quotePrefix="1" applyFont="1" applyBorder="1" applyAlignment="1">
      <alignment horizontal="center" vertical="center"/>
    </xf>
    <xf numFmtId="0" fontId="17" fillId="0" borderId="41" xfId="0" applyFont="1" applyBorder="1"/>
    <xf numFmtId="14" fontId="10" fillId="0" borderId="0" xfId="0" applyNumberFormat="1" applyFont="1" applyAlignment="1">
      <alignment horizontal="center"/>
    </xf>
    <xf numFmtId="0" fontId="40" fillId="0" borderId="0" xfId="0" applyFont="1" applyAlignment="1">
      <alignment horizontal="center"/>
    </xf>
    <xf numFmtId="14" fontId="0" fillId="0" borderId="0" xfId="0" applyNumberFormat="1"/>
    <xf numFmtId="0" fontId="43" fillId="7" borderId="0" xfId="0" applyFont="1" applyFill="1"/>
    <xf numFmtId="14" fontId="6" fillId="0" borderId="0" xfId="0" applyNumberFormat="1" applyFont="1" applyAlignment="1">
      <alignment horizontal="center"/>
    </xf>
    <xf numFmtId="0" fontId="39" fillId="17" borderId="0" xfId="0" applyFont="1" applyFill="1"/>
    <xf numFmtId="14" fontId="39" fillId="17" borderId="0" xfId="0" applyNumberFormat="1" applyFont="1" applyFill="1"/>
    <xf numFmtId="0" fontId="0" fillId="7" borderId="0" xfId="0" applyFill="1"/>
    <xf numFmtId="14" fontId="0" fillId="7" borderId="0" xfId="0" applyNumberFormat="1" applyFill="1"/>
    <xf numFmtId="0" fontId="39" fillId="17" borderId="0" xfId="0" applyFont="1" applyFill="1" applyAlignment="1">
      <alignment horizontal="center"/>
    </xf>
    <xf numFmtId="0" fontId="10" fillId="5" borderId="42" xfId="0" applyFont="1" applyFill="1" applyBorder="1" applyAlignment="1">
      <alignment horizontal="center"/>
    </xf>
    <xf numFmtId="0" fontId="6" fillId="17" borderId="0" xfId="0" applyFont="1" applyFill="1" applyAlignment="1">
      <alignment horizontal="center"/>
    </xf>
    <xf numFmtId="14" fontId="6" fillId="17" borderId="0" xfId="0" applyNumberFormat="1" applyFont="1" applyFill="1" applyAlignment="1">
      <alignment horizontal="center"/>
    </xf>
    <xf numFmtId="0" fontId="10" fillId="0" borderId="33" xfId="0" applyFont="1" applyBorder="1" applyAlignment="1">
      <alignment horizontal="left"/>
    </xf>
    <xf numFmtId="0" fontId="10" fillId="0" borderId="29" xfId="0" applyFont="1" applyBorder="1" applyAlignment="1">
      <alignment horizontal="left"/>
    </xf>
    <xf numFmtId="0" fontId="7" fillId="7" borderId="33" xfId="0" applyFont="1" applyFill="1" applyBorder="1" applyAlignment="1">
      <alignment horizontal="left"/>
    </xf>
    <xf numFmtId="0" fontId="7" fillId="0" borderId="33" xfId="0" applyFont="1" applyBorder="1" applyAlignment="1">
      <alignment horizontal="left"/>
    </xf>
    <xf numFmtId="0" fontId="7" fillId="0" borderId="34" xfId="0" applyFont="1" applyBorder="1" applyAlignment="1">
      <alignment horizontal="left"/>
    </xf>
    <xf numFmtId="0" fontId="10" fillId="0" borderId="34" xfId="0" applyFont="1" applyBorder="1" applyAlignment="1">
      <alignment horizontal="left"/>
    </xf>
    <xf numFmtId="0" fontId="6" fillId="17" borderId="0" xfId="0" applyFont="1" applyFill="1"/>
    <xf numFmtId="0" fontId="10" fillId="17" borderId="0" xfId="0" applyFont="1" applyFill="1"/>
    <xf numFmtId="0" fontId="7" fillId="7" borderId="29" xfId="0" applyFont="1" applyFill="1" applyBorder="1" applyAlignment="1">
      <alignment horizontal="left"/>
    </xf>
    <xf numFmtId="0" fontId="0" fillId="17" borderId="0" xfId="0" applyFill="1"/>
    <xf numFmtId="0" fontId="58" fillId="0" borderId="0" xfId="0" applyFont="1" applyAlignment="1">
      <alignment horizontal="center"/>
    </xf>
    <xf numFmtId="0" fontId="8" fillId="6" borderId="0" xfId="0" applyFont="1" applyFill="1" applyAlignment="1">
      <alignment wrapText="1"/>
    </xf>
    <xf numFmtId="0" fontId="8" fillId="0" borderId="33" xfId="0" applyFont="1" applyBorder="1" applyAlignment="1">
      <alignment horizontal="left"/>
    </xf>
    <xf numFmtId="0" fontId="0" fillId="0" borderId="29" xfId="0" applyBorder="1"/>
    <xf numFmtId="14" fontId="8" fillId="17" borderId="0" xfId="0" applyNumberFormat="1" applyFont="1" applyFill="1" applyAlignment="1">
      <alignment horizontal="center"/>
    </xf>
    <xf numFmtId="0" fontId="10" fillId="0" borderId="0" xfId="0" applyFont="1" applyAlignment="1">
      <alignment horizontal="center" wrapText="1"/>
    </xf>
    <xf numFmtId="0" fontId="40" fillId="0" borderId="0" xfId="0" applyFont="1" applyAlignment="1">
      <alignment horizontal="right"/>
    </xf>
    <xf numFmtId="14" fontId="40" fillId="0" borderId="0" xfId="0" applyNumberFormat="1" applyFont="1"/>
    <xf numFmtId="14" fontId="59" fillId="0" borderId="0" xfId="0" applyNumberFormat="1" applyFont="1" applyAlignment="1">
      <alignment horizontal="center"/>
    </xf>
    <xf numFmtId="0" fontId="59" fillId="0" borderId="0" xfId="0" applyFont="1" applyAlignment="1">
      <alignment horizontal="center"/>
    </xf>
    <xf numFmtId="14" fontId="60" fillId="0" borderId="0" xfId="0" applyNumberFormat="1" applyFont="1"/>
    <xf numFmtId="0" fontId="10" fillId="17" borderId="0" xfId="0" applyFont="1" applyFill="1" applyAlignment="1">
      <alignment horizontal="center"/>
    </xf>
    <xf numFmtId="0" fontId="60" fillId="0" borderId="0" xfId="0" applyFont="1" applyAlignment="1">
      <alignment horizontal="center"/>
    </xf>
    <xf numFmtId="0" fontId="44" fillId="0" borderId="0" xfId="0" applyFont="1" applyAlignment="1">
      <alignment horizontal="center"/>
    </xf>
    <xf numFmtId="0" fontId="39" fillId="17" borderId="0" xfId="0" applyFont="1" applyFill="1" applyAlignment="1">
      <alignment wrapText="1"/>
    </xf>
    <xf numFmtId="0" fontId="7" fillId="7" borderId="34" xfId="0" applyFont="1" applyFill="1" applyBorder="1" applyAlignment="1">
      <alignment horizontal="left"/>
    </xf>
    <xf numFmtId="0" fontId="7" fillId="7" borderId="34" xfId="0" applyFont="1" applyFill="1" applyBorder="1" applyAlignment="1">
      <alignment horizontal="left" wrapText="1"/>
    </xf>
    <xf numFmtId="0" fontId="8" fillId="0" borderId="29" xfId="0" applyFont="1" applyBorder="1" applyAlignment="1">
      <alignment horizontal="left"/>
    </xf>
    <xf numFmtId="0" fontId="8" fillId="0" borderId="0" xfId="0" applyFont="1" applyAlignment="1">
      <alignment horizontal="left"/>
    </xf>
    <xf numFmtId="0" fontId="61" fillId="0" borderId="6" xfId="0" applyFont="1" applyBorder="1" applyAlignment="1">
      <alignment horizontal="center" vertical="center"/>
    </xf>
    <xf numFmtId="0" fontId="61" fillId="0" borderId="8" xfId="0" applyFont="1" applyBorder="1" applyAlignment="1">
      <alignment horizontal="center" vertical="center"/>
    </xf>
    <xf numFmtId="0" fontId="61" fillId="0" borderId="9"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5" xfId="0" quotePrefix="1" applyFont="1" applyBorder="1" applyAlignment="1">
      <alignment horizontal="center" vertical="center"/>
    </xf>
    <xf numFmtId="0" fontId="9" fillId="7" borderId="7" xfId="0" applyFont="1" applyFill="1" applyBorder="1" applyAlignment="1">
      <alignment horizontal="center" vertical="center"/>
    </xf>
    <xf numFmtId="0" fontId="9" fillId="0" borderId="7" xfId="0" applyFont="1" applyBorder="1" applyAlignment="1">
      <alignment horizontal="center" vertical="center"/>
    </xf>
    <xf numFmtId="0" fontId="43" fillId="15" borderId="0" xfId="0" applyFont="1" applyFill="1"/>
    <xf numFmtId="0" fontId="7" fillId="7" borderId="0" xfId="0" applyFont="1" applyFill="1" applyAlignment="1">
      <alignment wrapText="1"/>
    </xf>
    <xf numFmtId="0" fontId="7" fillId="7" borderId="33" xfId="0" applyFont="1" applyFill="1" applyBorder="1" applyAlignment="1">
      <alignment horizontal="left" wrapText="1"/>
    </xf>
    <xf numFmtId="0" fontId="63" fillId="18" borderId="0" xfId="2" applyFill="1" applyAlignment="1" applyProtection="1">
      <alignment horizontal="left" vertical="center"/>
    </xf>
    <xf numFmtId="0" fontId="38" fillId="9" borderId="0" xfId="1" applyFont="1" applyFill="1" applyAlignment="1" applyProtection="1">
      <alignment vertical="center"/>
      <protection locked="0"/>
    </xf>
    <xf numFmtId="0" fontId="38" fillId="5" borderId="0" xfId="1" applyFont="1" applyFill="1" applyAlignment="1" applyProtection="1">
      <alignment vertical="center"/>
      <protection locked="0"/>
    </xf>
    <xf numFmtId="0" fontId="22" fillId="0" borderId="21" xfId="1" applyFont="1" applyBorder="1" applyAlignment="1" applyProtection="1">
      <alignment horizontal="center" vertical="center" wrapText="1"/>
      <protection locked="0"/>
    </xf>
    <xf numFmtId="0" fontId="22" fillId="9" borderId="21" xfId="1" applyFont="1" applyFill="1" applyBorder="1" applyAlignment="1" applyProtection="1">
      <alignment horizontal="center" vertical="center" wrapText="1"/>
      <protection locked="0"/>
    </xf>
    <xf numFmtId="0" fontId="22" fillId="5" borderId="21" xfId="1" applyFont="1" applyFill="1" applyBorder="1" applyAlignment="1" applyProtection="1">
      <alignment horizontal="center" vertical="center" wrapText="1"/>
      <protection locked="0"/>
    </xf>
    <xf numFmtId="0" fontId="22" fillId="16" borderId="18" xfId="1" applyFont="1" applyFill="1" applyBorder="1" applyAlignment="1" applyProtection="1">
      <alignment horizontal="center" vertical="center" wrapText="1"/>
      <protection locked="0"/>
    </xf>
    <xf numFmtId="0" fontId="66" fillId="0" borderId="5" xfId="0" applyFont="1" applyBorder="1" applyAlignment="1">
      <alignment horizontal="center" vertical="center"/>
    </xf>
    <xf numFmtId="0" fontId="66" fillId="0" borderId="0" xfId="0" applyFont="1" applyAlignment="1">
      <alignment horizontal="center" vertical="center"/>
    </xf>
    <xf numFmtId="0" fontId="66" fillId="0" borderId="6" xfId="0" applyFont="1" applyBorder="1" applyAlignment="1">
      <alignment horizontal="center" vertical="center"/>
    </xf>
    <xf numFmtId="0" fontId="66" fillId="0" borderId="8" xfId="0" applyFont="1" applyBorder="1" applyAlignment="1">
      <alignment horizontal="center" vertical="center"/>
    </xf>
    <xf numFmtId="0" fontId="66" fillId="0" borderId="9" xfId="0" applyFont="1" applyBorder="1" applyAlignment="1">
      <alignment horizontal="center" vertical="center"/>
    </xf>
    <xf numFmtId="0" fontId="66" fillId="0" borderId="6" xfId="0" quotePrefix="1" applyFont="1" applyBorder="1" applyAlignment="1">
      <alignment horizontal="center" vertical="center"/>
    </xf>
    <xf numFmtId="0" fontId="66" fillId="0" borderId="11" xfId="0" applyFont="1" applyBorder="1" applyAlignment="1">
      <alignment horizontal="center" vertical="center"/>
    </xf>
    <xf numFmtId="0" fontId="61" fillId="20" borderId="6" xfId="0" applyFont="1" applyFill="1" applyBorder="1" applyAlignment="1">
      <alignment horizontal="center" vertical="center"/>
    </xf>
    <xf numFmtId="0" fontId="61" fillId="20" borderId="8" xfId="0" applyFont="1" applyFill="1" applyBorder="1" applyAlignment="1">
      <alignment horizontal="center" vertical="center"/>
    </xf>
    <xf numFmtId="0" fontId="56" fillId="21" borderId="6" xfId="0" applyFont="1" applyFill="1" applyBorder="1" applyAlignment="1">
      <alignment horizontal="center" vertical="center"/>
    </xf>
    <xf numFmtId="0" fontId="56" fillId="21" borderId="8" xfId="0" applyFont="1" applyFill="1" applyBorder="1" applyAlignment="1">
      <alignment horizontal="center" vertical="center"/>
    </xf>
    <xf numFmtId="0" fontId="56" fillId="21" borderId="9" xfId="0" applyFont="1" applyFill="1" applyBorder="1" applyAlignment="1">
      <alignment horizontal="center" vertical="center"/>
    </xf>
    <xf numFmtId="0" fontId="0" fillId="22" borderId="0" xfId="0" applyFill="1"/>
    <xf numFmtId="0" fontId="66" fillId="21" borderId="5" xfId="0" applyFont="1" applyFill="1" applyBorder="1" applyAlignment="1">
      <alignment horizontal="center" vertical="center"/>
    </xf>
    <xf numFmtId="0" fontId="66" fillId="21" borderId="0" xfId="0" applyFont="1" applyFill="1" applyAlignment="1">
      <alignment horizontal="center" vertical="center"/>
    </xf>
    <xf numFmtId="0" fontId="66" fillId="21" borderId="11" xfId="0" applyFont="1" applyFill="1" applyBorder="1" applyAlignment="1">
      <alignment horizontal="center" vertical="center"/>
    </xf>
    <xf numFmtId="0" fontId="66" fillId="21" borderId="8" xfId="0" applyFont="1" applyFill="1" applyBorder="1" applyAlignment="1">
      <alignment horizontal="center" vertical="center"/>
    </xf>
    <xf numFmtId="0" fontId="66" fillId="21" borderId="9" xfId="0" applyFont="1" applyFill="1" applyBorder="1" applyAlignment="1">
      <alignment horizontal="center" vertical="center"/>
    </xf>
    <xf numFmtId="0" fontId="66" fillId="21" borderId="6" xfId="0" applyFont="1" applyFill="1" applyBorder="1" applyAlignment="1">
      <alignment horizontal="center" vertical="center"/>
    </xf>
    <xf numFmtId="0" fontId="66" fillId="0" borderId="5" xfId="0" quotePrefix="1" applyFont="1" applyBorder="1" applyAlignment="1">
      <alignment horizontal="center" vertical="center"/>
    </xf>
    <xf numFmtId="0" fontId="9" fillId="7" borderId="5" xfId="0" applyFont="1" applyFill="1" applyBorder="1" applyAlignment="1">
      <alignment horizontal="center" vertical="center"/>
    </xf>
    <xf numFmtId="0" fontId="9" fillId="7" borderId="5" xfId="0" applyFont="1" applyFill="1" applyBorder="1" applyAlignment="1">
      <alignment horizontal="center" vertical="center" wrapText="1"/>
    </xf>
    <xf numFmtId="0" fontId="59" fillId="0" borderId="0" xfId="0" applyFont="1"/>
    <xf numFmtId="0" fontId="10" fillId="0" borderId="0" xfId="0" applyFont="1" applyAlignment="1">
      <alignment wrapText="1"/>
    </xf>
    <xf numFmtId="0" fontId="67" fillId="5" borderId="31" xfId="0" applyFont="1" applyFill="1" applyBorder="1" applyAlignment="1">
      <alignment horizontal="center"/>
    </xf>
    <xf numFmtId="0" fontId="67" fillId="7" borderId="32" xfId="0" applyFont="1" applyFill="1" applyBorder="1" applyAlignment="1">
      <alignment horizontal="center"/>
    </xf>
    <xf numFmtId="0" fontId="67" fillId="5" borderId="32" xfId="0" applyFont="1" applyFill="1" applyBorder="1" applyAlignment="1">
      <alignment horizontal="center"/>
    </xf>
    <xf numFmtId="0" fontId="67" fillId="0" borderId="0" xfId="0" quotePrefix="1" applyFont="1"/>
    <xf numFmtId="0" fontId="67" fillId="0" borderId="0" xfId="0" applyFont="1" applyAlignment="1">
      <alignment horizontal="center"/>
    </xf>
    <xf numFmtId="0" fontId="67" fillId="0" borderId="0" xfId="0" applyFont="1"/>
    <xf numFmtId="0" fontId="67" fillId="6" borderId="0" xfId="0" applyFont="1" applyFill="1" applyAlignment="1">
      <alignment wrapText="1"/>
    </xf>
    <xf numFmtId="14" fontId="0" fillId="0" borderId="0" xfId="0" applyNumberFormat="1" applyAlignment="1">
      <alignment vertical="top"/>
    </xf>
    <xf numFmtId="0" fontId="0" fillId="0" borderId="0" xfId="0" applyAlignment="1">
      <alignment vertical="top"/>
    </xf>
    <xf numFmtId="0" fontId="0" fillId="0" borderId="0" xfId="0" applyAlignment="1">
      <alignment vertical="top" wrapText="1"/>
    </xf>
    <xf numFmtId="0" fontId="67" fillId="5" borderId="1" xfId="0" applyFont="1" applyFill="1" applyBorder="1" applyAlignment="1">
      <alignment horizontal="center"/>
    </xf>
    <xf numFmtId="0" fontId="67" fillId="5" borderId="3" xfId="0" applyFont="1" applyFill="1" applyBorder="1" applyAlignment="1">
      <alignment horizontal="center"/>
    </xf>
    <xf numFmtId="0" fontId="68" fillId="5" borderId="3" xfId="0" applyFont="1" applyFill="1" applyBorder="1" applyAlignment="1">
      <alignment horizontal="center"/>
    </xf>
    <xf numFmtId="0" fontId="67" fillId="5" borderId="2" xfId="0" applyFont="1" applyFill="1" applyBorder="1" applyAlignment="1">
      <alignment horizontal="center"/>
    </xf>
    <xf numFmtId="0" fontId="67" fillId="0" borderId="33" xfId="0" applyFont="1" applyBorder="1" applyAlignment="1">
      <alignment horizontal="left"/>
    </xf>
    <xf numFmtId="0" fontId="7" fillId="0" borderId="29" xfId="0" applyFont="1" applyBorder="1" applyAlignment="1">
      <alignment horizontal="left"/>
    </xf>
    <xf numFmtId="0" fontId="10" fillId="0" borderId="0" xfId="0" applyFont="1" applyBorder="1" applyAlignment="1">
      <alignment horizontal="left"/>
    </xf>
    <xf numFmtId="0" fontId="67" fillId="5" borderId="30" xfId="0" applyFont="1" applyFill="1" applyBorder="1" applyAlignment="1">
      <alignment horizontal="center"/>
    </xf>
    <xf numFmtId="0" fontId="10" fillId="5" borderId="0" xfId="0" applyFont="1" applyFill="1" applyBorder="1" applyAlignment="1">
      <alignment horizontal="center"/>
    </xf>
    <xf numFmtId="0" fontId="40" fillId="0" borderId="0" xfId="0" applyFont="1" applyFill="1"/>
    <xf numFmtId="0" fontId="18" fillId="0" borderId="12" xfId="1" applyFont="1" applyBorder="1" applyAlignment="1" applyProtection="1">
      <alignment horizontal="center"/>
    </xf>
    <xf numFmtId="0" fontId="18" fillId="0" borderId="13" xfId="1" applyFont="1" applyBorder="1" applyAlignment="1" applyProtection="1">
      <alignment horizontal="center"/>
    </xf>
    <xf numFmtId="0" fontId="18" fillId="0" borderId="13" xfId="1" applyFont="1" applyBorder="1" applyProtection="1"/>
    <xf numFmtId="0" fontId="18" fillId="0" borderId="14" xfId="1" applyFont="1" applyBorder="1" applyProtection="1"/>
    <xf numFmtId="0" fontId="1" fillId="0" borderId="0" xfId="1" applyAlignment="1" applyProtection="1">
      <alignment horizontal="center" vertical="center"/>
    </xf>
    <xf numFmtId="0" fontId="1" fillId="0" borderId="0" xfId="1" applyProtection="1"/>
    <xf numFmtId="0" fontId="18" fillId="0" borderId="0" xfId="1" applyFont="1" applyAlignment="1" applyProtection="1">
      <alignment horizontal="center"/>
    </xf>
    <xf numFmtId="0" fontId="9" fillId="0" borderId="0" xfId="1" applyFont="1" applyAlignment="1" applyProtection="1">
      <alignment horizontal="center" vertical="center"/>
    </xf>
    <xf numFmtId="0" fontId="53" fillId="13" borderId="15" xfId="1" applyFont="1" applyFill="1" applyBorder="1" applyAlignment="1" applyProtection="1">
      <alignment horizontal="left" vertical="center" wrapText="1"/>
    </xf>
    <xf numFmtId="0" fontId="35" fillId="13" borderId="15" xfId="1" applyFont="1" applyFill="1" applyBorder="1" applyAlignment="1" applyProtection="1">
      <alignment horizontal="left" vertical="center" wrapText="1"/>
    </xf>
    <xf numFmtId="0" fontId="35" fillId="13" borderId="0" xfId="1" applyFont="1" applyFill="1" applyAlignment="1" applyProtection="1">
      <alignment horizontal="center" vertical="center"/>
    </xf>
    <xf numFmtId="0" fontId="35" fillId="13" borderId="0" xfId="1" applyFont="1" applyFill="1" applyAlignment="1" applyProtection="1">
      <alignment vertical="center" wrapText="1"/>
    </xf>
    <xf numFmtId="0" fontId="50" fillId="16" borderId="16" xfId="1" applyFont="1" applyFill="1" applyBorder="1" applyAlignment="1" applyProtection="1">
      <alignment horizontal="centerContinuous" vertical="center"/>
    </xf>
    <xf numFmtId="0" fontId="19" fillId="16" borderId="17" xfId="1" applyFont="1" applyFill="1" applyBorder="1" applyAlignment="1" applyProtection="1">
      <alignment horizontal="centerContinuous" vertical="center"/>
    </xf>
    <xf numFmtId="0" fontId="50" fillId="16" borderId="17" xfId="1" applyFont="1" applyFill="1" applyBorder="1" applyAlignment="1" applyProtection="1">
      <alignment horizontal="centerContinuous" vertical="center"/>
    </xf>
    <xf numFmtId="0" fontId="37" fillId="16" borderId="17" xfId="1" applyFont="1" applyFill="1" applyBorder="1" applyAlignment="1" applyProtection="1">
      <alignment horizontal="centerContinuous"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57" fillId="2" borderId="0" xfId="1" applyFont="1" applyFill="1" applyAlignment="1" applyProtection="1">
      <alignment vertical="center"/>
    </xf>
    <xf numFmtId="0" fontId="20" fillId="2" borderId="0" xfId="1" applyFont="1" applyFill="1" applyAlignment="1" applyProtection="1">
      <alignment horizontal="center" vertical="center"/>
    </xf>
    <xf numFmtId="0" fontId="20" fillId="2" borderId="0" xfId="1" applyFont="1" applyFill="1" applyAlignment="1" applyProtection="1">
      <alignment vertical="center"/>
    </xf>
    <xf numFmtId="0" fontId="33" fillId="0" borderId="0" xfId="1" applyFont="1" applyAlignment="1" applyProtection="1">
      <alignment horizontal="right" vertical="center"/>
    </xf>
    <xf numFmtId="14" fontId="33" fillId="0" borderId="0" xfId="1" applyNumberFormat="1" applyFont="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center" vertical="center" wrapText="1"/>
    </xf>
    <xf numFmtId="0" fontId="22" fillId="0" borderId="0" xfId="1" applyFont="1" applyAlignment="1" applyProtection="1">
      <alignment vertical="top" wrapText="1"/>
    </xf>
    <xf numFmtId="0" fontId="23" fillId="12" borderId="0" xfId="1" applyFont="1" applyFill="1" applyAlignment="1" applyProtection="1">
      <alignment horizontal="center" vertical="center"/>
    </xf>
    <xf numFmtId="0" fontId="23" fillId="12" borderId="0" xfId="1" applyFont="1" applyFill="1" applyAlignment="1" applyProtection="1">
      <alignment horizontal="left" vertical="center" indent="1"/>
    </xf>
    <xf numFmtId="0" fontId="23" fillId="12" borderId="22" xfId="1" applyFont="1" applyFill="1" applyBorder="1" applyAlignment="1" applyProtection="1">
      <alignment horizontal="left" vertical="center"/>
    </xf>
    <xf numFmtId="0" fontId="23" fillId="12" borderId="0" xfId="1" applyFont="1" applyFill="1" applyAlignment="1" applyProtection="1">
      <alignment horizontal="left" vertical="center"/>
    </xf>
    <xf numFmtId="0" fontId="23" fillId="12" borderId="18" xfId="1" applyFont="1" applyFill="1" applyBorder="1" applyAlignment="1" applyProtection="1">
      <alignment horizontal="left" vertical="center"/>
    </xf>
    <xf numFmtId="0" fontId="23" fillId="12" borderId="0" xfId="1" applyFont="1" applyFill="1" applyAlignment="1" applyProtection="1">
      <alignment vertical="center"/>
    </xf>
    <xf numFmtId="0" fontId="24" fillId="2" borderId="0" xfId="1" applyFont="1" applyFill="1" applyAlignment="1" applyProtection="1">
      <alignment horizontal="center"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2" borderId="0" xfId="1" applyFont="1" applyFill="1" applyAlignment="1" applyProtection="1">
      <alignment horizontal="left" vertical="center" shrinkToFit="1"/>
    </xf>
    <xf numFmtId="0" fontId="42" fillId="14" borderId="0" xfId="0" applyFont="1" applyFill="1" applyAlignment="1" applyProtection="1">
      <alignment horizontal="center" vertical="center" wrapText="1"/>
    </xf>
    <xf numFmtId="0" fontId="23" fillId="12" borderId="22" xfId="1" applyFont="1" applyFill="1" applyBorder="1" applyAlignment="1" applyProtection="1">
      <alignment horizontal="center" vertical="center" wrapText="1"/>
    </xf>
    <xf numFmtId="0" fontId="23" fillId="12" borderId="0" xfId="1" applyFont="1" applyFill="1" applyAlignment="1" applyProtection="1">
      <alignment horizontal="center" vertical="center" wrapText="1"/>
    </xf>
    <xf numFmtId="0" fontId="23" fillId="12" borderId="18" xfId="1" applyFont="1" applyFill="1" applyBorder="1" applyAlignment="1" applyProtection="1">
      <alignment horizontal="center" vertical="center" wrapText="1"/>
    </xf>
    <xf numFmtId="0" fontId="22" fillId="0" borderId="19" xfId="1" applyFont="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0" xfId="1" applyFont="1" applyBorder="1" applyAlignment="1" applyProtection="1">
      <alignment vertical="center" shrinkToFit="1"/>
    </xf>
    <xf numFmtId="0" fontId="25" fillId="0" borderId="20" xfId="1" applyFont="1" applyBorder="1" applyAlignment="1" applyProtection="1">
      <alignment horizontal="center" vertical="center" wrapText="1"/>
    </xf>
    <xf numFmtId="0" fontId="22" fillId="0" borderId="23" xfId="1" applyFont="1" applyBorder="1" applyAlignment="1" applyProtection="1">
      <alignment horizontal="center" vertical="center" wrapText="1"/>
    </xf>
    <xf numFmtId="0" fontId="22" fillId="0" borderId="24" xfId="1" applyFont="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9" borderId="19" xfId="1" applyFont="1" applyFill="1" applyBorder="1" applyAlignment="1" applyProtection="1">
      <alignment horizontal="center" vertical="center" wrapText="1"/>
    </xf>
    <xf numFmtId="0" fontId="22" fillId="9" borderId="20" xfId="1" applyFont="1" applyFill="1" applyBorder="1" applyAlignment="1" applyProtection="1">
      <alignment horizontal="center" vertical="center" wrapText="1"/>
    </xf>
    <xf numFmtId="0" fontId="22" fillId="9" borderId="20" xfId="1" applyFont="1" applyFill="1" applyBorder="1" applyAlignment="1" applyProtection="1">
      <alignment vertical="center" shrinkToFit="1"/>
    </xf>
    <xf numFmtId="0" fontId="25" fillId="9" borderId="20" xfId="1" applyFont="1" applyFill="1" applyBorder="1" applyAlignment="1" applyProtection="1">
      <alignment horizontal="center" vertical="center" wrapText="1"/>
    </xf>
    <xf numFmtId="0" fontId="22" fillId="9" borderId="23" xfId="1" applyFont="1" applyFill="1" applyBorder="1" applyAlignment="1" applyProtection="1">
      <alignment horizontal="center" vertical="center" wrapText="1"/>
    </xf>
    <xf numFmtId="0" fontId="22" fillId="9" borderId="24" xfId="1" applyFont="1" applyFill="1" applyBorder="1" applyAlignment="1" applyProtection="1">
      <alignment horizontal="center" vertical="center" wrapText="1"/>
    </xf>
    <xf numFmtId="0" fontId="26" fillId="9" borderId="0" xfId="1" applyFont="1" applyFill="1" applyAlignment="1" applyProtection="1">
      <alignment horizontal="center" vertical="center" wrapText="1"/>
    </xf>
    <xf numFmtId="0" fontId="22" fillId="5" borderId="19" xfId="1" applyFont="1" applyFill="1" applyBorder="1" applyAlignment="1" applyProtection="1">
      <alignment horizontal="center" vertical="center" wrapText="1"/>
    </xf>
    <xf numFmtId="0" fontId="22" fillId="5" borderId="20" xfId="1" applyFont="1" applyFill="1" applyBorder="1" applyAlignment="1" applyProtection="1">
      <alignment horizontal="center" vertical="center" wrapText="1"/>
    </xf>
    <xf numFmtId="0" fontId="22" fillId="5" borderId="20" xfId="1" applyFont="1" applyFill="1" applyBorder="1" applyAlignment="1" applyProtection="1">
      <alignment vertical="center" shrinkToFit="1"/>
    </xf>
    <xf numFmtId="0" fontId="25" fillId="5" borderId="20" xfId="1" applyFont="1" applyFill="1" applyBorder="1" applyAlignment="1" applyProtection="1">
      <alignment horizontal="center" vertical="center" wrapText="1"/>
    </xf>
    <xf numFmtId="0" fontId="22" fillId="5" borderId="23" xfId="1" applyFont="1" applyFill="1" applyBorder="1" applyAlignment="1" applyProtection="1">
      <alignment horizontal="center" vertical="center" wrapText="1"/>
    </xf>
    <xf numFmtId="0" fontId="22" fillId="5" borderId="24" xfId="1" applyFont="1" applyFill="1" applyBorder="1" applyAlignment="1" applyProtection="1">
      <alignment horizontal="center" vertical="center" wrapText="1"/>
    </xf>
    <xf numFmtId="0" fontId="26" fillId="5" borderId="0" xfId="1" applyFont="1" applyFill="1" applyAlignment="1" applyProtection="1">
      <alignment horizontal="center" vertical="center" wrapText="1"/>
    </xf>
    <xf numFmtId="0" fontId="22" fillId="16" borderId="14" xfId="1" applyFont="1" applyFill="1" applyBorder="1" applyAlignment="1" applyProtection="1">
      <alignment horizontal="center" vertical="center" wrapText="1"/>
    </xf>
    <xf numFmtId="0" fontId="22" fillId="16" borderId="0" xfId="1" applyFont="1" applyFill="1" applyAlignment="1" applyProtection="1">
      <alignment horizontal="center" vertical="center" wrapText="1"/>
    </xf>
    <xf numFmtId="0" fontId="22" fillId="16" borderId="0" xfId="1" applyFont="1" applyFill="1" applyAlignment="1" applyProtection="1">
      <alignment vertical="center" shrinkToFit="1"/>
    </xf>
    <xf numFmtId="0" fontId="25" fillId="16" borderId="0" xfId="1" applyFont="1" applyFill="1" applyAlignment="1" applyProtection="1">
      <alignment horizontal="left" vertical="center" wrapText="1"/>
    </xf>
    <xf numFmtId="0" fontId="22" fillId="16" borderId="22" xfId="1" applyFont="1" applyFill="1" applyBorder="1" applyAlignment="1" applyProtection="1">
      <alignment horizontal="center" vertical="center" wrapText="1"/>
    </xf>
    <xf numFmtId="0" fontId="22" fillId="16" borderId="18" xfId="1" applyFont="1" applyFill="1" applyBorder="1" applyAlignment="1" applyProtection="1">
      <alignment horizontal="center" vertical="center" wrapText="1"/>
    </xf>
    <xf numFmtId="0" fontId="22" fillId="0" borderId="20" xfId="1" applyFont="1" applyBorder="1" applyAlignment="1" applyProtection="1">
      <alignment horizontal="left" vertical="center" shrinkToFit="1"/>
    </xf>
    <xf numFmtId="0" fontId="24" fillId="2" borderId="0" xfId="1" applyFont="1" applyFill="1" applyProtection="1"/>
    <xf numFmtId="0" fontId="25" fillId="2" borderId="0" xfId="1" applyFont="1" applyFill="1" applyProtection="1"/>
    <xf numFmtId="0" fontId="22" fillId="9" borderId="20" xfId="1" applyFont="1" applyFill="1" applyBorder="1" applyAlignment="1" applyProtection="1">
      <alignment horizontal="left" vertical="center" shrinkToFit="1"/>
    </xf>
    <xf numFmtId="0" fontId="22" fillId="5" borderId="20" xfId="1" applyFont="1" applyFill="1" applyBorder="1" applyAlignment="1" applyProtection="1">
      <alignment horizontal="left" vertical="center" shrinkToFit="1"/>
    </xf>
    <xf numFmtId="0" fontId="28" fillId="2" borderId="0" xfId="1" applyFont="1" applyFill="1" applyAlignment="1" applyProtection="1">
      <alignment horizontal="left" vertical="center" wrapText="1"/>
    </xf>
    <xf numFmtId="0" fontId="29" fillId="2" borderId="0" xfId="1" applyFont="1" applyFill="1" applyAlignment="1" applyProtection="1">
      <alignment horizontal="left" vertical="center" wrapText="1"/>
    </xf>
    <xf numFmtId="0" fontId="29" fillId="2" borderId="0" xfId="1" applyFont="1" applyFill="1" applyAlignment="1" applyProtection="1">
      <alignment horizontal="center" vertical="center" wrapText="1"/>
    </xf>
    <xf numFmtId="0" fontId="30" fillId="2" borderId="0" xfId="1" applyFont="1" applyFill="1" applyAlignment="1" applyProtection="1">
      <alignment vertical="center"/>
    </xf>
    <xf numFmtId="0" fontId="31" fillId="2" borderId="0" xfId="1" applyFont="1" applyFill="1" applyAlignment="1" applyProtection="1">
      <alignment horizontal="center" vertical="center"/>
    </xf>
    <xf numFmtId="0" fontId="31" fillId="2" borderId="0" xfId="1" applyFont="1" applyFill="1" applyProtection="1"/>
    <xf numFmtId="0" fontId="12" fillId="2" borderId="0" xfId="1" applyFont="1" applyFill="1" applyProtection="1"/>
    <xf numFmtId="0" fontId="48" fillId="13" borderId="0" xfId="1" applyFont="1" applyFill="1" applyAlignment="1" applyProtection="1">
      <alignment horizontal="left" vertical="center" readingOrder="1"/>
    </xf>
    <xf numFmtId="0" fontId="33" fillId="13" borderId="0" xfId="1" applyFont="1" applyFill="1" applyAlignment="1" applyProtection="1">
      <alignment horizontal="left" vertical="center" readingOrder="1"/>
    </xf>
    <xf numFmtId="0" fontId="21" fillId="13" borderId="0" xfId="1" applyFont="1" applyFill="1" applyAlignment="1" applyProtection="1">
      <alignment horizontal="left" vertical="center" readingOrder="1"/>
    </xf>
    <xf numFmtId="0" fontId="36" fillId="13" borderId="0" xfId="1" applyFont="1" applyFill="1" applyAlignment="1" applyProtection="1">
      <alignment horizontal="center" vertical="center"/>
    </xf>
    <xf numFmtId="0" fontId="36" fillId="13" borderId="0" xfId="1" applyFont="1" applyFill="1" applyAlignment="1" applyProtection="1">
      <alignment horizontal="center" vertical="center" readingOrder="1"/>
    </xf>
    <xf numFmtId="0" fontId="23" fillId="13" borderId="22" xfId="1" applyFont="1" applyFill="1" applyBorder="1" applyAlignment="1" applyProtection="1">
      <alignment vertical="center" readingOrder="1"/>
    </xf>
    <xf numFmtId="0" fontId="23" fillId="13" borderId="0" xfId="1" applyFont="1" applyFill="1" applyAlignment="1" applyProtection="1">
      <alignment vertical="center" readingOrder="1"/>
    </xf>
    <xf numFmtId="0" fontId="36" fillId="13" borderId="0" xfId="1" applyFont="1" applyFill="1" applyAlignment="1" applyProtection="1">
      <alignment vertical="center" readingOrder="1"/>
    </xf>
    <xf numFmtId="0" fontId="36" fillId="13" borderId="18" xfId="1" applyFont="1" applyFill="1" applyBorder="1" applyAlignment="1" applyProtection="1">
      <alignment vertical="center" readingOrder="1"/>
    </xf>
    <xf numFmtId="0" fontId="34" fillId="13" borderId="0" xfId="1" applyFont="1" applyFill="1" applyProtection="1"/>
    <xf numFmtId="0" fontId="57" fillId="9" borderId="0" xfId="1" applyFont="1" applyFill="1" applyAlignment="1" applyProtection="1">
      <alignment vertical="center"/>
    </xf>
    <xf numFmtId="0" fontId="38" fillId="9" borderId="0" xfId="1" applyFont="1" applyFill="1" applyAlignment="1" applyProtection="1">
      <alignment horizontal="left" vertical="top" indent="1"/>
    </xf>
    <xf numFmtId="0" fontId="32" fillId="9" borderId="0" xfId="1" applyFont="1" applyFill="1" applyAlignment="1" applyProtection="1">
      <alignment horizontal="left" vertical="center" shrinkToFit="1" readingOrder="1"/>
    </xf>
    <xf numFmtId="0" fontId="62" fillId="9" borderId="0" xfId="1" applyFont="1" applyFill="1" applyAlignment="1" applyProtection="1">
      <alignment horizontal="center" vertical="center" wrapText="1"/>
    </xf>
    <xf numFmtId="0" fontId="62" fillId="9" borderId="0" xfId="1" applyFont="1" applyFill="1" applyAlignment="1" applyProtection="1">
      <alignment horizontal="center" vertical="center" shrinkToFit="1"/>
    </xf>
    <xf numFmtId="0" fontId="62" fillId="9" borderId="0" xfId="1" applyFont="1" applyFill="1" applyAlignment="1" applyProtection="1">
      <alignment horizontal="center" vertical="center"/>
    </xf>
    <xf numFmtId="0" fontId="62" fillId="9" borderId="22" xfId="1" applyFont="1" applyFill="1" applyBorder="1" applyAlignment="1" applyProtection="1">
      <alignment horizontal="center" vertical="center" wrapText="1"/>
    </xf>
    <xf numFmtId="0" fontId="62" fillId="9" borderId="18" xfId="1" applyFont="1" applyFill="1" applyBorder="1" applyAlignment="1" applyProtection="1">
      <alignment horizontal="center" vertical="center" wrapText="1"/>
    </xf>
    <xf numFmtId="0" fontId="1" fillId="0" borderId="0" xfId="1" applyAlignment="1" applyProtection="1">
      <alignment horizontal="center" vertical="top"/>
    </xf>
    <xf numFmtId="0" fontId="32" fillId="0" borderId="19" xfId="1" applyFont="1" applyBorder="1" applyAlignment="1" applyProtection="1">
      <alignment horizontal="center" vertical="center"/>
    </xf>
    <xf numFmtId="0" fontId="32" fillId="0" borderId="20" xfId="1" applyFont="1" applyBorder="1" applyAlignment="1" applyProtection="1">
      <alignment horizontal="center" vertical="center"/>
    </xf>
    <xf numFmtId="0" fontId="32" fillId="0" borderId="20" xfId="1" applyFont="1" applyBorder="1" applyAlignment="1" applyProtection="1">
      <alignment vertical="center"/>
    </xf>
    <xf numFmtId="0" fontId="32" fillId="0" borderId="20" xfId="1" applyFont="1" applyBorder="1" applyAlignment="1" applyProtection="1">
      <alignment vertical="center" shrinkToFit="1" readingOrder="1"/>
    </xf>
    <xf numFmtId="0" fontId="32" fillId="0" borderId="20" xfId="1" applyFont="1" applyBorder="1" applyAlignment="1" applyProtection="1">
      <alignment horizontal="center" vertical="center" wrapText="1"/>
    </xf>
    <xf numFmtId="0" fontId="25" fillId="2" borderId="20" xfId="1" applyFont="1" applyFill="1" applyBorder="1" applyAlignment="1" applyProtection="1">
      <alignment horizontal="center" vertical="center" shrinkToFit="1"/>
    </xf>
    <xf numFmtId="0" fontId="22" fillId="2" borderId="23" xfId="1" applyFont="1" applyFill="1" applyBorder="1" applyAlignment="1" applyProtection="1">
      <alignment horizontal="center" vertical="center"/>
    </xf>
    <xf numFmtId="0" fontId="22" fillId="2" borderId="20" xfId="1" applyFont="1" applyFill="1" applyBorder="1" applyAlignment="1" applyProtection="1">
      <alignment horizontal="center" vertical="center"/>
    </xf>
    <xf numFmtId="0" fontId="22" fillId="2" borderId="24" xfId="1" applyFont="1" applyFill="1" applyBorder="1" applyAlignment="1" applyProtection="1">
      <alignment horizontal="center" vertical="center"/>
    </xf>
    <xf numFmtId="0" fontId="49" fillId="0" borderId="0" xfId="1" applyFont="1" applyAlignment="1" applyProtection="1">
      <alignment horizontal="center" vertical="center"/>
    </xf>
    <xf numFmtId="0" fontId="49" fillId="0" borderId="0" xfId="1" applyFont="1" applyProtection="1"/>
    <xf numFmtId="0" fontId="57" fillId="5" borderId="0" xfId="1" applyFont="1" applyFill="1" applyAlignment="1" applyProtection="1">
      <alignment vertical="center"/>
    </xf>
    <xf numFmtId="0" fontId="38" fillId="5" borderId="0" xfId="1" applyFont="1" applyFill="1" applyAlignment="1" applyProtection="1">
      <alignment horizontal="left" vertical="top" indent="1"/>
    </xf>
    <xf numFmtId="0" fontId="32" fillId="5" borderId="0" xfId="1" applyFont="1" applyFill="1" applyAlignment="1" applyProtection="1">
      <alignment horizontal="left" vertical="center" readingOrder="1"/>
    </xf>
    <xf numFmtId="0" fontId="38" fillId="5" borderId="0" xfId="1" applyFont="1" applyFill="1" applyAlignment="1" applyProtection="1">
      <alignment horizontal="center" vertical="top"/>
    </xf>
    <xf numFmtId="0" fontId="62" fillId="5" borderId="0" xfId="1" applyFont="1" applyFill="1" applyAlignment="1" applyProtection="1">
      <alignment horizontal="center" vertical="center" shrinkToFit="1"/>
    </xf>
    <xf numFmtId="0" fontId="62" fillId="5" borderId="0" xfId="1" applyFont="1" applyFill="1" applyAlignment="1" applyProtection="1">
      <alignment horizontal="center" vertical="center"/>
    </xf>
    <xf numFmtId="0" fontId="62" fillId="5" borderId="22" xfId="1" applyFont="1" applyFill="1" applyBorder="1" applyAlignment="1" applyProtection="1">
      <alignment horizontal="center" vertical="center" wrapText="1"/>
    </xf>
    <xf numFmtId="0" fontId="62" fillId="5" borderId="0" xfId="1" applyFont="1" applyFill="1" applyAlignment="1" applyProtection="1">
      <alignment horizontal="center" vertical="center" wrapText="1"/>
    </xf>
    <xf numFmtId="0" fontId="62" fillId="5" borderId="18" xfId="1" applyFont="1" applyFill="1" applyBorder="1" applyAlignment="1" applyProtection="1">
      <alignment horizontal="center" vertical="center" wrapText="1"/>
    </xf>
    <xf numFmtId="0" fontId="27" fillId="2" borderId="0" xfId="1" applyFont="1" applyFill="1" applyAlignment="1" applyProtection="1">
      <alignment horizontal="center" vertical="center" wrapText="1"/>
    </xf>
    <xf numFmtId="0" fontId="28" fillId="2" borderId="0" xfId="1" applyFont="1" applyFill="1" applyAlignment="1" applyProtection="1">
      <alignment vertical="center"/>
    </xf>
    <xf numFmtId="0" fontId="12" fillId="2" borderId="0" xfId="1" applyFont="1" applyFill="1" applyAlignment="1" applyProtection="1">
      <alignment horizontal="center" vertical="center"/>
    </xf>
    <xf numFmtId="0" fontId="30" fillId="2" borderId="0" xfId="1" applyFont="1" applyFill="1" applyAlignment="1" applyProtection="1">
      <alignment horizontal="right" vertical="center"/>
    </xf>
    <xf numFmtId="0" fontId="23" fillId="13" borderId="0" xfId="1" applyFont="1" applyFill="1" applyAlignment="1" applyProtection="1">
      <alignment horizontal="center" vertical="center"/>
    </xf>
    <xf numFmtId="0" fontId="23" fillId="13" borderId="0" xfId="1" applyFont="1" applyFill="1" applyAlignment="1" applyProtection="1">
      <alignment horizontal="left" vertical="center" indent="1"/>
    </xf>
    <xf numFmtId="0" fontId="42" fillId="19" borderId="0" xfId="0" applyFont="1" applyFill="1" applyAlignment="1" applyProtection="1">
      <alignment horizontal="center" vertical="center" wrapText="1"/>
    </xf>
    <xf numFmtId="0" fontId="23" fillId="13" borderId="22" xfId="1" applyFont="1" applyFill="1" applyBorder="1" applyAlignment="1" applyProtection="1">
      <alignment horizontal="center" vertical="center" wrapText="1"/>
    </xf>
    <xf numFmtId="0" fontId="23" fillId="13" borderId="0" xfId="1" applyFont="1" applyFill="1" applyAlignment="1" applyProtection="1">
      <alignment horizontal="center" vertical="center" wrapText="1"/>
    </xf>
    <xf numFmtId="0" fontId="23" fillId="13" borderId="18" xfId="1" applyFont="1" applyFill="1" applyBorder="1" applyAlignment="1" applyProtection="1">
      <alignment horizontal="center" vertical="center" wrapText="1"/>
    </xf>
    <xf numFmtId="0" fontId="25" fillId="2" borderId="20" xfId="1" applyFont="1" applyFill="1" applyBorder="1" applyAlignment="1" applyProtection="1">
      <alignment horizontal="center" vertical="center" wrapText="1"/>
    </xf>
    <xf numFmtId="0" fontId="0" fillId="0" borderId="0" xfId="0" applyProtection="1"/>
  </cellXfs>
  <cellStyles count="3">
    <cellStyle name="Hyperlink" xfId="2" builtinId="8"/>
    <cellStyle name="Normal" xfId="0" builtinId="0"/>
    <cellStyle name="Normal 2" xfId="1"/>
  </cellStyles>
  <dxfs count="373">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indent="0" justifyLastLine="0" shrinkToFit="0" readingOrder="0"/>
    </dxf>
    <dxf>
      <numFmt numFmtId="19" formatCode="d/mm/yyyy"/>
      <alignment horizontal="general" vertical="top" textRotation="0" indent="0" justifyLastLine="0" shrinkToFit="0" readingOrder="0"/>
    </dxf>
    <dxf>
      <numFmt numFmtId="19" formatCode="d/mm/yyyy"/>
      <alignment horizontal="general" vertical="top" textRotation="0" indent="0" justifyLastLine="0" shrinkToFit="0" readingOrder="0"/>
    </dxf>
    <dxf>
      <alignment horizontal="general" vertical="top" textRotation="0" indent="0" justifyLastLine="0" shrinkToFit="0" readingOrder="0"/>
    </dxf>
    <dxf>
      <fill>
        <patternFill>
          <bgColor rgb="FF92D050"/>
        </patternFill>
      </fil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C0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rgb="FFFFFF00"/>
        </patternFill>
      </fill>
      <alignment horizontal="center" vertical="bottom" textRotation="0" wrapText="0" indent="0" justifyLastLine="0" shrinkToFit="0" readingOrder="0"/>
      <border diagonalUp="0" diagonalDown="0">
        <left style="thin">
          <color theme="0" tint="-0.24994659260841701"/>
        </left>
        <right/>
        <top/>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indexed="64"/>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indexed="64"/>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outline="0">
        <left style="thin">
          <color indexed="64"/>
        </left>
        <right style="thin">
          <color theme="0" tint="-0.24994659260841701"/>
        </right>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auto="1"/>
        <name val="Arial"/>
        <scheme val="none"/>
      </font>
      <numFmt numFmtId="19" formatCode="d/mm/yyyy"/>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indent="0" justifyLastLine="0" shrinkToFit="0" readingOrder="0"/>
    </dxf>
    <dxf>
      <font>
        <b val="0"/>
        <i val="0"/>
        <strike val="0"/>
        <condense val="0"/>
        <extend val="0"/>
        <outline val="0"/>
        <shadow val="0"/>
        <u val="none"/>
        <vertAlign val="baseline"/>
        <sz val="10"/>
        <color theme="1"/>
        <name val="Arial"/>
        <scheme val="none"/>
      </font>
    </dxf>
    <dxf>
      <font>
        <b/>
        <i val="0"/>
      </font>
      <fill>
        <patternFill>
          <bgColor theme="0" tint="-0.14996795556505021"/>
        </patternFill>
      </fill>
    </dxf>
    <dxf>
      <fill>
        <patternFill patternType="none">
          <bgColor auto="1"/>
        </patternFill>
      </fill>
    </dxf>
    <dxf>
      <font>
        <b val="0"/>
        <i/>
      </font>
      <fill>
        <patternFill>
          <bgColor theme="0" tint="-0.14996795556505021"/>
        </patternFill>
      </fill>
    </dxf>
    <dxf>
      <fill>
        <patternFill>
          <bgColor theme="0" tint="-0.14996795556505021"/>
        </patternFill>
      </fill>
    </dxf>
    <dxf>
      <font>
        <b/>
        <i/>
        <color rgb="FFFF0000"/>
      </font>
    </dxf>
  </dxfs>
  <tableStyles count="0" defaultTableStyle="TableStyleMedium2" defaultPivotStyle="PivotStyleLight16"/>
  <colors>
    <mruColors>
      <color rgb="FFB4FFFF"/>
      <color rgb="FFF49AC1"/>
      <color rgb="FFFFE699"/>
      <color rgb="FF0D4B6D"/>
      <color rgb="FF919296"/>
      <color rgb="FFF2F2F2"/>
      <color rgb="FFB4C6E7"/>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171451</xdr:colOff>
      <xdr:row>3</xdr:row>
      <xdr:rowOff>57150</xdr:rowOff>
    </xdr:from>
    <xdr:ext cx="5629275" cy="7920694"/>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772901" y="561975"/>
          <a:ext cx="5629275" cy="7920694"/>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b="1" u="sng"/>
            <a:t>Enrolment Guidelines (Full-Time Study)</a:t>
          </a:r>
        </a:p>
        <a:p>
          <a:pPr algn="ctr"/>
          <a:r>
            <a:rPr lang="en-AU" b="1"/>
            <a:t>Bachelor of Arts</a:t>
          </a:r>
        </a:p>
        <a:p>
          <a:pPr algn="ctr"/>
          <a:endParaRPr lang="en-AU" b="1"/>
        </a:p>
        <a:p>
          <a:pPr algn="ctr"/>
          <a:r>
            <a:rPr lang="en-AU" b="1">
              <a:solidFill>
                <a:srgbClr val="FF0000"/>
              </a:solidFill>
            </a:rPr>
            <a:t>Semester</a:t>
          </a:r>
          <a:r>
            <a:rPr lang="en-AU" b="1" baseline="0">
              <a:solidFill>
                <a:srgbClr val="FF0000"/>
              </a:solidFill>
            </a:rPr>
            <a:t> 2 Commencement only</a:t>
          </a:r>
          <a:endParaRPr lang="en-AU" b="1">
            <a:solidFill>
              <a:srgbClr val="FF0000"/>
            </a:solidFill>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First Major and your Second Major.</a:t>
          </a:r>
          <a:endParaRPr lang="en-AU">
            <a:effectLst/>
          </a:endParaRPr>
        </a:p>
        <a:p>
          <a:pPr algn="ctr"/>
          <a:endParaRPr lang="en-AU" b="0"/>
        </a:p>
        <a:p>
          <a:r>
            <a:rPr lang="en-AU" b="0"/>
            <a:t>Students select and study a Single Arts Major and a Second Major from Arts or another Faculty, OR students select and study a Single Arts Major and expand their knowledge with Specialisations and Electives.</a:t>
          </a:r>
        </a:p>
        <a:p>
          <a:endParaRPr lang="en-AU" b="0"/>
        </a:p>
        <a:p>
          <a:r>
            <a:rPr lang="en-AU" b="0"/>
            <a:t>This planner shows the </a:t>
          </a:r>
          <a:r>
            <a:rPr lang="en-AU" b="1" u="sng"/>
            <a:t>recommended</a:t>
          </a:r>
          <a:r>
            <a:rPr lang="en-AU" b="0"/>
            <a:t> sequence of </a:t>
          </a:r>
          <a:r>
            <a:rPr lang="en-AU" b="1"/>
            <a:t>full-time study </a:t>
          </a:r>
          <a:r>
            <a:rPr lang="en-AU" b="0"/>
            <a:t>based on your study period of commencement.  The standard full-time study load is </a:t>
          </a:r>
          <a:r>
            <a:rPr lang="en-AU" b="1"/>
            <a:t>100 credit points </a:t>
          </a:r>
          <a:r>
            <a:rPr lang="en-AU" b="0"/>
            <a:t>per semester. Units may not be offered in every study period and may not be available at the time that you wish to study them. Your progression in the degree may be impacted if you do not follow the recommended sequence of enrolment.</a:t>
          </a:r>
        </a:p>
        <a:p>
          <a:endParaRPr lang="en-AU" b="0"/>
        </a:p>
        <a:p>
          <a:r>
            <a:rPr lang="en-AU" b="0"/>
            <a:t>Note:</a:t>
          </a:r>
          <a:r>
            <a:rPr lang="en-AU" b="0" baseline="0"/>
            <a:t> </a:t>
          </a:r>
          <a:r>
            <a:rPr lang="en-AU" sz="1100" b="1" i="1">
              <a:solidFill>
                <a:schemeClr val="dk1"/>
              </a:solidFill>
              <a:effectLst/>
              <a:latin typeface="+mn-lt"/>
              <a:ea typeface="+mn-ea"/>
              <a:cs typeface="+mn-cs"/>
            </a:rPr>
            <a:t>Fine</a:t>
          </a:r>
          <a:r>
            <a:rPr lang="en-AU" sz="1100" b="1" i="1" baseline="0">
              <a:solidFill>
                <a:schemeClr val="dk1"/>
              </a:solidFill>
              <a:effectLst/>
              <a:latin typeface="+mn-lt"/>
              <a:ea typeface="+mn-ea"/>
              <a:cs typeface="+mn-cs"/>
            </a:rPr>
            <a:t> Art Major (BCA)</a:t>
          </a:r>
          <a:r>
            <a:rPr lang="en-AU" sz="1100" b="0" i="0" baseline="0">
              <a:solidFill>
                <a:schemeClr val="dk1"/>
              </a:solidFill>
              <a:effectLst/>
              <a:latin typeface="+mn-lt"/>
              <a:ea typeface="+mn-ea"/>
              <a:cs typeface="+mn-cs"/>
            </a:rPr>
            <a:t> &amp; </a:t>
          </a:r>
          <a:r>
            <a:rPr lang="en-AU" sz="1100" b="1" i="1" baseline="0">
              <a:solidFill>
                <a:schemeClr val="dk1"/>
              </a:solidFill>
              <a:effectLst/>
              <a:latin typeface="+mn-lt"/>
              <a:ea typeface="+mn-ea"/>
              <a:cs typeface="+mn-cs"/>
            </a:rPr>
            <a:t>Korean Studies Major</a:t>
          </a:r>
          <a:r>
            <a:rPr lang="en-AU" sz="1100" b="0" i="0" baseline="0">
              <a:solidFill>
                <a:schemeClr val="dk1"/>
              </a:solidFill>
              <a:effectLst/>
              <a:latin typeface="+mn-lt"/>
              <a:ea typeface="+mn-ea"/>
              <a:cs typeface="+mn-cs"/>
            </a:rPr>
            <a:t> are not available for full-time study with Semester</a:t>
          </a:r>
          <a:r>
            <a:rPr lang="en-AU" sz="1100" b="0" baseline="0">
              <a:solidFill>
                <a:schemeClr val="dk1"/>
              </a:solidFill>
              <a:effectLst/>
              <a:latin typeface="+mn-lt"/>
              <a:ea typeface="+mn-ea"/>
              <a:cs typeface="+mn-cs"/>
            </a:rPr>
            <a:t> 2 commencement, please contact your Major Coordinator for advice.</a:t>
          </a:r>
          <a:endParaRPr lang="en-AU">
            <a:effectLst/>
          </a:endParaRPr>
        </a:p>
        <a:p>
          <a:endParaRPr lang="en-AU" b="0"/>
        </a:p>
        <a:p>
          <a:r>
            <a:rPr lang="en-AU" b="0"/>
            <a:t>If you wish to enrol in a part-time load, please contact Curtin Connect or your Major Coordinator to develop an ad hoc study plan OR please select one or two units from the four listed for each study period.</a:t>
          </a:r>
        </a:p>
        <a:p>
          <a:endParaRPr lang="en-AU" b="0"/>
        </a:p>
        <a:p>
          <a:r>
            <a:rPr lang="en-AU" b="1"/>
            <a:t>Recommended First Year Options</a:t>
          </a:r>
        </a:p>
        <a:p>
          <a:r>
            <a:rPr lang="en-AU" b="0"/>
            <a:t>Your </a:t>
          </a:r>
          <a:r>
            <a:rPr lang="en-AU" b="0" baseline="0"/>
            <a:t>Majors may include one or two </a:t>
          </a:r>
          <a:r>
            <a:rPr lang="en-AU" b="1" baseline="0"/>
            <a:t>RECOMMENDED </a:t>
          </a:r>
          <a:r>
            <a:rPr lang="en-AU" b="0" baseline="0"/>
            <a:t>Year 1 Option Units. It is highly recommended you select and study the recommended units as Year 1 </a:t>
          </a:r>
          <a:r>
            <a:rPr lang="en-AU" b="1" u="sng" baseline="0"/>
            <a:t>Option Units</a:t>
          </a:r>
          <a:r>
            <a:rPr lang="en-AU" b="0" baseline="0"/>
            <a:t>  (highlighted in GREEN or BLUE on planner) in your </a:t>
          </a:r>
          <a:r>
            <a:rPr lang="en-AU" b="1" baseline="0"/>
            <a:t>first year </a:t>
          </a:r>
          <a:r>
            <a:rPr lang="en-AU" b="0" baseline="0"/>
            <a:t>of study. Please note: the </a:t>
          </a:r>
          <a:r>
            <a:rPr lang="en-AU" sz="1100" b="0" baseline="0">
              <a:solidFill>
                <a:schemeClr val="dk1"/>
              </a:solidFill>
              <a:effectLst/>
              <a:latin typeface="+mn-lt"/>
              <a:ea typeface="+mn-ea"/>
              <a:cs typeface="+mn-cs"/>
            </a:rPr>
            <a:t>recommended Year 1 option units for the </a:t>
          </a:r>
          <a:r>
            <a:rPr lang="en-AU" b="0" i="1" baseline="0"/>
            <a:t>Journalism Major </a:t>
          </a:r>
          <a:r>
            <a:rPr lang="en-AU" b="0" baseline="0"/>
            <a:t>and the </a:t>
          </a:r>
          <a:r>
            <a:rPr lang="en-AU" b="0" i="1" baseline="0"/>
            <a:t>Korean Studies Major </a:t>
          </a:r>
          <a:r>
            <a:rPr lang="en-AU" b="0" baseline="0"/>
            <a:t>are Pre Requisites for units studied later in the Major.</a:t>
          </a:r>
        </a:p>
        <a:p>
          <a:endParaRPr lang="en-AU" b="0" baseline="0"/>
        </a:p>
        <a:p>
          <a:r>
            <a:rPr lang="en-AU" b="1"/>
            <a:t>Notes for International Students </a:t>
          </a:r>
          <a:r>
            <a:rPr lang="en-AU" b="0"/>
            <a:t> </a:t>
          </a:r>
        </a:p>
        <a:p>
          <a:r>
            <a:rPr lang="en-AU" b="0"/>
            <a:t>You are expected to study all of your units face-to-face for at least the first year of your course. It is your responsibility to ensure that you meet all conditions of your student visa.  </a:t>
          </a:r>
        </a:p>
        <a:p>
          <a:endParaRPr lang="en-AU" b="0"/>
        </a:p>
        <a:p>
          <a:r>
            <a:rPr lang="en-AU" b="1"/>
            <a:t>Pre-requisites</a:t>
          </a:r>
        </a:p>
        <a:p>
          <a:r>
            <a:rPr lang="en-AU" b="0"/>
            <a:t>Pre-requisite units denoted by * can be enrolled concurrently in the same study period if required by the Enrolment Planner's specified sequence. </a:t>
          </a:r>
        </a:p>
        <a:p>
          <a:endParaRPr lang="en-AU" b="0"/>
        </a:p>
        <a:p>
          <a:r>
            <a:rPr lang="en-AU" b="1"/>
            <a:t>Need more support?</a:t>
          </a:r>
          <a:r>
            <a:rPr lang="en-AU" b="0"/>
            <a:t> </a:t>
          </a:r>
        </a:p>
        <a:p>
          <a:r>
            <a:rPr lang="en-AU" b="0"/>
            <a:t>This planner is designed to be used in conjunction with the information provided by Curtin Connect on the Student Essentials webpages. If you have any questions regarding your enrolment, please contact Curtin Connect.</a:t>
          </a:r>
        </a:p>
        <a:p>
          <a:endParaRPr lang="en-AU" b="0"/>
        </a:p>
        <a:p>
          <a:pPr algn="ctr"/>
          <a:r>
            <a:rPr lang="en-AU" sz="900" b="1" u="sng"/>
            <a:t>Note:</a:t>
          </a:r>
        </a:p>
        <a:p>
          <a:pPr algn="ctr"/>
          <a:r>
            <a:rPr lang="en-AU" sz="900" b="0"/>
            <a:t>CP = Credit Points; Sem1 = Semester 1; Sem2 = Semester 2; </a:t>
          </a:r>
        </a:p>
        <a:p>
          <a:pPr algn="ctr"/>
          <a:r>
            <a:rPr lang="en-AU" sz="900" b="0"/>
            <a:t>BEN = unit available face-to-face at Curtin University, Bentley Campus; FO = unit available Fully Online</a:t>
          </a: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4400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638176</xdr:colOff>
      <xdr:row>2</xdr:row>
      <xdr:rowOff>219076</xdr:rowOff>
    </xdr:from>
    <xdr:to>
      <xdr:col>21</xdr:col>
      <xdr:colOff>314326</xdr:colOff>
      <xdr:row>3</xdr:row>
      <xdr:rowOff>57546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982826" y="219076"/>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6:G7" totalsRowShown="0" headerRowDxfId="367">
  <autoFilter ref="A6:G7"/>
  <tableColumns count="7">
    <tableColumn id="3" name="Choose your Course" dataDxfId="366"/>
    <tableColumn id="1" name="UDC" dataDxfId="365"/>
    <tableColumn id="2" name="Version" dataDxfId="364"/>
    <tableColumn id="5" name="Credit Points" dataDxfId="363"/>
    <tableColumn id="4" name="Effective Date" dataDxfId="362"/>
    <tableColumn id="6" name="Akari Update" dataDxfId="361"/>
    <tableColumn id="7" name="Availabilities" dataDxfId="360"/>
  </tableColumns>
  <tableStyleInfo name="TableStyleLight8" showFirstColumn="0" showLastColumn="0" showRowStripes="1" showColumnStripes="0"/>
</table>
</file>

<file path=xl/tables/table10.xml><?xml version="1.0" encoding="utf-8"?>
<table xmlns="http://schemas.openxmlformats.org/spreadsheetml/2006/main" id="9" name="TableMJRUGEOGR" displayName="TableMJRUGEOGR" ref="A125:O133" totalsRowShown="0">
  <autoFilter ref="A125:O133"/>
  <sortState ref="A115:M122">
    <sortCondition ref="H114:H122"/>
  </sortState>
  <tableColumns count="15">
    <tableColumn id="1" name="UDC" dataDxfId="174">
      <calculatedColumnFormula>TableMJRUGEOGR[[#This Row],[Study Package Code]]</calculatedColumnFormula>
    </tableColumn>
    <tableColumn id="9" name="V" dataDxfId="173">
      <calculatedColumnFormula>TableMJRUGEOGR[[#This Row],[Ver]]</calculatedColumnFormula>
    </tableColumn>
    <tableColumn id="10" name="OUA Code"/>
    <tableColumn id="11" name="Unit Title" dataDxfId="172">
      <calculatedColumnFormula>TableMJRUGEOGR[[#This Row],[Structure Line]]</calculatedColumnFormula>
    </tableColumn>
    <tableColumn id="12" name="CPs" dataDxfId="171">
      <calculatedColumnFormula>TableMJRUGEOGR[[#This Row],[Credit Points]]</calculatedColumnFormula>
    </tableColumn>
    <tableColumn id="13" name="No."/>
    <tableColumn id="2" name="Component Type"/>
    <tableColumn id="3" name="Year Level"/>
    <tableColumn id="4" name="Study Period"/>
    <tableColumn id="5" name="Study Package Code"/>
    <tableColumn id="6" name="Ver" dataDxfId="170"/>
    <tableColumn id="7" name="Structure Line"/>
    <tableColumn id="8" name="Credit Points"/>
    <tableColumn id="14" name="Effective" dataDxfId="169"/>
    <tableColumn id="15" name="Discont." dataDxfId="168"/>
  </tableColumns>
  <tableStyleInfo name="TableStyleLight1" showFirstColumn="0" showLastColumn="0" showRowStripes="1" showColumnStripes="0"/>
</table>
</file>

<file path=xl/tables/table11.xml><?xml version="1.0" encoding="utf-8"?>
<table xmlns="http://schemas.openxmlformats.org/spreadsheetml/2006/main" id="10" name="TableMJRUHISTR" displayName="TableMJRUHISTR" ref="A135:O143" totalsRowShown="0">
  <autoFilter ref="A135:O143"/>
  <sortState ref="A125:M132">
    <sortCondition ref="H124:H132"/>
  </sortState>
  <tableColumns count="15">
    <tableColumn id="1" name="UDC" dataDxfId="167">
      <calculatedColumnFormula>TableMJRUHISTR[[#This Row],[Study Package Code]]</calculatedColumnFormula>
    </tableColumn>
    <tableColumn id="9" name="V" dataDxfId="166">
      <calculatedColumnFormula>TableMJRUHISTR[[#This Row],[Ver]]</calculatedColumnFormula>
    </tableColumn>
    <tableColumn id="10" name="OUA Code"/>
    <tableColumn id="11" name="Unit Title" dataDxfId="165">
      <calculatedColumnFormula>TableMJRUHISTR[[#This Row],[Structure Line]]</calculatedColumnFormula>
    </tableColumn>
    <tableColumn id="12" name="CPs" dataDxfId="164">
      <calculatedColumnFormula>TableMJRUHISTR[[#This Row],[Credit Points]]</calculatedColumnFormula>
    </tableColumn>
    <tableColumn id="13" name="No."/>
    <tableColumn id="2" name="Component Type"/>
    <tableColumn id="3" name="Year Level"/>
    <tableColumn id="4" name="Study Period"/>
    <tableColumn id="5" name="Study Package Code"/>
    <tableColumn id="6" name="Ver" dataDxfId="163"/>
    <tableColumn id="7" name="Structure Line"/>
    <tableColumn id="8" name="Credit Points"/>
    <tableColumn id="14" name="Effective" dataDxfId="162"/>
    <tableColumn id="15" name="Discont." dataDxfId="161"/>
  </tableColumns>
  <tableStyleInfo name="TableStyleLight1" showFirstColumn="0" showLastColumn="0" showRowStripes="1" showColumnStripes="0"/>
</table>
</file>

<file path=xl/tables/table12.xml><?xml version="1.0" encoding="utf-8"?>
<table xmlns="http://schemas.openxmlformats.org/spreadsheetml/2006/main" id="11" name="TableMJRUINTRL" displayName="TableMJRUINTRL" ref="A155:O164" totalsRowShown="0">
  <autoFilter ref="A155:O164"/>
  <sortState ref="A145:O152">
    <sortCondition ref="F144:F152"/>
  </sortState>
  <tableColumns count="15">
    <tableColumn id="1" name="UDC" dataDxfId="160">
      <calculatedColumnFormula>TableMJRUINTRL[[#This Row],[Study Package Code]]</calculatedColumnFormula>
    </tableColumn>
    <tableColumn id="9" name="V" dataDxfId="159">
      <calculatedColumnFormula>TableMJRUINTRL[[#This Row],[Ver]]</calculatedColumnFormula>
    </tableColumn>
    <tableColumn id="10" name="OUA Code"/>
    <tableColumn id="11" name="Unit Title" dataDxfId="158">
      <calculatedColumnFormula>TableMJRUINTRL[[#This Row],[Structure Line]]</calculatedColumnFormula>
    </tableColumn>
    <tableColumn id="12" name="CPs" dataDxfId="157">
      <calculatedColumnFormula>TableMJRUINTRL[[#This Row],[Credit Points]]</calculatedColumnFormula>
    </tableColumn>
    <tableColumn id="13" name="No."/>
    <tableColumn id="2" name="Component Type"/>
    <tableColumn id="3" name="Year Level"/>
    <tableColumn id="4" name="Study Period"/>
    <tableColumn id="5" name="Study Package Code"/>
    <tableColumn id="6" name="Ver" dataDxfId="156"/>
    <tableColumn id="7" name="Structure Line"/>
    <tableColumn id="8" name="Credit Points"/>
    <tableColumn id="14" name="Effective" dataDxfId="155"/>
    <tableColumn id="15" name="Discont." dataDxfId="154"/>
  </tableColumns>
  <tableStyleInfo name="TableStyleLight1" showFirstColumn="0" showLastColumn="0" showRowStripes="1" showColumnStripes="0"/>
</table>
</file>

<file path=xl/tables/table13.xml><?xml version="1.0" encoding="utf-8"?>
<table xmlns="http://schemas.openxmlformats.org/spreadsheetml/2006/main" id="12" name="TableMJRUJAPAN" displayName="TableMJRUJAPAN" ref="A166:O174" totalsRowShown="0">
  <autoFilter ref="A166:O174"/>
  <sortState ref="A167:O174">
    <sortCondition ref="H166:H174"/>
  </sortState>
  <tableColumns count="15">
    <tableColumn id="1" name="UDC" dataDxfId="153">
      <calculatedColumnFormula>TableMJRUJAPAN[[#This Row],[Study Package Code]]</calculatedColumnFormula>
    </tableColumn>
    <tableColumn id="9" name="V" dataDxfId="152">
      <calculatedColumnFormula>TableMJRUJAPAN[[#This Row],[Ver]]</calculatedColumnFormula>
    </tableColumn>
    <tableColumn id="10" name="OUA Code"/>
    <tableColumn id="11" name="Unit Title" dataDxfId="151">
      <calculatedColumnFormula>TableMJRUJAPAN[[#This Row],[Structure Line]]</calculatedColumnFormula>
    </tableColumn>
    <tableColumn id="12" name="CPs" dataDxfId="150">
      <calculatedColumnFormula>TableMJRUJAPAN[[#This Row],[Credit Points]]</calculatedColumnFormula>
    </tableColumn>
    <tableColumn id="13" name="No."/>
    <tableColumn id="2" name="Component Type"/>
    <tableColumn id="3" name="Year Level"/>
    <tableColumn id="4" name="Study Period"/>
    <tableColumn id="5" name="Study Package Code"/>
    <tableColumn id="6" name="Ver" dataDxfId="149"/>
    <tableColumn id="7" name="Structure Line"/>
    <tableColumn id="8" name="Credit Points"/>
    <tableColumn id="14" name="Effective" dataDxfId="148"/>
    <tableColumn id="15" name="Discont." dataDxfId="147"/>
  </tableColumns>
  <tableStyleInfo name="TableStyleLight1" showFirstColumn="0" showLastColumn="0" showRowStripes="1" showColumnStripes="0"/>
</table>
</file>

<file path=xl/tables/table14.xml><?xml version="1.0" encoding="utf-8"?>
<table xmlns="http://schemas.openxmlformats.org/spreadsheetml/2006/main" id="14" name="TableMJRUJOURN" displayName="TableMJRUJOURN" ref="A176:O189" totalsRowShown="0">
  <autoFilter ref="A176:O189"/>
  <sortState ref="A166:O177">
    <sortCondition ref="F165:F177"/>
  </sortState>
  <tableColumns count="15">
    <tableColumn id="1" name="UDC" dataDxfId="146">
      <calculatedColumnFormula>TableMJRUJOURN[[#This Row],[Study Package Code]]</calculatedColumnFormula>
    </tableColumn>
    <tableColumn id="9" name="V" dataDxfId="145">
      <calculatedColumnFormula>TableMJRUJOURN[[#This Row],[Ver]]</calculatedColumnFormula>
    </tableColumn>
    <tableColumn id="10" name="OUA Code"/>
    <tableColumn id="11" name="Unit Title" dataDxfId="144">
      <calculatedColumnFormula>TableMJRUJOURN[[#This Row],[Structure Line]]</calculatedColumnFormula>
    </tableColumn>
    <tableColumn id="12" name="CPs" dataDxfId="143">
      <calculatedColumnFormula>TableMJRUJOURN[[#This Row],[Credit Points]]</calculatedColumnFormula>
    </tableColumn>
    <tableColumn id="13" name="No."/>
    <tableColumn id="2" name="Component Type"/>
    <tableColumn id="3" name="Year Level"/>
    <tableColumn id="4" name="Study Period"/>
    <tableColumn id="5" name="Study Package Code"/>
    <tableColumn id="6" name="Ver" dataDxfId="142"/>
    <tableColumn id="7" name="Structure Line"/>
    <tableColumn id="8" name="Credit Points"/>
    <tableColumn id="14" name="Effective" dataDxfId="141"/>
    <tableColumn id="15" name="Discont." dataDxfId="140"/>
  </tableColumns>
  <tableStyleInfo name="TableStyleLight1" showFirstColumn="0" showLastColumn="0" showRowStripes="1" showColumnStripes="0"/>
</table>
</file>

<file path=xl/tables/table15.xml><?xml version="1.0" encoding="utf-8"?>
<table xmlns="http://schemas.openxmlformats.org/spreadsheetml/2006/main" id="15" name="TableMJRUKORES" displayName="TableMJRUKORES" ref="A191:O201" totalsRowShown="0">
  <autoFilter ref="A191:O201"/>
  <sortState ref="A181:O190">
    <sortCondition ref="F180:F190"/>
  </sortState>
  <tableColumns count="15">
    <tableColumn id="1" name="UDC" dataDxfId="139">
      <calculatedColumnFormula>TableMJRUKORES[[#This Row],[Study Package Code]]</calculatedColumnFormula>
    </tableColumn>
    <tableColumn id="9" name="V" dataDxfId="138">
      <calculatedColumnFormula>TableMJRUKORES[[#This Row],[Ver]]</calculatedColumnFormula>
    </tableColumn>
    <tableColumn id="10" name="OUA Code"/>
    <tableColumn id="11" name="Unit Title" dataDxfId="137">
      <calculatedColumnFormula>TableMJRUKORES[[#This Row],[Structure Line]]</calculatedColumnFormula>
    </tableColumn>
    <tableColumn id="12" name="CPs" dataDxfId="136">
      <calculatedColumnFormula>TableMJRUKORES[[#This Row],[Credit Points]]</calculatedColumnFormula>
    </tableColumn>
    <tableColumn id="13" name="No."/>
    <tableColumn id="2" name="Component Type"/>
    <tableColumn id="3" name="Year Level"/>
    <tableColumn id="4" name="Study Period"/>
    <tableColumn id="5" name="Study Package Code"/>
    <tableColumn id="6" name="Ver" dataDxfId="135"/>
    <tableColumn id="7" name="Structure Line"/>
    <tableColumn id="8" name="Credit Points"/>
    <tableColumn id="14" name="Effective" dataDxfId="134"/>
    <tableColumn id="15" name="Discont." dataDxfId="133"/>
  </tableColumns>
  <tableStyleInfo name="TableStyleLight1" showFirstColumn="0" showLastColumn="0" showRowStripes="1" showColumnStripes="0"/>
</table>
</file>

<file path=xl/tables/table16.xml><?xml version="1.0" encoding="utf-8"?>
<table xmlns="http://schemas.openxmlformats.org/spreadsheetml/2006/main" id="16" name="TableMJRULITCU" displayName="TableMJRULITCU" ref="A203:O223" totalsRowShown="0">
  <autoFilter ref="A203:O223"/>
  <sortState ref="A193:O212">
    <sortCondition ref="F192:F212"/>
  </sortState>
  <tableColumns count="15">
    <tableColumn id="1" name="UDC" dataDxfId="132">
      <calculatedColumnFormula>TableMJRULITCU[[#This Row],[Study Package Code]]</calculatedColumnFormula>
    </tableColumn>
    <tableColumn id="9" name="V" dataDxfId="131">
      <calculatedColumnFormula>TableMJRULITCU[[#This Row],[Ver]]</calculatedColumnFormula>
    </tableColumn>
    <tableColumn id="10" name="OUA Code"/>
    <tableColumn id="11" name="Unit Title" dataDxfId="130">
      <calculatedColumnFormula>TableMJRULITCU[[#This Row],[Structure Line]]</calculatedColumnFormula>
    </tableColumn>
    <tableColumn id="12" name="CPs" dataDxfId="129">
      <calculatedColumnFormula>TableMJRULITCU[[#This Row],[Credit Points]]</calculatedColumnFormula>
    </tableColumn>
    <tableColumn id="13" name="No."/>
    <tableColumn id="2" name="Component Type"/>
    <tableColumn id="3" name="Year Level"/>
    <tableColumn id="4" name="Study Period"/>
    <tableColumn id="5" name="Study Package Code"/>
    <tableColumn id="6" name="Ver" dataDxfId="128"/>
    <tableColumn id="7" name="Structure Line"/>
    <tableColumn id="8" name="Credit Points"/>
    <tableColumn id="14" name="Effective" dataDxfId="127"/>
    <tableColumn id="15" name="Discont." dataDxfId="126"/>
  </tableColumns>
  <tableStyleInfo name="TableStyleLight1" showFirstColumn="0" showLastColumn="0" showRowStripes="1" showColumnStripes="0"/>
</table>
</file>

<file path=xl/tables/table17.xml><?xml version="1.0" encoding="utf-8"?>
<table xmlns="http://schemas.openxmlformats.org/spreadsheetml/2006/main" id="17" name="TableMJRUNETCM" displayName="TableMJRUNETCM" ref="A225:O235" totalsRowShown="0">
  <autoFilter ref="A225:O235"/>
  <sortState ref="A215:O224">
    <sortCondition ref="F214:F224"/>
  </sortState>
  <tableColumns count="15">
    <tableColumn id="1" name="UDC" dataDxfId="125">
      <calculatedColumnFormula>TableMJRUNETCM[[#This Row],[Study Package Code]]</calculatedColumnFormula>
    </tableColumn>
    <tableColumn id="9" name="V" dataDxfId="124">
      <calculatedColumnFormula>TableMJRUNETCM[[#This Row],[Ver]]</calculatedColumnFormula>
    </tableColumn>
    <tableColumn id="10" name="OUA Code"/>
    <tableColumn id="11" name="Unit Title" dataDxfId="123">
      <calculatedColumnFormula>TableMJRUNETCM[[#This Row],[Structure Line]]</calculatedColumnFormula>
    </tableColumn>
    <tableColumn id="12" name="CPs" dataDxfId="122">
      <calculatedColumnFormula>TableMJRUNETCM[[#This Row],[Credit Points]]</calculatedColumnFormula>
    </tableColumn>
    <tableColumn id="13" name="No."/>
    <tableColumn id="2" name="Component Type"/>
    <tableColumn id="3" name="Year Level"/>
    <tableColumn id="4" name="Study Period"/>
    <tableColumn id="5" name="Study Package Code"/>
    <tableColumn id="6" name="Ver" dataDxfId="121"/>
    <tableColumn id="7" name="Structure Line"/>
    <tableColumn id="8" name="Credit Points"/>
    <tableColumn id="14" name="Effective" dataDxfId="120"/>
    <tableColumn id="15" name="Discont." dataDxfId="119"/>
  </tableColumns>
  <tableStyleInfo name="TableStyleLight1" showFirstColumn="0" showLastColumn="0" showRowStripes="1" showColumnStripes="0"/>
</table>
</file>

<file path=xl/tables/table18.xml><?xml version="1.0" encoding="utf-8"?>
<table xmlns="http://schemas.openxmlformats.org/spreadsheetml/2006/main" id="18" name="TableMJRUPRWRP" displayName="TableMJRUPRWRP" ref="A237:O247" totalsRowShown="0">
  <autoFilter ref="A237:O247"/>
  <sortState ref="A227:O236">
    <sortCondition ref="F226:F236"/>
  </sortState>
  <tableColumns count="15">
    <tableColumn id="1" name="UDC" dataDxfId="118">
      <calculatedColumnFormula>TableMJRUPRWRP[[#This Row],[Study Package Code]]</calculatedColumnFormula>
    </tableColumn>
    <tableColumn id="9" name="V" dataDxfId="117">
      <calculatedColumnFormula>TableMJRUPRWRP[[#This Row],[Ver]]</calculatedColumnFormula>
    </tableColumn>
    <tableColumn id="10" name="OUA Code"/>
    <tableColumn id="11" name="Unit Title" dataDxfId="116">
      <calculatedColumnFormula>TableMJRUPRWRP[[#This Row],[Structure Line]]</calculatedColumnFormula>
    </tableColumn>
    <tableColumn id="12" name="CPs" dataDxfId="115">
      <calculatedColumnFormula>TableMJRUPRWRP[[#This Row],[Credit Points]]</calculatedColumnFormula>
    </tableColumn>
    <tableColumn id="13" name="No."/>
    <tableColumn id="2" name="Component Type"/>
    <tableColumn id="3" name="Year Level"/>
    <tableColumn id="4" name="Study Period"/>
    <tableColumn id="5" name="Study Package Code"/>
    <tableColumn id="6" name="Ver" dataDxfId="114"/>
    <tableColumn id="7" name="Structure Line"/>
    <tableColumn id="8" name="Credit Points"/>
    <tableColumn id="14" name="Effective" dataDxfId="113"/>
    <tableColumn id="15" name="Discont." dataDxfId="112"/>
  </tableColumns>
  <tableStyleInfo name="TableStyleLight1" showFirstColumn="0" showLastColumn="0" showRowStripes="1" showColumnStripes="0"/>
</table>
</file>

<file path=xl/tables/table19.xml><?xml version="1.0" encoding="utf-8"?>
<table xmlns="http://schemas.openxmlformats.org/spreadsheetml/2006/main" id="19" name="TableMJRUSCSTR" displayName="TableMJRUSCSTR" ref="A249:O257" totalsRowShown="0">
  <autoFilter ref="A249:O257"/>
  <sortState ref="A238:R245">
    <sortCondition ref="N10:N18"/>
  </sortState>
  <tableColumns count="15">
    <tableColumn id="1" name="UDC" dataDxfId="111">
      <calculatedColumnFormula>TableMJRUSCSTR[[#This Row],[Study Package Code]]</calculatedColumnFormula>
    </tableColumn>
    <tableColumn id="9" name="V" dataDxfId="110">
      <calculatedColumnFormula>TableMJRUSCSTR[[#This Row],[Ver]]</calculatedColumnFormula>
    </tableColumn>
    <tableColumn id="10" name="OUA Code"/>
    <tableColumn id="11" name="Unit Title" dataDxfId="109">
      <calculatedColumnFormula>TableMJRUSCSTR[[#This Row],[Structure Line]]</calculatedColumnFormula>
    </tableColumn>
    <tableColumn id="12" name="CPs" dataDxfId="108">
      <calculatedColumnFormula>TableMJRUSCSTR[[#This Row],[Credit Points]]</calculatedColumnFormula>
    </tableColumn>
    <tableColumn id="13" name="No."/>
    <tableColumn id="2" name="Component Type"/>
    <tableColumn id="3" name="Year Level"/>
    <tableColumn id="4" name="Study Period"/>
    <tableColumn id="5" name="Study Package Code"/>
    <tableColumn id="6" name="Ver" dataDxfId="107"/>
    <tableColumn id="7" name="Structure Line"/>
    <tableColumn id="8" name="Credit Points"/>
    <tableColumn id="14" name="Effective" dataDxfId="106"/>
    <tableColumn id="15" name="Discont." dataDxfId="105"/>
  </tableColumns>
  <tableStyleInfo name="TableStyleLight1" showFirstColumn="0" showLastColumn="0" showRowStripes="1" showColumnStripes="0"/>
</table>
</file>

<file path=xl/tables/table2.xml><?xml version="1.0" encoding="utf-8"?>
<table xmlns="http://schemas.openxmlformats.org/spreadsheetml/2006/main" id="4" name="TableStudyPeriod" displayName="TableStudyPeriod" ref="A10:C12" totalsRowShown="0" dataDxfId="359">
  <autoFilter ref="A10:C12"/>
  <tableColumns count="3">
    <tableColumn id="1" name="Choose your commencing study period (drop-down list)" dataDxfId="358"/>
    <tableColumn id="2" name="START" dataDxfId="357"/>
    <tableColumn id="3" name="Next" dataDxfId="356"/>
  </tableColumns>
  <tableStyleInfo name="TableStyleLight8" showFirstColumn="0" showLastColumn="0" showRowStripes="1" showColumnStripes="0"/>
</table>
</file>

<file path=xl/tables/table20.xml><?xml version="1.0" encoding="utf-8"?>
<table xmlns="http://schemas.openxmlformats.org/spreadsheetml/2006/main" id="20" name="TableMJRUBSLAW" displayName="TableMJRUBSLAW" ref="A260:O270" totalsRowShown="0">
  <autoFilter ref="A260:O270"/>
  <sortState ref="A238:M247">
    <sortCondition ref="H237:H247"/>
  </sortState>
  <tableColumns count="15">
    <tableColumn id="1" name="UDC" dataDxfId="104">
      <calculatedColumnFormula>TableMJRUBSLAW[[#This Row],[Study Package Code]]</calculatedColumnFormula>
    </tableColumn>
    <tableColumn id="9" name="V" dataDxfId="103">
      <calculatedColumnFormula>TableMJRUBSLAW[[#This Row],[Ver]]</calculatedColumnFormula>
    </tableColumn>
    <tableColumn id="10" name="OUA Code"/>
    <tableColumn id="11" name="Unit Title" dataDxfId="102">
      <calculatedColumnFormula>TableMJRUBSLAW[[#This Row],[Structure Line]]</calculatedColumnFormula>
    </tableColumn>
    <tableColumn id="12" name="CPs" dataDxfId="101">
      <calculatedColumnFormula>TableMJRUBSLAW[[#This Row],[Credit Points]]</calculatedColumnFormula>
    </tableColumn>
    <tableColumn id="13" name="No."/>
    <tableColumn id="2" name="Component Type"/>
    <tableColumn id="3" name="Year Level"/>
    <tableColumn id="4" name="Study Period"/>
    <tableColumn id="5" name="Study Package Code"/>
    <tableColumn id="6" name="Ver" dataDxfId="100"/>
    <tableColumn id="7" name="Structure Line"/>
    <tableColumn id="8" name="Credit Points"/>
    <tableColumn id="14" name="Effective" dataDxfId="99"/>
    <tableColumn id="15" name="Discont." dataDxfId="98"/>
  </tableColumns>
  <tableStyleInfo name="TableStyleLight1" showFirstColumn="0" showLastColumn="0" showRowStripes="1" showColumnStripes="0"/>
</table>
</file>

<file path=xl/tables/table21.xml><?xml version="1.0" encoding="utf-8"?>
<table xmlns="http://schemas.openxmlformats.org/spreadsheetml/2006/main" id="21" name="TableMJRUECONS" displayName="TableMJRUECONS" ref="A272:O285" totalsRowShown="0">
  <autoFilter ref="A272:O285"/>
  <sortState ref="A262:O274">
    <sortCondition ref="F261:F274"/>
  </sortState>
  <tableColumns count="15">
    <tableColumn id="1" name="UDC" dataDxfId="97">
      <calculatedColumnFormula>TableMJRUECONS[[#This Row],[Study Package Code]]</calculatedColumnFormula>
    </tableColumn>
    <tableColumn id="9" name="V" dataDxfId="96">
      <calculatedColumnFormula>TableMJRUECONS[[#This Row],[Ver]]</calculatedColumnFormula>
    </tableColumn>
    <tableColumn id="10" name="OUA Code"/>
    <tableColumn id="11" name="Unit Title" dataDxfId="95">
      <calculatedColumnFormula>TableMJRUECONS[[#This Row],[Structure Line]]</calculatedColumnFormula>
    </tableColumn>
    <tableColumn id="12" name="CPs" dataDxfId="94">
      <calculatedColumnFormula>TableMJRUECONS[[#This Row],[Credit Points]]</calculatedColumnFormula>
    </tableColumn>
    <tableColumn id="13" name="No."/>
    <tableColumn id="2" name="Component Type"/>
    <tableColumn id="3" name="Year Level"/>
    <tableColumn id="4" name="Study Period"/>
    <tableColumn id="5" name="Study Package Code"/>
    <tableColumn id="6" name="Ver" dataDxfId="93"/>
    <tableColumn id="7" name="Structure Line"/>
    <tableColumn id="8" name="Credit Points"/>
    <tableColumn id="14" name="Effective" dataDxfId="92"/>
    <tableColumn id="15" name="Discont." dataDxfId="91"/>
  </tableColumns>
  <tableStyleInfo name="TableStyleLight1" showFirstColumn="0" showLastColumn="0" showRowStripes="1" showColumnStripes="0"/>
</table>
</file>

<file path=xl/tables/table22.xml><?xml version="1.0" encoding="utf-8"?>
<table xmlns="http://schemas.openxmlformats.org/spreadsheetml/2006/main" id="22" name="TableMJRUFINAR" displayName="TableMJRUFINAR" ref="A287:O295" totalsRowShown="0">
  <autoFilter ref="A287:O295"/>
  <sortState ref="A265:M272">
    <sortCondition ref="H264:H272"/>
  </sortState>
  <tableColumns count="15">
    <tableColumn id="1" name="UDC" dataDxfId="90">
      <calculatedColumnFormula>TableMJRUFINAR[[#This Row],[Study Package Code]]</calculatedColumnFormula>
    </tableColumn>
    <tableColumn id="9" name="V" dataDxfId="89">
      <calculatedColumnFormula>TableMJRUFINAR[[#This Row],[Ver]]</calculatedColumnFormula>
    </tableColumn>
    <tableColumn id="10" name="OUA Code"/>
    <tableColumn id="11" name="Unit Title" dataDxfId="88">
      <calculatedColumnFormula>TableMJRUFINAR[[#This Row],[Structure Line]]</calculatedColumnFormula>
    </tableColumn>
    <tableColumn id="12" name="CPs" dataDxfId="87">
      <calculatedColumnFormula>TableMJRUFINAR[[#This Row],[Credit Points]]</calculatedColumnFormula>
    </tableColumn>
    <tableColumn id="13" name="No."/>
    <tableColumn id="2" name="Component Type"/>
    <tableColumn id="3" name="Year Level"/>
    <tableColumn id="4" name="Study Period"/>
    <tableColumn id="5" name="Study Package Code"/>
    <tableColumn id="6" name="Ver" dataDxfId="86"/>
    <tableColumn id="7" name="Structure Line"/>
    <tableColumn id="8" name="Credit Points"/>
    <tableColumn id="14" name="Effective" dataDxfId="85"/>
    <tableColumn id="15" name="Discont." dataDxfId="84"/>
  </tableColumns>
  <tableStyleInfo name="TableStyleLight1" showFirstColumn="0" showLastColumn="0" showRowStripes="1" showColumnStripes="0"/>
</table>
</file>

<file path=xl/tables/table23.xml><?xml version="1.0" encoding="utf-8"?>
<table xmlns="http://schemas.openxmlformats.org/spreadsheetml/2006/main" id="23" name="TableMJRUFINCE" displayName="TableMJRUFINCE" ref="A297:O307" totalsRowShown="0">
  <autoFilter ref="A297:O307"/>
  <sortState ref="A287:O296">
    <sortCondition ref="F286:F296"/>
  </sortState>
  <tableColumns count="15">
    <tableColumn id="1" name="UDC" dataDxfId="83">
      <calculatedColumnFormula>TableMJRUFINCE[[#This Row],[Study Package Code]]</calculatedColumnFormula>
    </tableColumn>
    <tableColumn id="9" name="V" dataDxfId="82">
      <calculatedColumnFormula>TableMJRUFINCE[[#This Row],[Ver]]</calculatedColumnFormula>
    </tableColumn>
    <tableColumn id="10" name="OUA Code"/>
    <tableColumn id="11" name="Unit Title" dataDxfId="81">
      <calculatedColumnFormula>TableMJRUFINCE[[#This Row],[Structure Line]]</calculatedColumnFormula>
    </tableColumn>
    <tableColumn id="12" name="CPs" dataDxfId="80">
      <calculatedColumnFormula>TableMJRUFINCE[[#This Row],[Credit Points]]</calculatedColumnFormula>
    </tableColumn>
    <tableColumn id="13" name="No."/>
    <tableColumn id="2" name="Component Type"/>
    <tableColumn id="3" name="Year Level"/>
    <tableColumn id="4" name="Study Period"/>
    <tableColumn id="5" name="Study Package Code"/>
    <tableColumn id="6" name="Ver" dataDxfId="79"/>
    <tableColumn id="7" name="Structure Line"/>
    <tableColumn id="8" name="Credit Points"/>
    <tableColumn id="14" name="Effective" dataDxfId="78"/>
    <tableColumn id="15" name="Discont." dataDxfId="77"/>
  </tableColumns>
  <tableStyleInfo name="TableStyleLight1" showFirstColumn="0" showLastColumn="0" showRowStripes="1" showColumnStripes="0"/>
</table>
</file>

<file path=xl/tables/table24.xml><?xml version="1.0" encoding="utf-8"?>
<table xmlns="http://schemas.openxmlformats.org/spreadsheetml/2006/main" id="24" name="TableMJRUHRMGM" displayName="TableMJRUHRMGM" ref="A309:O320" totalsRowShown="0">
  <autoFilter ref="A309:O320"/>
  <sortState ref="A310:O320">
    <sortCondition ref="F309:F320"/>
  </sortState>
  <tableColumns count="15">
    <tableColumn id="1" name="UDC" dataDxfId="76">
      <calculatedColumnFormula>TableMJRUHRMGM[[#This Row],[Study Package Code]]</calculatedColumnFormula>
    </tableColumn>
    <tableColumn id="9" name="V" dataDxfId="75">
      <calculatedColumnFormula>TableMJRUHRMGM[[#This Row],[Ver]]</calculatedColumnFormula>
    </tableColumn>
    <tableColumn id="10" name="OUA Code"/>
    <tableColumn id="11" name="Unit Title" dataDxfId="74">
      <calculatedColumnFormula>TableMJRUHRMGM[[#This Row],[Structure Line]]</calculatedColumnFormula>
    </tableColumn>
    <tableColumn id="12" name="CPs" dataDxfId="73">
      <calculatedColumnFormula>TableMJRUHRMGM[[#This Row],[Credit Points]]</calculatedColumnFormula>
    </tableColumn>
    <tableColumn id="13" name="No."/>
    <tableColumn id="2" name="Component Type"/>
    <tableColumn id="3" name="Year Level"/>
    <tableColumn id="4" name="Study Period"/>
    <tableColumn id="5" name="Study Package Code"/>
    <tableColumn id="6" name="Ver" dataDxfId="72"/>
    <tableColumn id="7" name="Structure Line"/>
    <tableColumn id="8" name="Credit Points"/>
    <tableColumn id="14" name="Effective" dataDxfId="71"/>
    <tableColumn id="15" name="Discont." dataDxfId="70"/>
  </tableColumns>
  <tableStyleInfo name="TableStyleLight1" showFirstColumn="0" showLastColumn="0" showRowStripes="1" showColumnStripes="0"/>
</table>
</file>

<file path=xl/tables/table25.xml><?xml version="1.0" encoding="utf-8"?>
<table xmlns="http://schemas.openxmlformats.org/spreadsheetml/2006/main" id="25" name="TableMJRUINTBU" displayName="TableMJRUINTBU" ref="A322:O332" totalsRowShown="0">
  <autoFilter ref="A322:O332"/>
  <sortState ref="A323:O332">
    <sortCondition ref="F322:F332"/>
  </sortState>
  <tableColumns count="15">
    <tableColumn id="1" name="UDC" dataDxfId="69">
      <calculatedColumnFormula>TableMJRUINTBU[[#This Row],[Study Package Code]]</calculatedColumnFormula>
    </tableColumn>
    <tableColumn id="9" name="V" dataDxfId="68">
      <calculatedColumnFormula>TableMJRUINTBU[[#This Row],[Ver]]</calculatedColumnFormula>
    </tableColumn>
    <tableColumn id="10" name="OUA Code"/>
    <tableColumn id="11" name="Unit Title" dataDxfId="67">
      <calculatedColumnFormula>TableMJRUINTBU[[#This Row],[Structure Line]]</calculatedColumnFormula>
    </tableColumn>
    <tableColumn id="12" name="CPs" dataDxfId="66">
      <calculatedColumnFormula>TableMJRUINTBU[[#This Row],[Credit Points]]</calculatedColumnFormula>
    </tableColumn>
    <tableColumn id="13" name="No."/>
    <tableColumn id="2" name="Component Type"/>
    <tableColumn id="3" name="Year Level"/>
    <tableColumn id="4" name="Study Period"/>
    <tableColumn id="5" name="Study Package Code"/>
    <tableColumn id="6" name="Ver" dataDxfId="65"/>
    <tableColumn id="7" name="Structure Line"/>
    <tableColumn id="8" name="Credit Points"/>
    <tableColumn id="14" name="Effective" dataDxfId="64"/>
    <tableColumn id="15" name="Discont." dataDxfId="63"/>
  </tableColumns>
  <tableStyleInfo name="TableStyleLight1" showFirstColumn="0" showLastColumn="0" showRowStripes="1" showColumnStripes="0"/>
</table>
</file>

<file path=xl/tables/table26.xml><?xml version="1.0" encoding="utf-8"?>
<table xmlns="http://schemas.openxmlformats.org/spreadsheetml/2006/main" id="26" name="TableMJRULGSCM" displayName="TableMJRULGSCM" ref="A334:O342" totalsRowShown="0">
  <autoFilter ref="A334:O342"/>
  <sortState ref="A312:M319">
    <sortCondition ref="H311:H319"/>
  </sortState>
  <tableColumns count="15">
    <tableColumn id="1" name="UDC" dataDxfId="62">
      <calculatedColumnFormula>TableMJRULGSCM[[#This Row],[Study Package Code]]</calculatedColumnFormula>
    </tableColumn>
    <tableColumn id="9" name="V" dataDxfId="61">
      <calculatedColumnFormula>TableMJRULGSCM[[#This Row],[Ver]]</calculatedColumnFormula>
    </tableColumn>
    <tableColumn id="10" name="OUA Code"/>
    <tableColumn id="11" name="Unit Title" dataDxfId="60">
      <calculatedColumnFormula>TableMJRULGSCM[[#This Row],[Structure Line]]</calculatedColumnFormula>
    </tableColumn>
    <tableColumn id="12" name="CPs" dataDxfId="59">
      <calculatedColumnFormula>TableMJRULGSCM[[#This Row],[Credit Points]]</calculatedColumnFormula>
    </tableColumn>
    <tableColumn id="13" name="No."/>
    <tableColumn id="2" name="Component Type"/>
    <tableColumn id="3" name="Year Level"/>
    <tableColumn id="4" name="Study Period"/>
    <tableColumn id="5" name="Study Package Code"/>
    <tableColumn id="6" name="Ver" dataDxfId="58"/>
    <tableColumn id="7" name="Structure Line"/>
    <tableColumn id="8" name="Credit Points"/>
    <tableColumn id="14" name="Effective" dataDxfId="57"/>
    <tableColumn id="15" name="Discont." dataDxfId="56"/>
  </tableColumns>
  <tableStyleInfo name="TableStyleLight1" showFirstColumn="0" showLastColumn="0" showRowStripes="1" showColumnStripes="0"/>
</table>
</file>

<file path=xl/tables/table27.xml><?xml version="1.0" encoding="utf-8"?>
<table xmlns="http://schemas.openxmlformats.org/spreadsheetml/2006/main" id="27" name="TableMJRUMNGMT" displayName="TableMJRUMNGMT" ref="A344:O354" totalsRowShown="0">
  <autoFilter ref="A344:O354"/>
  <sortState ref="A334:O343">
    <sortCondition ref="F333:F343"/>
  </sortState>
  <tableColumns count="15">
    <tableColumn id="1" name="UDC" dataDxfId="55">
      <calculatedColumnFormula>TableMJRUMNGMT[[#This Row],[Study Package Code]]</calculatedColumnFormula>
    </tableColumn>
    <tableColumn id="9" name="V" dataDxfId="54">
      <calculatedColumnFormula>TableMJRUMNGMT[[#This Row],[Ver]]</calculatedColumnFormula>
    </tableColumn>
    <tableColumn id="10" name="OUA Code"/>
    <tableColumn id="11" name="Unit Title" dataDxfId="53">
      <calculatedColumnFormula>TableMJRUMNGMT[[#This Row],[Structure Line]]</calculatedColumnFormula>
    </tableColumn>
    <tableColumn id="12" name="CPs" dataDxfId="52">
      <calculatedColumnFormula>TableMJRUMNGMT[[#This Row],[Credit Points]]</calculatedColumnFormula>
    </tableColumn>
    <tableColumn id="13" name="No."/>
    <tableColumn id="2" name="Component Type"/>
    <tableColumn id="3" name="Year Level"/>
    <tableColumn id="4" name="Study Period"/>
    <tableColumn id="5" name="Study Package Code"/>
    <tableColumn id="6" name="Ver" dataDxfId="51"/>
    <tableColumn id="7" name="Structure Line"/>
    <tableColumn id="8" name="Credit Points"/>
    <tableColumn id="14" name="Effective" dataDxfId="50"/>
    <tableColumn id="15" name="Discont." dataDxfId="49"/>
  </tableColumns>
  <tableStyleInfo name="TableStyleLight1" showFirstColumn="0" showLastColumn="0" showRowStripes="1" showColumnStripes="0"/>
</table>
</file>

<file path=xl/tables/table28.xml><?xml version="1.0" encoding="utf-8"?>
<table xmlns="http://schemas.openxmlformats.org/spreadsheetml/2006/main" id="28" name="TableMJRUMRKTG" displayName="TableMJRUMRKTG" ref="A356:O368" totalsRowShown="0">
  <autoFilter ref="A356:O368"/>
  <sortState ref="A346:O355">
    <sortCondition ref="F345:F355"/>
  </sortState>
  <tableColumns count="15">
    <tableColumn id="1" name="UDC" dataDxfId="48">
      <calculatedColumnFormula>TableMJRUMRKTG[[#This Row],[Study Package Code]]</calculatedColumnFormula>
    </tableColumn>
    <tableColumn id="9" name="V" dataDxfId="47">
      <calculatedColumnFormula>TableMJRUMRKTG[[#This Row],[Ver]]</calculatedColumnFormula>
    </tableColumn>
    <tableColumn id="10" name="OUA Code"/>
    <tableColumn id="11" name="Unit Title" dataDxfId="46">
      <calculatedColumnFormula>TableMJRUMRKTG[[#This Row],[Structure Line]]</calculatedColumnFormula>
    </tableColumn>
    <tableColumn id="12" name="CPs" dataDxfId="45">
      <calculatedColumnFormula>TableMJRUMRKTG[[#This Row],[Credit Points]]</calculatedColumnFormula>
    </tableColumn>
    <tableColumn id="13" name="No."/>
    <tableColumn id="2" name="Component Type"/>
    <tableColumn id="3" name="Year Level"/>
    <tableColumn id="4" name="Study Period"/>
    <tableColumn id="5" name="Study Package Code"/>
    <tableColumn id="6" name="Ver" dataDxfId="44"/>
    <tableColumn id="7" name="Structure Line"/>
    <tableColumn id="8" name="Credit Points"/>
    <tableColumn id="14" name="Effective" dataDxfId="43"/>
    <tableColumn id="15" name="Discont." dataDxfId="42"/>
  </tableColumns>
  <tableStyleInfo name="TableStyleLight1" showFirstColumn="0" showLastColumn="0" showRowStripes="1" showColumnStripes="0"/>
</table>
</file>

<file path=xl/tables/table29.xml><?xml version="1.0" encoding="utf-8"?>
<table xmlns="http://schemas.openxmlformats.org/spreadsheetml/2006/main" id="29" name="TableMJRUPRPTY" displayName="TableMJRUPRPTY" ref="A370:O378" totalsRowShown="0">
  <autoFilter ref="A370:O378"/>
  <sortState ref="A346:M353">
    <sortCondition ref="H345:H353"/>
  </sortState>
  <tableColumns count="15">
    <tableColumn id="1" name="UDC" dataDxfId="41">
      <calculatedColumnFormula>TableMJRUPRPTY[[#This Row],[Study Package Code]]</calculatedColumnFormula>
    </tableColumn>
    <tableColumn id="9" name="V" dataDxfId="40">
      <calculatedColumnFormula>TableMJRUPRPTY[[#This Row],[Ver]]</calculatedColumnFormula>
    </tableColumn>
    <tableColumn id="10" name="OUA Code"/>
    <tableColumn id="11" name="Unit Title" dataDxfId="39">
      <calculatedColumnFormula>TableMJRUPRPTY[[#This Row],[Structure Line]]</calculatedColumnFormula>
    </tableColumn>
    <tableColumn id="12" name="CPs" dataDxfId="38">
      <calculatedColumnFormula>TableMJRUPRPTY[[#This Row],[Credit Points]]</calculatedColumnFormula>
    </tableColumn>
    <tableColumn id="13" name="No."/>
    <tableColumn id="2" name="Component Type"/>
    <tableColumn id="3" name="Year Level"/>
    <tableColumn id="4" name="Study Period"/>
    <tableColumn id="5" name="Study Package Code"/>
    <tableColumn id="6" name="Ver" dataDxfId="37"/>
    <tableColumn id="7" name="Structure Line"/>
    <tableColumn id="8" name="Credit Points"/>
    <tableColumn id="14" name="Effective" dataDxfId="36"/>
    <tableColumn id="15" name="Discont." dataDxfId="35"/>
  </tableColumns>
  <tableStyleInfo name="TableStyleLight1" showFirstColumn="0" showLastColumn="0" showRowStripes="1" showColumnStripes="0"/>
</table>
</file>

<file path=xl/tables/table3.xml><?xml version="1.0" encoding="utf-8"?>
<table xmlns="http://schemas.openxmlformats.org/spreadsheetml/2006/main" id="5" name="TableArtsMajor" displayName="TableArtsMajor" ref="A15:G29" totalsRowShown="0" dataDxfId="355">
  <autoFilter ref="A15:G29"/>
  <sortState ref="A16:E28">
    <sortCondition ref="A15:A28"/>
  </sortState>
  <tableColumns count="7">
    <tableColumn id="1" name="Choose your Arts / First Major (drop-down list)" dataDxfId="354"/>
    <tableColumn id="2" name="UDC" dataDxfId="353"/>
    <tableColumn id="3" name="Version" dataDxfId="352"/>
    <tableColumn id="4" name="Credit Points" dataDxfId="351"/>
    <tableColumn id="5" name="Effective Date" dataDxfId="350"/>
    <tableColumn id="6" name="Akari Update" dataDxfId="349"/>
    <tableColumn id="7" name="Co-ordinator" dataDxfId="348"/>
  </tableColumns>
  <tableStyleInfo name="TableStyleLight8" showFirstColumn="0" showLastColumn="0" showRowStripes="1" showColumnStripes="0"/>
</table>
</file>

<file path=xl/tables/table30.xml><?xml version="1.0" encoding="utf-8"?>
<table xmlns="http://schemas.openxmlformats.org/spreadsheetml/2006/main" id="30" name="TableMJRUSCRAR" displayName="TableMJRUSCRAR" ref="A380:O395" totalsRowShown="0">
  <autoFilter ref="A380:O395"/>
  <sortState ref="A370:O384">
    <sortCondition ref="F369:F384"/>
  </sortState>
  <tableColumns count="15">
    <tableColumn id="1" name="UDC" dataDxfId="34">
      <calculatedColumnFormula>TableMJRUSCRAR[[#This Row],[Study Package Code]]</calculatedColumnFormula>
    </tableColumn>
    <tableColumn id="9" name="V" dataDxfId="33">
      <calculatedColumnFormula>TableMJRUSCRAR[[#This Row],[Ver]]</calculatedColumnFormula>
    </tableColumn>
    <tableColumn id="10" name="OUA Code"/>
    <tableColumn id="11" name="Unit Title" dataDxfId="32">
      <calculatedColumnFormula>TableMJRUSCRAR[[#This Row],[Structure Line]]</calculatedColumnFormula>
    </tableColumn>
    <tableColumn id="12" name="CPs" dataDxfId="31">
      <calculatedColumnFormula>TableMJRUSCRAR[[#This Row],[Credit Points]]</calculatedColumnFormula>
    </tableColumn>
    <tableColumn id="13" name="No."/>
    <tableColumn id="2" name="Component Type"/>
    <tableColumn id="3" name="Year Level"/>
    <tableColumn id="4" name="Study Period"/>
    <tableColumn id="5" name="Study Package Code"/>
    <tableColumn id="6" name="Ver" dataDxfId="30"/>
    <tableColumn id="7" name="Structure Line"/>
    <tableColumn id="8" name="Credit Points"/>
    <tableColumn id="14" name="Effective" dataDxfId="29"/>
    <tableColumn id="15" name="Discont." dataDxfId="28"/>
  </tableColumns>
  <tableStyleInfo name="TableStyleLight1" showFirstColumn="0" showLastColumn="0" showRowStripes="1" showColumnStripes="0"/>
</table>
</file>

<file path=xl/tables/table31.xml><?xml version="1.0" encoding="utf-8"?>
<table xmlns="http://schemas.openxmlformats.org/spreadsheetml/2006/main" id="31" name="TableMJRUTHTRA" displayName="TableMJRUTHTRA" ref="A397:O407" totalsRowShown="0">
  <autoFilter ref="A397:O407"/>
  <sortState ref="A388:O397">
    <sortCondition ref="F387:F397"/>
  </sortState>
  <tableColumns count="15">
    <tableColumn id="1" name="UDC" dataDxfId="27">
      <calculatedColumnFormula>TableMJRUTHTRA[[#This Row],[Study Package Code]]</calculatedColumnFormula>
    </tableColumn>
    <tableColumn id="9" name="V" dataDxfId="26">
      <calculatedColumnFormula>TableMJRUTHTRA[[#This Row],[Ver]]</calculatedColumnFormula>
    </tableColumn>
    <tableColumn id="10" name="OUA Code"/>
    <tableColumn id="11" name="Unit Title" dataDxfId="25">
      <calculatedColumnFormula>TableMJRUTHTRA[[#This Row],[Structure Line]]</calculatedColumnFormula>
    </tableColumn>
    <tableColumn id="12" name="CPs" dataDxfId="24">
      <calculatedColumnFormula>TableMJRUTHTRA[[#This Row],[Credit Points]]</calculatedColumnFormula>
    </tableColumn>
    <tableColumn id="13" name="No."/>
    <tableColumn id="2" name="Component Type"/>
    <tableColumn id="3" name="Year Level"/>
    <tableColumn id="4" name="Study Period"/>
    <tableColumn id="5" name="Study Package Code"/>
    <tableColumn id="6" name="Ver" dataDxfId="23"/>
    <tableColumn id="7" name="Structure Line"/>
    <tableColumn id="8" name="Credit Points"/>
    <tableColumn id="14" name="Effective" dataDxfId="22"/>
    <tableColumn id="15" name="Discont." dataDxfId="21"/>
  </tableColumns>
  <tableStyleInfo name="TableStyleLight1" showFirstColumn="0" showLastColumn="0" showRowStripes="1" showColumnStripes="0"/>
</table>
</file>

<file path=xl/tables/table32.xml><?xml version="1.0" encoding="utf-8"?>
<table xmlns="http://schemas.openxmlformats.org/spreadsheetml/2006/main" id="32" name="TableMJRUTRHOS" displayName="TableMJRUTRHOS" ref="A409:O421" totalsRowShown="0">
  <autoFilter ref="A409:O421"/>
  <sortState ref="A399:O410">
    <sortCondition ref="F398:F410"/>
  </sortState>
  <tableColumns count="15">
    <tableColumn id="1" name="UDC" dataDxfId="20">
      <calculatedColumnFormula>TableMJRUTRHOS[[#This Row],[Study Package Code]]</calculatedColumnFormula>
    </tableColumn>
    <tableColumn id="9" name="V" dataDxfId="19">
      <calculatedColumnFormula>TableMJRUTRHOS[[#This Row],[Ver]]</calculatedColumnFormula>
    </tableColumn>
    <tableColumn id="10" name="OUA Code"/>
    <tableColumn id="11" name="Unit Title" dataDxfId="18">
      <calculatedColumnFormula>TableMJRUTRHOS[[#This Row],[Structure Line]]</calculatedColumnFormula>
    </tableColumn>
    <tableColumn id="12" name="CPs" dataDxfId="17">
      <calculatedColumnFormula>TableMJRUTRHOS[[#This Row],[Credit Points]]</calculatedColumnFormula>
    </tableColumn>
    <tableColumn id="13" name="No."/>
    <tableColumn id="2" name="Component Type"/>
    <tableColumn id="3" name="Year Level"/>
    <tableColumn id="4" name="Study Period"/>
    <tableColumn id="5" name="Study Package Code"/>
    <tableColumn id="6" name="Ver" dataDxfId="16"/>
    <tableColumn id="7" name="Structure Line"/>
    <tableColumn id="8" name="Credit Points"/>
    <tableColumn id="14" name="Effective" dataDxfId="15"/>
    <tableColumn id="15" name="Discont." dataDxfId="14"/>
  </tableColumns>
  <tableStyleInfo name="TableStyleLight1" showFirstColumn="0" showLastColumn="0" showRowStripes="1" showColumnStripes="0"/>
</table>
</file>

<file path=xl/tables/table33.xml><?xml version="1.0" encoding="utf-8"?>
<table xmlns="http://schemas.openxmlformats.org/spreadsheetml/2006/main" id="36" name="Table53565754" displayName="Table53565754" ref="Q2:R92" totalsRowShown="0">
  <autoFilter ref="Q2:R92"/>
  <tableColumns count="2">
    <tableColumn id="1" name="Column1"/>
    <tableColumn id="2" name="Column2"/>
  </tableColumns>
  <tableStyleInfo name="TableStyleLight4" showFirstColumn="0" showLastColumn="0" showRowStripes="1" showColumnStripes="0"/>
</table>
</file>

<file path=xl/tables/table34.xml><?xml version="1.0" encoding="utf-8"?>
<table xmlns="http://schemas.openxmlformats.org/spreadsheetml/2006/main" id="37" name="Table5356575438" displayName="Table5356575438" ref="Q94:R102" totalsRowShown="0">
  <autoFilter ref="Q94:R102"/>
  <tableColumns count="2">
    <tableColumn id="1" name="Column1"/>
    <tableColumn id="2" name="Column2"/>
  </tableColumns>
  <tableStyleInfo name="TableStyleLight4" showFirstColumn="0" showLastColumn="0" showRowStripes="1" showColumnStripes="0"/>
</table>
</file>

<file path=xl/tables/table35.xml><?xml version="1.0" encoding="utf-8"?>
<table xmlns="http://schemas.openxmlformats.org/spreadsheetml/2006/main" id="38" name="Table535657543839" displayName="Table535657543839" ref="Q104:R112" totalsRowShown="0">
  <autoFilter ref="Q104:R112"/>
  <tableColumns count="2">
    <tableColumn id="1" name="Column1"/>
    <tableColumn id="2" name="Column2"/>
  </tableColumns>
  <tableStyleInfo name="TableStyleLight4" showFirstColumn="0" showLastColumn="0" showRowStripes="1" showColumnStripes="0"/>
</table>
</file>

<file path=xl/tables/table36.xml><?xml version="1.0" encoding="utf-8"?>
<table xmlns="http://schemas.openxmlformats.org/spreadsheetml/2006/main" id="39" name="Table535657543840" displayName="Table535657543840" ref="Q114:R123" totalsRowShown="0">
  <autoFilter ref="Q114:R123"/>
  <tableColumns count="2">
    <tableColumn id="1" name="Column1"/>
    <tableColumn id="2" name="Column2"/>
  </tableColumns>
  <tableStyleInfo name="TableStyleLight4" showFirstColumn="0" showLastColumn="0" showRowStripes="1" showColumnStripes="0"/>
</table>
</file>

<file path=xl/tables/table37.xml><?xml version="1.0" encoding="utf-8"?>
<table xmlns="http://schemas.openxmlformats.org/spreadsheetml/2006/main" id="40" name="Table53565754383941" displayName="Table53565754383941" ref="Q125:R133" totalsRowShown="0">
  <autoFilter ref="Q125:R133"/>
  <tableColumns count="2">
    <tableColumn id="1" name="Column1"/>
    <tableColumn id="2" name="Column2"/>
  </tableColumns>
  <tableStyleInfo name="TableStyleLight4" showFirstColumn="0" showLastColumn="0" showRowStripes="1" showColumnStripes="0"/>
</table>
</file>

<file path=xl/tables/table38.xml><?xml version="1.0" encoding="utf-8"?>
<table xmlns="http://schemas.openxmlformats.org/spreadsheetml/2006/main" id="41" name="Table53565754383942" displayName="Table53565754383942" ref="Q135:R143" totalsRowShown="0">
  <autoFilter ref="Q135:R143"/>
  <tableColumns count="2">
    <tableColumn id="1" name="Column1"/>
    <tableColumn id="2" name="Column2"/>
  </tableColumns>
  <tableStyleInfo name="TableStyleLight4" showFirstColumn="0" showLastColumn="0" showRowStripes="1" showColumnStripes="0"/>
</table>
</file>

<file path=xl/tables/table39.xml><?xml version="1.0" encoding="utf-8"?>
<table xmlns="http://schemas.openxmlformats.org/spreadsheetml/2006/main" id="42" name="Table53565754383943" displayName="Table53565754383943" ref="Q155:R164" totalsRowShown="0">
  <autoFilter ref="Q155:R164"/>
  <tableColumns count="2">
    <tableColumn id="1" name="Column1"/>
    <tableColumn id="2" name="Column2"/>
  </tableColumns>
  <tableStyleInfo name="TableStyleLight4" showFirstColumn="0" showLastColumn="0" showRowStripes="1" showColumnStripes="0"/>
</table>
</file>

<file path=xl/tables/table4.xml><?xml version="1.0" encoding="utf-8"?>
<table xmlns="http://schemas.openxmlformats.org/spreadsheetml/2006/main" id="33" name="TableSecondMajor" displayName="TableSecondMajor" ref="A31:F63" totalsRowShown="0" dataDxfId="347">
  <autoFilter ref="A31:F63"/>
  <tableColumns count="6">
    <tableColumn id="1" name="Choose your Second Major (drop-down list)" dataDxfId="346"/>
    <tableColumn id="2" name="UDC" dataDxfId="345"/>
    <tableColumn id="3" name="Version" dataDxfId="344"/>
    <tableColumn id="4" name="Credit Points" dataDxfId="343"/>
    <tableColumn id="5" name="Effective Date" dataDxfId="342"/>
    <tableColumn id="6" name="Akari Update" dataDxfId="341"/>
  </tableColumns>
  <tableStyleInfo name="TableStyleLight8" showFirstColumn="0" showLastColumn="0" showRowStripes="1" showColumnStripes="0"/>
</table>
</file>

<file path=xl/tables/table40.xml><?xml version="1.0" encoding="utf-8"?>
<table xmlns="http://schemas.openxmlformats.org/spreadsheetml/2006/main" id="43" name="Table53565754383944" displayName="Table53565754383944" ref="Q166:R174" totalsRowShown="0">
  <autoFilter ref="Q166:R174"/>
  <tableColumns count="2">
    <tableColumn id="1" name="Column1"/>
    <tableColumn id="2" name="Column2"/>
  </tableColumns>
  <tableStyleInfo name="TableStyleLight4" showFirstColumn="0" showLastColumn="0" showRowStripes="1" showColumnStripes="0"/>
</table>
</file>

<file path=xl/tables/table41.xml><?xml version="1.0" encoding="utf-8"?>
<table xmlns="http://schemas.openxmlformats.org/spreadsheetml/2006/main" id="44" name="Table53565754383945" displayName="Table53565754383945" ref="Q176:R189" totalsRowShown="0">
  <autoFilter ref="Q176:R189"/>
  <tableColumns count="2">
    <tableColumn id="1" name="Column1"/>
    <tableColumn id="2" name="Column2"/>
  </tableColumns>
  <tableStyleInfo name="TableStyleLight4" showFirstColumn="0" showLastColumn="0" showRowStripes="1" showColumnStripes="0"/>
</table>
</file>

<file path=xl/tables/table42.xml><?xml version="1.0" encoding="utf-8"?>
<table xmlns="http://schemas.openxmlformats.org/spreadsheetml/2006/main" id="45" name="Table53565754383946" displayName="Table53565754383946" ref="Q191:R201" totalsRowShown="0">
  <autoFilter ref="Q191:R201"/>
  <tableColumns count="2">
    <tableColumn id="1" name="Column1"/>
    <tableColumn id="2" name="Column2"/>
  </tableColumns>
  <tableStyleInfo name="TableStyleLight4" showFirstColumn="0" showLastColumn="0" showRowStripes="1" showColumnStripes="0"/>
</table>
</file>

<file path=xl/tables/table43.xml><?xml version="1.0" encoding="utf-8"?>
<table xmlns="http://schemas.openxmlformats.org/spreadsheetml/2006/main" id="46" name="Table53565754383947" displayName="Table53565754383947" ref="Q203:R223" totalsRowShown="0">
  <autoFilter ref="Q203:R223"/>
  <tableColumns count="2">
    <tableColumn id="1" name="Column1"/>
    <tableColumn id="2" name="Column2"/>
  </tableColumns>
  <tableStyleInfo name="TableStyleLight4" showFirstColumn="0" showLastColumn="0" showRowStripes="1" showColumnStripes="0"/>
</table>
</file>

<file path=xl/tables/table44.xml><?xml version="1.0" encoding="utf-8"?>
<table xmlns="http://schemas.openxmlformats.org/spreadsheetml/2006/main" id="47" name="Table53565754383948" displayName="Table53565754383948" ref="Q225:R235" totalsRowShown="0">
  <autoFilter ref="Q225:R235"/>
  <tableColumns count="2">
    <tableColumn id="1" name="Column1"/>
    <tableColumn id="2" name="Column2"/>
  </tableColumns>
  <tableStyleInfo name="TableStyleLight4" showFirstColumn="0" showLastColumn="0" showRowStripes="1" showColumnStripes="0"/>
</table>
</file>

<file path=xl/tables/table45.xml><?xml version="1.0" encoding="utf-8"?>
<table xmlns="http://schemas.openxmlformats.org/spreadsheetml/2006/main" id="48" name="Table53565754383949" displayName="Table53565754383949" ref="Q237:R247" totalsRowShown="0">
  <autoFilter ref="Q237:R247"/>
  <tableColumns count="2">
    <tableColumn id="1" name="Column1"/>
    <tableColumn id="2" name="Column2"/>
  </tableColumns>
  <tableStyleInfo name="TableStyleLight4" showFirstColumn="0" showLastColumn="0" showRowStripes="1" showColumnStripes="0"/>
</table>
</file>

<file path=xl/tables/table46.xml><?xml version="1.0" encoding="utf-8"?>
<table xmlns="http://schemas.openxmlformats.org/spreadsheetml/2006/main" id="49" name="Table53565754383950" displayName="Table53565754383950" ref="Q249:R257" totalsRowShown="0">
  <autoFilter ref="Q249:R257"/>
  <tableColumns count="2">
    <tableColumn id="1" name="Column1"/>
    <tableColumn id="2" name="Column2"/>
  </tableColumns>
  <tableStyleInfo name="TableStyleLight4" showFirstColumn="0" showLastColumn="0" showRowStripes="1" showColumnStripes="0"/>
</table>
</file>

<file path=xl/tables/table47.xml><?xml version="1.0" encoding="utf-8"?>
<table xmlns="http://schemas.openxmlformats.org/spreadsheetml/2006/main" id="50" name="Table53565754383951" displayName="Table53565754383951" ref="Q260:R270" totalsRowShown="0">
  <autoFilter ref="Q260:R270"/>
  <tableColumns count="2">
    <tableColumn id="1" name="Column1"/>
    <tableColumn id="2" name="Column2"/>
  </tableColumns>
  <tableStyleInfo name="TableStyleLight4" showFirstColumn="0" showLastColumn="0" showRowStripes="1" showColumnStripes="0"/>
</table>
</file>

<file path=xl/tables/table48.xml><?xml version="1.0" encoding="utf-8"?>
<table xmlns="http://schemas.openxmlformats.org/spreadsheetml/2006/main" id="51" name="Table53565754383952" displayName="Table53565754383952" ref="Q272:R285" totalsRowShown="0">
  <autoFilter ref="Q272:R285"/>
  <tableColumns count="2">
    <tableColumn id="1" name="Column1"/>
    <tableColumn id="2" name="Column2"/>
  </tableColumns>
  <tableStyleInfo name="TableStyleLight4" showFirstColumn="0" showLastColumn="0" showRowStripes="1" showColumnStripes="0"/>
</table>
</file>

<file path=xl/tables/table49.xml><?xml version="1.0" encoding="utf-8"?>
<table xmlns="http://schemas.openxmlformats.org/spreadsheetml/2006/main" id="52" name="Table53565754383953" displayName="Table53565754383953" ref="Q287:R295" totalsRowShown="0">
  <autoFilter ref="Q287:R295"/>
  <tableColumns count="2">
    <tableColumn id="1" name="Column1"/>
    <tableColumn id="2" name="Column2"/>
  </tableColumns>
  <tableStyleInfo name="TableStyleLight4" showFirstColumn="0" showLastColumn="0" showRowStripes="1" showColumnStripes="0"/>
</table>
</file>

<file path=xl/tables/table5.xml><?xml version="1.0" encoding="utf-8"?>
<table xmlns="http://schemas.openxmlformats.org/spreadsheetml/2006/main" id="2" name="TableHandbook" displayName="TableHandbook" ref="A3:AN343" totalsRowShown="0" headerRowDxfId="339" dataDxfId="337" headerRowBorderDxfId="338" tableBorderDxfId="336">
  <autoFilter ref="A3:AN343"/>
  <sortState ref="A4:AN343">
    <sortCondition ref="A3:A343"/>
  </sortState>
  <tableColumns count="40">
    <tableColumn id="1" name="UDC" dataDxfId="335"/>
    <tableColumn id="2" name="Ver" dataDxfId="334"/>
    <tableColumn id="3" name="OUA Cd" dataDxfId="333"/>
    <tableColumn id="4" name="Title" dataDxfId="332"/>
    <tableColumn id="5" name="Credits" dataDxfId="331"/>
    <tableColumn id="6" name="Pre-reqs" dataDxfId="330"/>
    <tableColumn id="12" name="S1INT" dataDxfId="329">
      <calculatedColumnFormula>IFERROR(IF(VLOOKUP(TableHandbook[[#This Row],[UDC]],TableAvailabilities[],2,FALSE)&gt;0,"Y",""),"")</calculatedColumnFormula>
    </tableColumn>
    <tableColumn id="13" name="S1FO" dataDxfId="328">
      <calculatedColumnFormula>IFERROR(IF(VLOOKUP(TableHandbook[[#This Row],[UDC]],TableAvailabilities[],3,FALSE)&gt;0,"Y",""),"")</calculatedColumnFormula>
    </tableColumn>
    <tableColumn id="14" name="S2INT" dataDxfId="327">
      <calculatedColumnFormula>IFERROR(IF(VLOOKUP(TableHandbook[[#This Row],[UDC]],TableAvailabilities[],4,FALSE)&gt;0,"Y",""),"")</calculatedColumnFormula>
    </tableColumn>
    <tableColumn id="15" name="S2FO" dataDxfId="326">
      <calculatedColumnFormula>IFERROR(IF(VLOOKUP(TableHandbook[[#This Row],[UDC]],TableAvailabilities[],5,FALSE)&gt;0,"Y",""),"")</calculatedColumnFormula>
    </tableColumn>
    <tableColumn id="16" name="Notes" dataDxfId="325"/>
    <tableColumn id="8" name="B-ARTS" dataDxfId="324">
      <calculatedColumnFormula>IFERROR(VLOOKUP(TableHandbook[[#This Row],[UDC]],TableBARTS[],7,FALSE),"")</calculatedColumnFormula>
    </tableColumn>
    <tableColumn id="9" name="MJRU-ANTSO" dataDxfId="323">
      <calculatedColumnFormula>IFERROR(VLOOKUP(TableHandbook[[#This Row],[UDC]],TableMJRUANTSO[],7,FALSE),"")</calculatedColumnFormula>
    </tableColumn>
    <tableColumn id="19" name="MJRU-CHNSE" dataDxfId="322">
      <calculatedColumnFormula>IFERROR(VLOOKUP(TableHandbook[[#This Row],[UDC]],TableMJRUCHNSE[],7,FALSE),"")</calculatedColumnFormula>
    </tableColumn>
    <tableColumn id="22" name="MJRU-CRWRI" dataDxfId="321">
      <calculatedColumnFormula>IFERROR(VLOOKUP(TableHandbook[[#This Row],[UDC]],TableMJRUCRWRI[],7,FALSE),"")</calculatedColumnFormula>
    </tableColumn>
    <tableColumn id="23" name="MJRU-GEOGR" dataDxfId="320">
      <calculatedColumnFormula>IFERROR(VLOOKUP(TableHandbook[[#This Row],[UDC]],TableMJRUGEOGR[],7,FALSE),"")</calculatedColumnFormula>
    </tableColumn>
    <tableColumn id="24" name="MJRU-HISTR" dataDxfId="319">
      <calculatedColumnFormula>IFERROR(VLOOKUP(TableHandbook[[#This Row],[UDC]],TableMJRUHISTR[],7,FALSE),"")</calculatedColumnFormula>
    </tableColumn>
    <tableColumn id="7" name="MJRU-INAUC" dataDxfId="318">
      <calculatedColumnFormula>IFERROR(VLOOKUP(TableHandbook[[#This Row],[UDC]],TableMJRUINAUC[],7,FALSE),"")</calculatedColumnFormula>
    </tableColumn>
    <tableColumn id="25" name="MJRU-INTRL" dataDxfId="317">
      <calculatedColumnFormula>IFERROR(VLOOKUP(TableHandbook[[#This Row],[UDC]],TableMJRUINTRL[],7,FALSE),"")</calculatedColumnFormula>
    </tableColumn>
    <tableColumn id="26" name="MJRU-JAPAN" dataDxfId="316">
      <calculatedColumnFormula>IFERROR(VLOOKUP(TableHandbook[[#This Row],[UDC]],TableMJRUJAPAN[],7,FALSE),"")</calculatedColumnFormula>
    </tableColumn>
    <tableColumn id="27" name="MJRU-JOURN" dataDxfId="315">
      <calculatedColumnFormula>IFERROR(VLOOKUP(TableHandbook[[#This Row],[UDC]],TableMJRUJOURN[],7,FALSE),"")</calculatedColumnFormula>
    </tableColumn>
    <tableColumn id="10" name="MJRU-KORES" dataDxfId="314">
      <calculatedColumnFormula>IFERROR(VLOOKUP(TableHandbook[[#This Row],[UDC]],TableMJRUKORES[],7,FALSE),"")</calculatedColumnFormula>
    </tableColumn>
    <tableColumn id="20" name="MJRU-LITCU" dataDxfId="313">
      <calculatedColumnFormula>IFERROR(VLOOKUP(TableHandbook[[#This Row],[UDC]],TableMJRULITCU[],7,FALSE),"")</calculatedColumnFormula>
    </tableColumn>
    <tableColumn id="21" name="MJRU-NETCM" dataDxfId="312">
      <calculatedColumnFormula>IFERROR(VLOOKUP(TableHandbook[[#This Row],[UDC]],TableMJRUNETCM[],7,FALSE),"")</calculatedColumnFormula>
    </tableColumn>
    <tableColumn id="17" name="MJRU-PRWRP" dataDxfId="311">
      <calculatedColumnFormula>IFERROR(VLOOKUP(TableHandbook[[#This Row],[UDC]],TableMJRUPRWRP[],7,FALSE),"")</calculatedColumnFormula>
    </tableColumn>
    <tableColumn id="28" name="MJRU-SCSTR" dataDxfId="310">
      <calculatedColumnFormula>IFERROR(VLOOKUP(TableHandbook[[#This Row],[UDC]],TableMJRUSCSTR[],7,FALSE),"")</calculatedColumnFormula>
    </tableColumn>
    <tableColumn id="49" name="OptionMajors" dataDxfId="309"/>
    <tableColumn id="29" name="MJRU-BSLAW" dataDxfId="308">
      <calculatedColumnFormula>IFERROR(VLOOKUP(TableHandbook[[#This Row],[UDC]],TableMJRUBSLAW[],7,FALSE),"")</calculatedColumnFormula>
    </tableColumn>
    <tableColumn id="30" name="MJRU-ECONS" dataDxfId="307">
      <calculatedColumnFormula>IFERROR(VLOOKUP(TableHandbook[[#This Row],[UDC]],TableMJRUECONS[],7,FALSE),"")</calculatedColumnFormula>
    </tableColumn>
    <tableColumn id="31" name="MJRU-FINAR" dataDxfId="306">
      <calculatedColumnFormula>IFERROR(VLOOKUP(TableHandbook[[#This Row],[UDC]],TableMJRUFINAR[],7,FALSE),"")</calculatedColumnFormula>
    </tableColumn>
    <tableColumn id="32" name="MJRU-FINCE" dataDxfId="305">
      <calculatedColumnFormula>IFERROR(VLOOKUP(TableHandbook[[#This Row],[UDC]],TableMJRUFINCE[],7,FALSE),"")</calculatedColumnFormula>
    </tableColumn>
    <tableColumn id="33" name="MJRU-HRMGM" dataDxfId="304">
      <calculatedColumnFormula>IFERROR(VLOOKUP(TableHandbook[[#This Row],[UDC]],TableMJRUHRMGM[],7,FALSE),"")</calculatedColumnFormula>
    </tableColumn>
    <tableColumn id="34" name="MJRU-INTBU" dataDxfId="303">
      <calculatedColumnFormula>IFERROR(VLOOKUP(TableHandbook[[#This Row],[UDC]],TableMJRUINTBU[],7,FALSE),"")</calculatedColumnFormula>
    </tableColumn>
    <tableColumn id="35" name="MJRU-LGSCM" dataDxfId="302">
      <calculatedColumnFormula>IFERROR(VLOOKUP(TableHandbook[[#This Row],[UDC]],TableMJRULGSCM[],7,FALSE),"")</calculatedColumnFormula>
    </tableColumn>
    <tableColumn id="36" name="MJRU-MNGMT" dataDxfId="301">
      <calculatedColumnFormula>IFERROR(VLOOKUP(TableHandbook[[#This Row],[UDC]],TableMJRUMNGMT[],7,FALSE),"")</calculatedColumnFormula>
    </tableColumn>
    <tableColumn id="37" name="MJRU-MRKTG" dataDxfId="300">
      <calculatedColumnFormula>IFERROR(VLOOKUP(TableHandbook[[#This Row],[UDC]],TableMJRUMRKTG[],7,FALSE),"")</calculatedColumnFormula>
    </tableColumn>
    <tableColumn id="38" name="MJRU-PRPTY" dataDxfId="299">
      <calculatedColumnFormula>IFERROR(VLOOKUP(TableHandbook[[#This Row],[UDC]],TableMJRUPRPTY[],7,FALSE),"")</calculatedColumnFormula>
    </tableColumn>
    <tableColumn id="39" name="MJRU-SCRAR" dataDxfId="298">
      <calculatedColumnFormula>IFERROR(VLOOKUP(TableHandbook[[#This Row],[UDC]],TableMJRUSCRAR[],7,FALSE),"")</calculatedColumnFormula>
    </tableColumn>
    <tableColumn id="40" name="MJRU-THTRA" dataDxfId="297">
      <calculatedColumnFormula>IFERROR(VLOOKUP(TableHandbook[[#This Row],[UDC]],TableMJRUTHTRA[],7,FALSE),"")</calculatedColumnFormula>
    </tableColumn>
    <tableColumn id="41" name="MJRU-TRHOS" dataDxfId="296">
      <calculatedColumnFormula>IFERROR(VLOOKUP(TableHandbook[[#This Row],[UDC]],TableMJRUTRHOS[],7,FALSE),"")</calculatedColumnFormula>
    </tableColumn>
  </tableColumns>
  <tableStyleInfo name="TableStyleLight8" showFirstColumn="0" showLastColumn="0" showRowStripes="1" showColumnStripes="0"/>
</table>
</file>

<file path=xl/tables/table50.xml><?xml version="1.0" encoding="utf-8"?>
<table xmlns="http://schemas.openxmlformats.org/spreadsheetml/2006/main" id="53" name="Table53565754383954" displayName="Table53565754383954" ref="Q297:R307" totalsRowShown="0">
  <autoFilter ref="Q297:R307"/>
  <tableColumns count="2">
    <tableColumn id="1" name="Column1"/>
    <tableColumn id="2" name="Column2"/>
  </tableColumns>
  <tableStyleInfo name="TableStyleLight4" showFirstColumn="0" showLastColumn="0" showRowStripes="1" showColumnStripes="0"/>
</table>
</file>

<file path=xl/tables/table51.xml><?xml version="1.0" encoding="utf-8"?>
<table xmlns="http://schemas.openxmlformats.org/spreadsheetml/2006/main" id="54" name="Table53565754383955" displayName="Table53565754383955" ref="Q309:R320" totalsRowShown="0">
  <autoFilter ref="Q309:R320"/>
  <tableColumns count="2">
    <tableColumn id="1" name="Column1"/>
    <tableColumn id="2" name="Column2"/>
  </tableColumns>
  <tableStyleInfo name="TableStyleLight4" showFirstColumn="0" showLastColumn="0" showRowStripes="1" showColumnStripes="0"/>
</table>
</file>

<file path=xl/tables/table52.xml><?xml version="1.0" encoding="utf-8"?>
<table xmlns="http://schemas.openxmlformats.org/spreadsheetml/2006/main" id="55" name="Table53565754383956" displayName="Table53565754383956" ref="Q322:R332" totalsRowShown="0">
  <autoFilter ref="Q322:R332"/>
  <tableColumns count="2">
    <tableColumn id="1" name="Column1"/>
    <tableColumn id="2" name="Column2"/>
  </tableColumns>
  <tableStyleInfo name="TableStyleLight4" showFirstColumn="0" showLastColumn="0" showRowStripes="1" showColumnStripes="0"/>
</table>
</file>

<file path=xl/tables/table53.xml><?xml version="1.0" encoding="utf-8"?>
<table xmlns="http://schemas.openxmlformats.org/spreadsheetml/2006/main" id="56" name="Table53565754383957" displayName="Table53565754383957" ref="Q334:R342" totalsRowShown="0">
  <autoFilter ref="Q334:R342"/>
  <tableColumns count="2">
    <tableColumn id="1" name="Column1"/>
    <tableColumn id="2" name="Column2"/>
  </tableColumns>
  <tableStyleInfo name="TableStyleLight4" showFirstColumn="0" showLastColumn="0" showRowStripes="1" showColumnStripes="0"/>
</table>
</file>

<file path=xl/tables/table54.xml><?xml version="1.0" encoding="utf-8"?>
<table xmlns="http://schemas.openxmlformats.org/spreadsheetml/2006/main" id="57" name="Table53565754383958" displayName="Table53565754383958" ref="Q344:R354" totalsRowShown="0">
  <autoFilter ref="Q344:R354"/>
  <tableColumns count="2">
    <tableColumn id="1" name="Column1"/>
    <tableColumn id="2" name="Column2"/>
  </tableColumns>
  <tableStyleInfo name="TableStyleLight4" showFirstColumn="0" showLastColumn="0" showRowStripes="1" showColumnStripes="0"/>
</table>
</file>

<file path=xl/tables/table55.xml><?xml version="1.0" encoding="utf-8"?>
<table xmlns="http://schemas.openxmlformats.org/spreadsheetml/2006/main" id="58" name="Table53565754383959" displayName="Table53565754383959" ref="Q356:R368" totalsRowShown="0">
  <autoFilter ref="Q356:R368"/>
  <tableColumns count="2">
    <tableColumn id="1" name="Column1"/>
    <tableColumn id="2" name="Column2"/>
  </tableColumns>
  <tableStyleInfo name="TableStyleLight4" showFirstColumn="0" showLastColumn="0" showRowStripes="1" showColumnStripes="0"/>
</table>
</file>

<file path=xl/tables/table56.xml><?xml version="1.0" encoding="utf-8"?>
<table xmlns="http://schemas.openxmlformats.org/spreadsheetml/2006/main" id="59" name="Table53565754383960" displayName="Table53565754383960" ref="Q370:R378" totalsRowShown="0">
  <autoFilter ref="Q370:R378"/>
  <tableColumns count="2">
    <tableColumn id="1" name="Column1"/>
    <tableColumn id="2" name="Column2"/>
  </tableColumns>
  <tableStyleInfo name="TableStyleLight4" showFirstColumn="0" showLastColumn="0" showRowStripes="1" showColumnStripes="0"/>
</table>
</file>

<file path=xl/tables/table57.xml><?xml version="1.0" encoding="utf-8"?>
<table xmlns="http://schemas.openxmlformats.org/spreadsheetml/2006/main" id="60" name="Table53565754383961" displayName="Table53565754383961" ref="Q380:R395" totalsRowShown="0">
  <autoFilter ref="Q380:R395"/>
  <tableColumns count="2">
    <tableColumn id="1" name="Column1"/>
    <tableColumn id="2" name="Column2"/>
  </tableColumns>
  <tableStyleInfo name="TableStyleLight4" showFirstColumn="0" showLastColumn="0" showRowStripes="1" showColumnStripes="0"/>
</table>
</file>

<file path=xl/tables/table58.xml><?xml version="1.0" encoding="utf-8"?>
<table xmlns="http://schemas.openxmlformats.org/spreadsheetml/2006/main" id="61" name="Table53565754383962" displayName="Table53565754383962" ref="Q397:R407" totalsRowShown="0">
  <autoFilter ref="Q397:R407"/>
  <tableColumns count="2">
    <tableColumn id="1" name="Column1"/>
    <tableColumn id="2" name="Column2"/>
  </tableColumns>
  <tableStyleInfo name="TableStyleLight4" showFirstColumn="0" showLastColumn="0" showRowStripes="1" showColumnStripes="0"/>
</table>
</file>

<file path=xl/tables/table59.xml><?xml version="1.0" encoding="utf-8"?>
<table xmlns="http://schemas.openxmlformats.org/spreadsheetml/2006/main" id="62" name="Table53565754383963" displayName="Table53565754383963" ref="Q409:R421" totalsRowShown="0">
  <autoFilter ref="Q409:R421"/>
  <tableColumns count="2">
    <tableColumn id="1" name="Column1"/>
    <tableColumn id="2" name="Column2"/>
  </tableColumns>
  <tableStyleInfo name="TableStyleLight4" showFirstColumn="0" showLastColumn="0" showRowStripes="1" showColumnStripes="0"/>
</table>
</file>

<file path=xl/tables/table6.xml><?xml version="1.0" encoding="utf-8"?>
<table xmlns="http://schemas.openxmlformats.org/spreadsheetml/2006/main" id="1" name="TableBARTS" displayName="TableBARTS" ref="A2:O92" totalsRowShown="0">
  <autoFilter ref="A2:O92"/>
  <sortState ref="Z3:AQ6">
    <sortCondition ref="AN2:AN6"/>
  </sortState>
  <tableColumns count="15">
    <tableColumn id="1" name="UDC" dataDxfId="202">
      <calculatedColumnFormula>TableBARTS[[#This Row],[Study Package Code]]</calculatedColumnFormula>
    </tableColumn>
    <tableColumn id="9" name="V" dataDxfId="201">
      <calculatedColumnFormula>TableBARTS[[#This Row],[Ver]]</calculatedColumnFormula>
    </tableColumn>
    <tableColumn id="10" name="OUA Code"/>
    <tableColumn id="11" name="Unit Title" dataDxfId="200">
      <calculatedColumnFormula>TableBARTS[[#This Row],[Structure Line]]</calculatedColumnFormula>
    </tableColumn>
    <tableColumn id="12" name="CPs" dataDxfId="199">
      <calculatedColumnFormula>TableBARTS[[#This Row],[Credit Points]]</calculatedColumnFormula>
    </tableColumn>
    <tableColumn id="13" name="No."/>
    <tableColumn id="2" name="Component Type"/>
    <tableColumn id="3" name="Year Level"/>
    <tableColumn id="4" name="Study Period"/>
    <tableColumn id="5" name="Study Package Code"/>
    <tableColumn id="6" name="Ver" dataDxfId="198"/>
    <tableColumn id="7" name="Structure Line"/>
    <tableColumn id="8" name="Credit Points"/>
    <tableColumn id="14" name="Effective" dataDxfId="197"/>
    <tableColumn id="15" name="Discont." dataDxfId="196"/>
  </tableColumns>
  <tableStyleInfo name="TableStyleLight1" showFirstColumn="0" showLastColumn="0" showRowStripes="1" showColumnStripes="0"/>
</table>
</file>

<file path=xl/tables/table60.xml><?xml version="1.0" encoding="utf-8"?>
<table xmlns="http://schemas.openxmlformats.org/spreadsheetml/2006/main" id="34" name="TableMJRUINAUC" displayName="TableMJRUINAUC" ref="A145:O153" totalsRowShown="0">
  <autoFilter ref="A145:O153"/>
  <sortState ref="A146:O153">
    <sortCondition ref="F144:F152"/>
  </sortState>
  <tableColumns count="15">
    <tableColumn id="1" name="UDC" dataDxfId="13">
      <calculatedColumnFormula>TableMJRUINAUC[[#This Row],[Study Package Code]]</calculatedColumnFormula>
    </tableColumn>
    <tableColumn id="9" name="V" dataDxfId="12">
      <calculatedColumnFormula>TableMJRUINAUC[[#This Row],[Ver]]</calculatedColumnFormula>
    </tableColumn>
    <tableColumn id="10" name="OUA Code"/>
    <tableColumn id="11" name="Unit Title" dataDxfId="11">
      <calculatedColumnFormula>TableMJRUINAUC[[#This Row],[Structure Line]]</calculatedColumnFormula>
    </tableColumn>
    <tableColumn id="12" name="CPs" dataDxfId="10">
      <calculatedColumnFormula>TableMJRUINAUC[[#This Row],[Credit Points]]</calculatedColumnFormula>
    </tableColumn>
    <tableColumn id="13" name="No."/>
    <tableColumn id="2" name="Component Type"/>
    <tableColumn id="3" name="Year Level"/>
    <tableColumn id="4" name="Study Period"/>
    <tableColumn id="5" name="Study Package Code"/>
    <tableColumn id="6" name="Ver" dataDxfId="9"/>
    <tableColumn id="7" name="Structure Line"/>
    <tableColumn id="8" name="Credit Points"/>
    <tableColumn id="14" name="Effective" dataDxfId="8"/>
    <tableColumn id="15" name="Discont." dataDxfId="7"/>
  </tableColumns>
  <tableStyleInfo name="TableStyleLight1" showFirstColumn="0" showLastColumn="0" showRowStripes="1" showColumnStripes="0"/>
</table>
</file>

<file path=xl/tables/table61.xml><?xml version="1.0" encoding="utf-8"?>
<table xmlns="http://schemas.openxmlformats.org/spreadsheetml/2006/main" id="35" name="Table5356575438394336" displayName="Table5356575438394336" ref="Q145:R153" totalsRowShown="0">
  <autoFilter ref="Q145:R153"/>
  <tableColumns count="2">
    <tableColumn id="1" name="Column1"/>
    <tableColumn id="2" name="Column2"/>
  </tableColumns>
  <tableStyleInfo name="TableStyleLight4" showFirstColumn="0" showLastColumn="0" showRowStripes="1" showColumnStripes="0"/>
</table>
</file>

<file path=xl/tables/table62.xml><?xml version="1.0" encoding="utf-8"?>
<table xmlns="http://schemas.openxmlformats.org/spreadsheetml/2006/main" id="13" name="TableAvailabilities" displayName="TableAvailabilities" ref="A3:E248" totalsRowShown="0">
  <autoFilter ref="A3:E248"/>
  <tableColumns count="5">
    <tableColumn id="1" name="Row Labels"/>
    <tableColumn id="2" name="Internal"/>
    <tableColumn id="3" name="Online"/>
    <tableColumn id="4" name="Internal2"/>
    <tableColumn id="5" name="Online3"/>
  </tableColumns>
  <tableStyleInfo name="TableStyleLight7" showFirstColumn="0" showLastColumn="0" showRowStripes="1" showColumnStripes="0"/>
</table>
</file>

<file path=xl/tables/table63.xml><?xml version="1.0" encoding="utf-8"?>
<table xmlns="http://schemas.openxmlformats.org/spreadsheetml/2006/main" id="63" name="Table63" displayName="Table63" ref="A1:E17" totalsRowShown="0" dataDxfId="5">
  <autoFilter ref="A1:E17"/>
  <tableColumns count="5">
    <tableColumn id="1" name="Date" dataDxfId="4"/>
    <tableColumn id="3" name="Title" dataDxfId="3"/>
    <tableColumn id="2" name="Component" dataDxfId="2"/>
    <tableColumn id="4" name="Issue" dataDxfId="1"/>
    <tableColumn id="5" name="Action" dataDxfId="0"/>
  </tableColumns>
  <tableStyleInfo name="TableStyleLight1" showFirstColumn="0" showLastColumn="0" showRowStripes="1" showColumnStripes="0"/>
</table>
</file>

<file path=xl/tables/table7.xml><?xml version="1.0" encoding="utf-8"?>
<table xmlns="http://schemas.openxmlformats.org/spreadsheetml/2006/main" id="6" name="TableMJRUANTSO" displayName="TableMJRUANTSO" ref="A94:O102" totalsRowShown="0">
  <autoFilter ref="A94:O102"/>
  <sortState ref="Z11:AQ18">
    <sortCondition ref="AM10:AM18"/>
  </sortState>
  <tableColumns count="15">
    <tableColumn id="1" name="UDC" dataDxfId="195">
      <calculatedColumnFormula>TableMJRUANTSO[[#This Row],[Study Package Code]]</calculatedColumnFormula>
    </tableColumn>
    <tableColumn id="9" name="V" dataDxfId="194">
      <calculatedColumnFormula>TableMJRUANTSO[[#This Row],[Ver]]</calculatedColumnFormula>
    </tableColumn>
    <tableColumn id="10" name="OUA Code"/>
    <tableColumn id="11" name="Unit Title" dataDxfId="193">
      <calculatedColumnFormula>TableMJRUANTSO[[#This Row],[Structure Line]]</calculatedColumnFormula>
    </tableColumn>
    <tableColumn id="12" name="CPs" dataDxfId="192">
      <calculatedColumnFormula>TableMJRUANTSO[[#This Row],[Credit Points]]</calculatedColumnFormula>
    </tableColumn>
    <tableColumn id="13" name="No."/>
    <tableColumn id="2" name="Component Type"/>
    <tableColumn id="3" name="Year Level"/>
    <tableColumn id="4" name="Study Period"/>
    <tableColumn id="5" name="Study Package Code"/>
    <tableColumn id="6" name="Ver" dataDxfId="191"/>
    <tableColumn id="7" name="Structure Line"/>
    <tableColumn id="8" name="Credit Points"/>
    <tableColumn id="14" name="Effective" dataDxfId="190"/>
    <tableColumn id="15" name="Discont." dataDxfId="189"/>
  </tableColumns>
  <tableStyleInfo name="TableStyleLight1" showFirstColumn="0" showLastColumn="0" showRowStripes="1" showColumnStripes="0"/>
</table>
</file>

<file path=xl/tables/table8.xml><?xml version="1.0" encoding="utf-8"?>
<table xmlns="http://schemas.openxmlformats.org/spreadsheetml/2006/main" id="7" name="TableMJRUCHNSE" displayName="TableMJRUCHNSE" ref="A104:O112" totalsRowShown="0">
  <autoFilter ref="A104:O112"/>
  <sortState ref="A105:O112">
    <sortCondition ref="F104:F112"/>
  </sortState>
  <tableColumns count="15">
    <tableColumn id="1" name="UDC" dataDxfId="188">
      <calculatedColumnFormula>TableMJRUCHNSE[[#This Row],[Study Package Code]]</calculatedColumnFormula>
    </tableColumn>
    <tableColumn id="9" name="V" dataDxfId="187">
      <calculatedColumnFormula>TableMJRUCHNSE[[#This Row],[Ver]]</calculatedColumnFormula>
    </tableColumn>
    <tableColumn id="10" name="OUA Code"/>
    <tableColumn id="11" name="Unit Title" dataDxfId="186">
      <calculatedColumnFormula>TableMJRUCHNSE[[#This Row],[Structure Line]]</calculatedColumnFormula>
    </tableColumn>
    <tableColumn id="12" name="CPs" dataDxfId="185">
      <calculatedColumnFormula>TableMJRUCHNSE[[#This Row],[Credit Points]]</calculatedColumnFormula>
    </tableColumn>
    <tableColumn id="13" name="No."/>
    <tableColumn id="2" name="Component Type"/>
    <tableColumn id="3" name="Year Level"/>
    <tableColumn id="4" name="Study Period"/>
    <tableColumn id="5" name="Study Package Code"/>
    <tableColumn id="6" name="Ver" dataDxfId="184"/>
    <tableColumn id="7" name="Structure Line"/>
    <tableColumn id="8" name="Credit Points"/>
    <tableColumn id="14" name="Effective" dataDxfId="183"/>
    <tableColumn id="15" name="Discont." dataDxfId="182"/>
  </tableColumns>
  <tableStyleInfo name="TableStyleLight1" showFirstColumn="0" showLastColumn="0" showRowStripes="1" showColumnStripes="0"/>
</table>
</file>

<file path=xl/tables/table9.xml><?xml version="1.0" encoding="utf-8"?>
<table xmlns="http://schemas.openxmlformats.org/spreadsheetml/2006/main" id="8" name="TableMJRUCRWRI" displayName="TableMJRUCRWRI" ref="A114:O123" totalsRowShown="0">
  <autoFilter ref="A114:O123"/>
  <sortState ref="A104:M112">
    <sortCondition ref="F103:F112"/>
  </sortState>
  <tableColumns count="15">
    <tableColumn id="1" name="UDC" dataDxfId="181">
      <calculatedColumnFormula>TableMJRUCRWRI[[#This Row],[Study Package Code]]</calculatedColumnFormula>
    </tableColumn>
    <tableColumn id="9" name="V" dataDxfId="180">
      <calculatedColumnFormula>TableMJRUCRWRI[[#This Row],[Ver]]</calculatedColumnFormula>
    </tableColumn>
    <tableColumn id="10" name="OUA Code"/>
    <tableColumn id="11" name="Unit Title" dataDxfId="179">
      <calculatedColumnFormula>TableMJRUCRWRI[[#This Row],[Structure Line]]</calculatedColumnFormula>
    </tableColumn>
    <tableColumn id="12" name="CPs" dataDxfId="178">
      <calculatedColumnFormula>TableMJRUCRWRI[[#This Row],[Credit Points]]</calculatedColumnFormula>
    </tableColumn>
    <tableColumn id="13" name="No."/>
    <tableColumn id="2" name="Component Type"/>
    <tableColumn id="3" name="Year Level"/>
    <tableColumn id="4" name="Study Period"/>
    <tableColumn id="5" name="Study Package Code"/>
    <tableColumn id="6" name="Ver" dataDxfId="177"/>
    <tableColumn id="7" name="Structure Line"/>
    <tableColumn id="8" name="Credit Points"/>
    <tableColumn id="14" name="Effective" dataDxfId="176"/>
    <tableColumn id="15" name="Discont." dataDxfId="17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students.connect.curtin.edu.au/" TargetMode="External"/><Relationship Id="rId7" Type="http://schemas.openxmlformats.org/officeDocument/2006/relationships/hyperlink" Target="https://students.connect.curtin.edu.au/" TargetMode="External"/><Relationship Id="rId2" Type="http://schemas.openxmlformats.org/officeDocument/2006/relationships/hyperlink" Target="https://students.connect.curtin.edu.au/" TargetMode="External"/><Relationship Id="rId1" Type="http://schemas.openxmlformats.org/officeDocument/2006/relationships/hyperlink" Target="https://students.connect.curtin.edu.au/" TargetMode="External"/><Relationship Id="rId6" Type="http://schemas.openxmlformats.org/officeDocument/2006/relationships/hyperlink" Target="https://students.connect.curtin.edu.au/" TargetMode="External"/><Relationship Id="rId5" Type="http://schemas.openxmlformats.org/officeDocument/2006/relationships/hyperlink" Target="https://students.connect.curtin.edu.au/" TargetMode="External"/><Relationship Id="rId4" Type="http://schemas.openxmlformats.org/officeDocument/2006/relationships/hyperlink" Target="https://students.connect.curtin.edu.au/"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table" Target="../tables/table16.xml"/><Relationship Id="rId18" Type="http://schemas.openxmlformats.org/officeDocument/2006/relationships/table" Target="../tables/table21.xml"/><Relationship Id="rId26" Type="http://schemas.openxmlformats.org/officeDocument/2006/relationships/table" Target="../tables/table29.xml"/><Relationship Id="rId39" Type="http://schemas.openxmlformats.org/officeDocument/2006/relationships/table" Target="../tables/table42.xml"/><Relationship Id="rId21" Type="http://schemas.openxmlformats.org/officeDocument/2006/relationships/table" Target="../tables/table24.xml"/><Relationship Id="rId34" Type="http://schemas.openxmlformats.org/officeDocument/2006/relationships/table" Target="../tables/table37.xml"/><Relationship Id="rId42" Type="http://schemas.openxmlformats.org/officeDocument/2006/relationships/table" Target="../tables/table45.xml"/><Relationship Id="rId47" Type="http://schemas.openxmlformats.org/officeDocument/2006/relationships/table" Target="../tables/table50.xml"/><Relationship Id="rId50" Type="http://schemas.openxmlformats.org/officeDocument/2006/relationships/table" Target="../tables/table53.xml"/><Relationship Id="rId55" Type="http://schemas.openxmlformats.org/officeDocument/2006/relationships/table" Target="../tables/table58.xml"/><Relationship Id="rId7" Type="http://schemas.openxmlformats.org/officeDocument/2006/relationships/table" Target="../tables/table10.xml"/><Relationship Id="rId12" Type="http://schemas.openxmlformats.org/officeDocument/2006/relationships/table" Target="../tables/table15.xml"/><Relationship Id="rId17" Type="http://schemas.openxmlformats.org/officeDocument/2006/relationships/table" Target="../tables/table20.xml"/><Relationship Id="rId25" Type="http://schemas.openxmlformats.org/officeDocument/2006/relationships/table" Target="../tables/table28.xml"/><Relationship Id="rId33" Type="http://schemas.openxmlformats.org/officeDocument/2006/relationships/table" Target="../tables/table36.xml"/><Relationship Id="rId38" Type="http://schemas.openxmlformats.org/officeDocument/2006/relationships/table" Target="../tables/table41.xml"/><Relationship Id="rId46" Type="http://schemas.openxmlformats.org/officeDocument/2006/relationships/table" Target="../tables/table49.xml"/><Relationship Id="rId59" Type="http://schemas.openxmlformats.org/officeDocument/2006/relationships/comments" Target="../comments1.xml"/><Relationship Id="rId2" Type="http://schemas.openxmlformats.org/officeDocument/2006/relationships/vmlDrawing" Target="../drawings/vmlDrawing1.vml"/><Relationship Id="rId16" Type="http://schemas.openxmlformats.org/officeDocument/2006/relationships/table" Target="../tables/table19.xml"/><Relationship Id="rId20" Type="http://schemas.openxmlformats.org/officeDocument/2006/relationships/table" Target="../tables/table23.xml"/><Relationship Id="rId29" Type="http://schemas.openxmlformats.org/officeDocument/2006/relationships/table" Target="../tables/table32.xml"/><Relationship Id="rId41" Type="http://schemas.openxmlformats.org/officeDocument/2006/relationships/table" Target="../tables/table44.xml"/><Relationship Id="rId54" Type="http://schemas.openxmlformats.org/officeDocument/2006/relationships/table" Target="../tables/table57.xml"/><Relationship Id="rId1" Type="http://schemas.openxmlformats.org/officeDocument/2006/relationships/printerSettings" Target="../printerSettings/printerSettings4.bin"/><Relationship Id="rId6" Type="http://schemas.openxmlformats.org/officeDocument/2006/relationships/table" Target="../tables/table9.xml"/><Relationship Id="rId11" Type="http://schemas.openxmlformats.org/officeDocument/2006/relationships/table" Target="../tables/table14.xml"/><Relationship Id="rId24" Type="http://schemas.openxmlformats.org/officeDocument/2006/relationships/table" Target="../tables/table27.xml"/><Relationship Id="rId32" Type="http://schemas.openxmlformats.org/officeDocument/2006/relationships/table" Target="../tables/table35.xml"/><Relationship Id="rId37" Type="http://schemas.openxmlformats.org/officeDocument/2006/relationships/table" Target="../tables/table40.xml"/><Relationship Id="rId40" Type="http://schemas.openxmlformats.org/officeDocument/2006/relationships/table" Target="../tables/table43.xml"/><Relationship Id="rId45" Type="http://schemas.openxmlformats.org/officeDocument/2006/relationships/table" Target="../tables/table48.xml"/><Relationship Id="rId53" Type="http://schemas.openxmlformats.org/officeDocument/2006/relationships/table" Target="../tables/table56.xml"/><Relationship Id="rId58" Type="http://schemas.openxmlformats.org/officeDocument/2006/relationships/table" Target="../tables/table61.xml"/><Relationship Id="rId5" Type="http://schemas.openxmlformats.org/officeDocument/2006/relationships/table" Target="../tables/table8.xml"/><Relationship Id="rId15" Type="http://schemas.openxmlformats.org/officeDocument/2006/relationships/table" Target="../tables/table18.xml"/><Relationship Id="rId23" Type="http://schemas.openxmlformats.org/officeDocument/2006/relationships/table" Target="../tables/table26.xml"/><Relationship Id="rId28" Type="http://schemas.openxmlformats.org/officeDocument/2006/relationships/table" Target="../tables/table31.xml"/><Relationship Id="rId36" Type="http://schemas.openxmlformats.org/officeDocument/2006/relationships/table" Target="../tables/table39.xml"/><Relationship Id="rId49" Type="http://schemas.openxmlformats.org/officeDocument/2006/relationships/table" Target="../tables/table52.xml"/><Relationship Id="rId57" Type="http://schemas.openxmlformats.org/officeDocument/2006/relationships/table" Target="../tables/table60.xml"/><Relationship Id="rId10" Type="http://schemas.openxmlformats.org/officeDocument/2006/relationships/table" Target="../tables/table13.xml"/><Relationship Id="rId19" Type="http://schemas.openxmlformats.org/officeDocument/2006/relationships/table" Target="../tables/table22.xml"/><Relationship Id="rId31" Type="http://schemas.openxmlformats.org/officeDocument/2006/relationships/table" Target="../tables/table34.xml"/><Relationship Id="rId44" Type="http://schemas.openxmlformats.org/officeDocument/2006/relationships/table" Target="../tables/table47.xml"/><Relationship Id="rId52" Type="http://schemas.openxmlformats.org/officeDocument/2006/relationships/table" Target="../tables/table55.xml"/><Relationship Id="rId4" Type="http://schemas.openxmlformats.org/officeDocument/2006/relationships/table" Target="../tables/table7.xml"/><Relationship Id="rId9" Type="http://schemas.openxmlformats.org/officeDocument/2006/relationships/table" Target="../tables/table12.xml"/><Relationship Id="rId14" Type="http://schemas.openxmlformats.org/officeDocument/2006/relationships/table" Target="../tables/table17.xml"/><Relationship Id="rId22" Type="http://schemas.openxmlformats.org/officeDocument/2006/relationships/table" Target="../tables/table25.xml"/><Relationship Id="rId27" Type="http://schemas.openxmlformats.org/officeDocument/2006/relationships/table" Target="../tables/table30.xml"/><Relationship Id="rId30" Type="http://schemas.openxmlformats.org/officeDocument/2006/relationships/table" Target="../tables/table33.xml"/><Relationship Id="rId35" Type="http://schemas.openxmlformats.org/officeDocument/2006/relationships/table" Target="../tables/table38.xml"/><Relationship Id="rId43" Type="http://schemas.openxmlformats.org/officeDocument/2006/relationships/table" Target="../tables/table46.xml"/><Relationship Id="rId48" Type="http://schemas.openxmlformats.org/officeDocument/2006/relationships/table" Target="../tables/table51.xml"/><Relationship Id="rId56" Type="http://schemas.openxmlformats.org/officeDocument/2006/relationships/table" Target="../tables/table59.xml"/><Relationship Id="rId8" Type="http://schemas.openxmlformats.org/officeDocument/2006/relationships/table" Target="../tables/table11.xml"/><Relationship Id="rId51" Type="http://schemas.openxmlformats.org/officeDocument/2006/relationships/table" Target="../tables/table54.xml"/><Relationship Id="rId3" Type="http://schemas.openxmlformats.org/officeDocument/2006/relationships/table" Target="../tables/table6.xml"/></Relationships>
</file>

<file path=xl/worksheets/_rels/sheet5.xml.rels><?xml version="1.0" encoding="UTF-8" standalone="yes"?>
<Relationships xmlns="http://schemas.openxmlformats.org/package/2006/relationships"><Relationship Id="rId2" Type="http://schemas.openxmlformats.org/officeDocument/2006/relationships/table" Target="../tables/table6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19"/>
  <sheetViews>
    <sheetView showGridLines="0" tabSelected="1" topLeftCell="A3" zoomScaleNormal="100" workbookViewId="0">
      <selection activeCell="D6" sqref="D6"/>
    </sheetView>
  </sheetViews>
  <sheetFormatPr defaultRowHeight="15" x14ac:dyDescent="0.25"/>
  <cols>
    <col min="1" max="1" width="12.875" style="271" customWidth="1"/>
    <col min="2" max="2" width="3.25" style="271" customWidth="1"/>
    <col min="3" max="3" width="5.875" style="271" customWidth="1"/>
    <col min="4" max="4" width="47.75" style="260" bestFit="1" customWidth="1"/>
    <col min="5" max="5" width="7.375" style="271" customWidth="1"/>
    <col min="6" max="6" width="34.875" style="260" bestFit="1" customWidth="1"/>
    <col min="7" max="7" width="5.625" style="260" customWidth="1"/>
    <col min="8" max="11" width="4.625" style="260" customWidth="1"/>
    <col min="12" max="12" width="16.125" style="260" bestFit="1" customWidth="1"/>
    <col min="13" max="13" width="2.5" style="259" hidden="1" customWidth="1"/>
    <col min="14" max="16384" width="9" style="260"/>
  </cols>
  <sheetData>
    <row r="1" spans="1:16" hidden="1" x14ac:dyDescent="0.25">
      <c r="A1" s="255" t="s">
        <v>0</v>
      </c>
      <c r="B1" s="256" t="s">
        <v>1</v>
      </c>
      <c r="C1" s="256" t="s">
        <v>2</v>
      </c>
      <c r="D1" s="257" t="s">
        <v>3</v>
      </c>
      <c r="E1" s="256"/>
      <c r="F1" s="257" t="s">
        <v>4</v>
      </c>
      <c r="G1" s="257" t="s">
        <v>5</v>
      </c>
      <c r="H1" s="258" t="s">
        <v>6</v>
      </c>
      <c r="I1" s="257"/>
      <c r="J1" s="257"/>
      <c r="K1" s="257"/>
      <c r="L1" s="257" t="s">
        <v>7</v>
      </c>
    </row>
    <row r="2" spans="1:16" hidden="1" x14ac:dyDescent="0.25">
      <c r="A2" s="261"/>
      <c r="B2" s="262">
        <v>2</v>
      </c>
      <c r="C2" s="262">
        <v>3</v>
      </c>
      <c r="D2" s="262">
        <v>4</v>
      </c>
      <c r="E2" s="262"/>
      <c r="F2" s="262">
        <v>6</v>
      </c>
      <c r="G2" s="262">
        <v>5</v>
      </c>
      <c r="H2" s="262">
        <v>7</v>
      </c>
      <c r="I2" s="262">
        <v>8</v>
      </c>
      <c r="J2" s="262">
        <v>9</v>
      </c>
      <c r="K2" s="262">
        <v>10</v>
      </c>
      <c r="L2" s="262"/>
    </row>
    <row r="3" spans="1:16" ht="39.950000000000003" customHeight="1" x14ac:dyDescent="0.25">
      <c r="A3" s="263" t="s">
        <v>8</v>
      </c>
      <c r="B3" s="264"/>
      <c r="C3" s="264"/>
      <c r="D3" s="264"/>
      <c r="E3" s="265"/>
      <c r="F3" s="266"/>
      <c r="G3" s="266"/>
      <c r="H3" s="266"/>
      <c r="I3" s="266"/>
      <c r="J3" s="266"/>
      <c r="K3" s="266"/>
      <c r="L3" s="266"/>
    </row>
    <row r="4" spans="1:16" ht="26.25" x14ac:dyDescent="0.25">
      <c r="A4" s="267" t="s">
        <v>1034</v>
      </c>
      <c r="B4" s="268"/>
      <c r="C4" s="268"/>
      <c r="D4" s="268"/>
      <c r="E4" s="269"/>
      <c r="F4" s="268"/>
      <c r="G4" s="270"/>
      <c r="H4" s="270"/>
      <c r="I4" s="270"/>
      <c r="J4" s="270"/>
      <c r="K4" s="270"/>
      <c r="L4" s="270"/>
    </row>
    <row r="5" spans="1:16" ht="20.100000000000001" customHeight="1" x14ac:dyDescent="0.25">
      <c r="B5" s="272"/>
      <c r="C5" s="273" t="s">
        <v>9</v>
      </c>
      <c r="D5" s="274" t="s">
        <v>10</v>
      </c>
      <c r="E5" s="275"/>
      <c r="F5" s="273" t="s">
        <v>11</v>
      </c>
      <c r="G5" s="276" t="str">
        <f>IFERROR(CONCATENATE(VLOOKUP(D5,TableCourses[],2,FALSE)," ",VLOOKUP(D5,TableCourses[],3,FALSE)),"")</f>
        <v>B-ARTS v.6</v>
      </c>
      <c r="H5" s="276"/>
      <c r="I5" s="276"/>
      <c r="J5" s="276"/>
      <c r="K5" s="276"/>
      <c r="L5" s="277" t="str">
        <f>CONCATENATE(VLOOKUP(D5,TableCourses[],2,FALSE),VLOOKUP(D8,TableStudyPeriod[],2,FALSE))</f>
        <v>B-ARTSSem2</v>
      </c>
    </row>
    <row r="6" spans="1:16" ht="20.100000000000001" customHeight="1" x14ac:dyDescent="0.25">
      <c r="B6" s="272"/>
      <c r="C6" s="273" t="s">
        <v>12</v>
      </c>
      <c r="D6" s="205" t="s">
        <v>107</v>
      </c>
      <c r="E6" s="275"/>
      <c r="F6" s="273" t="s">
        <v>14</v>
      </c>
      <c r="G6" s="276" t="str">
        <f>IFERROR(CONCATENATE(VLOOKUP(D6,TableArtsMajor[],2,FALSE)," ",VLOOKUP(D6,TableArtsMajor[],3,FALSE)),"")</f>
        <v/>
      </c>
      <c r="H6" s="276"/>
      <c r="I6" s="276"/>
      <c r="J6" s="276"/>
      <c r="K6" s="276"/>
      <c r="L6" s="277" t="e">
        <f>CONCATENATE(VLOOKUP(D6,TableArtsMajor[],2,FALSE),VLOOKUP(D8,TableStudyPeriod[],2,FALSE))</f>
        <v>#N/A</v>
      </c>
    </row>
    <row r="7" spans="1:16" ht="20.100000000000001" customHeight="1" x14ac:dyDescent="0.25">
      <c r="B7" s="272"/>
      <c r="C7" s="273" t="s">
        <v>15</v>
      </c>
      <c r="D7" s="206" t="s">
        <v>156</v>
      </c>
      <c r="E7" s="275"/>
      <c r="F7" s="273" t="s">
        <v>17</v>
      </c>
      <c r="G7" s="276" t="str">
        <f>IFERROR(CONCATENATE(VLOOKUP(D7,TableSecondMajor[],2,FALSE)," ",VLOOKUP(D7,TableSecondMajor[],3,FALSE)),"")</f>
        <v/>
      </c>
      <c r="H7" s="276"/>
      <c r="I7" s="276"/>
      <c r="J7" s="276"/>
      <c r="K7" s="276"/>
      <c r="L7" s="278" t="e">
        <f>CONCATENATE(VLOOKUP(D7,TableSecondMajor[],2,FALSE),VLOOKUP(D8,TableStudyPeriod[],2,FALSE))</f>
        <v>#N/A</v>
      </c>
    </row>
    <row r="8" spans="1:16" ht="20.100000000000001" customHeight="1" x14ac:dyDescent="0.25">
      <c r="A8" s="279"/>
      <c r="B8" s="280"/>
      <c r="C8" s="273" t="s">
        <v>18</v>
      </c>
      <c r="D8" s="276" t="s">
        <v>19</v>
      </c>
      <c r="E8" s="281"/>
      <c r="F8" s="273" t="s">
        <v>20</v>
      </c>
      <c r="G8" s="276" t="str">
        <f>IFERROR(VLOOKUP($D$5,TableCourses[],4,FALSE),"")</f>
        <v>600 credit points required</v>
      </c>
      <c r="H8" s="282"/>
      <c r="I8" s="282"/>
      <c r="J8" s="282"/>
      <c r="K8" s="282"/>
      <c r="L8" s="282"/>
    </row>
    <row r="9" spans="1:16" s="291" customFormat="1" ht="14.1" customHeight="1" x14ac:dyDescent="0.25">
      <c r="A9" s="283"/>
      <c r="B9" s="283"/>
      <c r="C9" s="283"/>
      <c r="D9" s="284"/>
      <c r="E9" s="283"/>
      <c r="F9" s="283"/>
      <c r="G9" s="283"/>
      <c r="H9" s="285" t="s">
        <v>21</v>
      </c>
      <c r="I9" s="286"/>
      <c r="J9" s="286"/>
      <c r="K9" s="287"/>
      <c r="L9" s="288"/>
      <c r="M9" s="289"/>
      <c r="N9" s="290"/>
      <c r="O9" s="290"/>
    </row>
    <row r="10" spans="1:16" s="291" customFormat="1" ht="21" x14ac:dyDescent="0.25">
      <c r="A10" s="283" t="s">
        <v>22</v>
      </c>
      <c r="B10" s="283"/>
      <c r="C10" s="283"/>
      <c r="D10" s="292" t="s">
        <v>3</v>
      </c>
      <c r="E10" s="293" t="s">
        <v>23</v>
      </c>
      <c r="F10" s="283" t="s">
        <v>24</v>
      </c>
      <c r="G10" s="283" t="s">
        <v>25</v>
      </c>
      <c r="H10" s="294" t="s">
        <v>26</v>
      </c>
      <c r="I10" s="295" t="s">
        <v>27</v>
      </c>
      <c r="J10" s="295" t="s">
        <v>28</v>
      </c>
      <c r="K10" s="296" t="s">
        <v>29</v>
      </c>
      <c r="L10" s="283" t="s">
        <v>1035</v>
      </c>
      <c r="M10" s="289"/>
      <c r="N10" s="290"/>
      <c r="O10" s="290"/>
    </row>
    <row r="11" spans="1:16" s="305" customFormat="1" ht="19.5" customHeight="1" x14ac:dyDescent="0.15">
      <c r="A11" s="297" t="str">
        <f>IFERROR(IF(HLOOKUP($L$5,RangeUnitsets,M11,FALSE)=0,"",HLOOKUP($L$5,RangeUnitsets,M11,FALSE)),"")</f>
        <v>COMS1010</v>
      </c>
      <c r="B11" s="298">
        <f>IFERROR(IF(VLOOKUP($A11,TableHandbook[],2,FALSE)=0,"",VLOOKUP($A11,TableHandbook[],2,FALSE)),"")</f>
        <v>2</v>
      </c>
      <c r="C11" s="298" t="str">
        <f>IFERROR(IF(VLOOKUP($A11,TableHandbook[],3,FALSE)=0,"",VLOOKUP($A11,TableHandbook[],3,FALSE)),"")</f>
        <v/>
      </c>
      <c r="D11" s="299" t="str">
        <f>IFERROR(IF(VLOOKUP($A11,TableHandbook[],4,FALSE)=0,"",VLOOKUP($A11,TableHandbook[],4,FALSE)),"")</f>
        <v>Academic and Professional Communications</v>
      </c>
      <c r="E11" s="298" t="str">
        <f>IF(A11="","",VLOOKUP($D$8,TableStudyPeriod[],2,FALSE))</f>
        <v>Sem2</v>
      </c>
      <c r="F11" s="300" t="str">
        <f>IFERROR(IF(VLOOKUP($A11,TableHandbook[],6,FALSE)=0,"",VLOOKUP($A11,TableHandbook[],6,FALSE)),"")</f>
        <v>None</v>
      </c>
      <c r="G11" s="298">
        <f>IFERROR(IF(VLOOKUP($A11,TableHandbook[],5,FALSE)=0,"",VLOOKUP($A11,TableHandbook[],5,FALSE)),"")</f>
        <v>25</v>
      </c>
      <c r="H11" s="301" t="str">
        <f>IFERROR(VLOOKUP($A11,TableHandbook[],H$2,FALSE),"")</f>
        <v>Y</v>
      </c>
      <c r="I11" s="298" t="str">
        <f>IFERROR(VLOOKUP($A11,TableHandbook[],I$2,FALSE),"")</f>
        <v>Y</v>
      </c>
      <c r="J11" s="298" t="str">
        <f>IFERROR(VLOOKUP($A11,TableHandbook[],J$2,FALSE),"")</f>
        <v>Y</v>
      </c>
      <c r="K11" s="302" t="str">
        <f>IFERROR(VLOOKUP($A11,TableHandbook[],K$2,FALSE),"")</f>
        <v>Y</v>
      </c>
      <c r="L11" s="207"/>
      <c r="M11" s="303">
        <v>2</v>
      </c>
      <c r="N11" s="304"/>
      <c r="O11" s="304"/>
    </row>
    <row r="12" spans="1:16" s="305" customFormat="1" ht="19.5" customHeight="1" x14ac:dyDescent="0.15">
      <c r="A12" s="306" t="str">
        <f>IFERROR(IF(HLOOKUP($L$6,RangeArtsMajor,M12,FALSE)=0,"",HLOOKUP($L$6,RangeArtsMajor,M12,FALSE)),"")</f>
        <v/>
      </c>
      <c r="B12" s="307" t="str">
        <f>IFERROR(IF(VLOOKUP($A12,TableHandbook[],2,FALSE)=0,"",VLOOKUP($A12,TableHandbook[],2,FALSE)),"")</f>
        <v/>
      </c>
      <c r="C12" s="307" t="str">
        <f>IFERROR(IF(VLOOKUP($A12,TableHandbook[],3,FALSE)=0,"",VLOOKUP($A12,TableHandbook[],3,FALSE)),"")</f>
        <v/>
      </c>
      <c r="D12" s="308" t="str">
        <f>IFERROR(IF(VLOOKUP($A12,TableHandbook[],4,FALSE)=0,"",VLOOKUP($A12,TableHandbook[],4,FALSE)),"")</f>
        <v/>
      </c>
      <c r="E12" s="307" t="str">
        <f>IF(A12="","",E11)</f>
        <v/>
      </c>
      <c r="F12" s="309" t="str">
        <f>IFERROR(IF(VLOOKUP($A12,TableHandbook[],6,FALSE)=0,"",VLOOKUP($A12,TableHandbook[],6,FALSE)),"")</f>
        <v/>
      </c>
      <c r="G12" s="307" t="str">
        <f>IFERROR(IF(VLOOKUP($A12,TableHandbook[],5,FALSE)=0,"",VLOOKUP($A12,TableHandbook[],5,FALSE)),"")</f>
        <v/>
      </c>
      <c r="H12" s="310" t="str">
        <f>IFERROR(VLOOKUP($A12,TableHandbook[],H$2,FALSE),"")</f>
        <v/>
      </c>
      <c r="I12" s="307" t="str">
        <f>IFERROR(VLOOKUP($A12,TableHandbook[],I$2,FALSE),"")</f>
        <v/>
      </c>
      <c r="J12" s="307" t="str">
        <f>IFERROR(VLOOKUP($A12,TableHandbook[],J$2,FALSE),"")</f>
        <v/>
      </c>
      <c r="K12" s="311" t="str">
        <f>IFERROR(VLOOKUP($A12,TableHandbook[],K$2,FALSE),"")</f>
        <v/>
      </c>
      <c r="L12" s="208"/>
      <c r="M12" s="312">
        <v>2</v>
      </c>
      <c r="N12" s="304"/>
      <c r="O12" s="304"/>
    </row>
    <row r="13" spans="1:16" s="305" customFormat="1" ht="19.5" customHeight="1" x14ac:dyDescent="0.15">
      <c r="A13" s="313" t="str">
        <f>IFERROR(IF(HLOOKUP($L$7,RangeSecMajor,M13,FALSE)=0,"",HLOOKUP($L$7,RangeSecMajor,M13,FALSE)),"")</f>
        <v/>
      </c>
      <c r="B13" s="314" t="str">
        <f>IFERROR(IF(VLOOKUP($A13,TableHandbook[],2,FALSE)=0,"",VLOOKUP($A13,TableHandbook[],2,FALSE)),"")</f>
        <v/>
      </c>
      <c r="C13" s="314" t="str">
        <f>IFERROR(IF(VLOOKUP($A13,TableHandbook[],3,FALSE)=0,"",VLOOKUP($A13,TableHandbook[],3,FALSE)),"")</f>
        <v/>
      </c>
      <c r="D13" s="315" t="str">
        <f>IFERROR(IF(VLOOKUP($A13,TableHandbook[],4,FALSE)=0,"",VLOOKUP($A13,TableHandbook[],4,FALSE)),"")</f>
        <v/>
      </c>
      <c r="E13" s="314" t="str">
        <f>IF(A13="","",E12)</f>
        <v/>
      </c>
      <c r="F13" s="316" t="str">
        <f>IFERROR(IF(VLOOKUP($A13,TableHandbook[],6,FALSE)=0,"",VLOOKUP($A13,TableHandbook[],6,FALSE)),"")</f>
        <v/>
      </c>
      <c r="G13" s="314" t="str">
        <f>IFERROR(IF(VLOOKUP($A13,TableHandbook[],5,FALSE)=0,"",VLOOKUP($A13,TableHandbook[],5,FALSE)),"")</f>
        <v/>
      </c>
      <c r="H13" s="317" t="str">
        <f>IFERROR(VLOOKUP($A13,TableHandbook[],H$2,FALSE),"")</f>
        <v/>
      </c>
      <c r="I13" s="314" t="str">
        <f>IFERROR(VLOOKUP($A13,TableHandbook[],I$2,FALSE),"")</f>
        <v/>
      </c>
      <c r="J13" s="314" t="str">
        <f>IFERROR(VLOOKUP($A13,TableHandbook[],J$2,FALSE),"")</f>
        <v/>
      </c>
      <c r="K13" s="318" t="str">
        <f>IFERROR(VLOOKUP($A13,TableHandbook[],K$2,FALSE),"")</f>
        <v/>
      </c>
      <c r="L13" s="209"/>
      <c r="M13" s="319">
        <v>2</v>
      </c>
      <c r="N13" s="304"/>
      <c r="O13" s="304"/>
    </row>
    <row r="14" spans="1:16" s="305" customFormat="1" ht="19.5" customHeight="1" x14ac:dyDescent="0.15">
      <c r="A14" s="313" t="str">
        <f>IFERROR(IF(HLOOKUP($L$7,RangeSecMajor,M14,FALSE)=0,"",HLOOKUP($L$7,RangeSecMajor,M14,FALSE)),"")</f>
        <v/>
      </c>
      <c r="B14" s="314" t="str">
        <f>IFERROR(IF(VLOOKUP($A14,TableHandbook[],2,FALSE)=0,"",VLOOKUP($A14,TableHandbook[],2,FALSE)),"")</f>
        <v/>
      </c>
      <c r="C14" s="314" t="str">
        <f>IFERROR(IF(VLOOKUP($A14,TableHandbook[],3,FALSE)=0,"",VLOOKUP($A14,TableHandbook[],3,FALSE)),"")</f>
        <v/>
      </c>
      <c r="D14" s="315" t="str">
        <f>IFERROR(IF(VLOOKUP($A14,TableHandbook[],4,FALSE)=0,"",VLOOKUP($A14,TableHandbook[],4,FALSE)),"")</f>
        <v/>
      </c>
      <c r="E14" s="314" t="str">
        <f>IF(A14="","",E13)</f>
        <v/>
      </c>
      <c r="F14" s="316" t="str">
        <f>IFERROR(IF(VLOOKUP($A14,TableHandbook[],6,FALSE)=0,"",VLOOKUP($A14,TableHandbook[],6,FALSE)),"")</f>
        <v/>
      </c>
      <c r="G14" s="314" t="str">
        <f>IFERROR(IF(VLOOKUP($A14,TableHandbook[],5,FALSE)=0,"",VLOOKUP($A14,TableHandbook[],5,FALSE)),"")</f>
        <v/>
      </c>
      <c r="H14" s="317" t="str">
        <f>IFERROR(VLOOKUP($A14,TableHandbook[],H$2,FALSE),"")</f>
        <v/>
      </c>
      <c r="I14" s="314" t="str">
        <f>IFERROR(VLOOKUP($A14,TableHandbook[],I$2,FALSE),"")</f>
        <v/>
      </c>
      <c r="J14" s="314" t="str">
        <f>IFERROR(VLOOKUP($A14,TableHandbook[],J$2,FALSE),"")</f>
        <v/>
      </c>
      <c r="K14" s="318" t="str">
        <f>IFERROR(VLOOKUP($A14,TableHandbook[],K$2,FALSE),"")</f>
        <v/>
      </c>
      <c r="L14" s="209"/>
      <c r="M14" s="319">
        <v>3</v>
      </c>
      <c r="N14" s="304"/>
      <c r="O14" s="304"/>
    </row>
    <row r="15" spans="1:16" s="305" customFormat="1" ht="4.5" customHeight="1" x14ac:dyDescent="0.15">
      <c r="A15" s="320"/>
      <c r="B15" s="321"/>
      <c r="C15" s="321"/>
      <c r="D15" s="322"/>
      <c r="E15" s="321"/>
      <c r="F15" s="323"/>
      <c r="G15" s="321"/>
      <c r="H15" s="324"/>
      <c r="I15" s="321"/>
      <c r="J15" s="321"/>
      <c r="K15" s="325"/>
      <c r="L15" s="210"/>
      <c r="M15" s="303"/>
      <c r="N15" s="304"/>
      <c r="O15" s="304"/>
      <c r="P15" s="304"/>
    </row>
    <row r="16" spans="1:16" s="328" customFormat="1" ht="20.100000000000001" customHeight="1" x14ac:dyDescent="0.15">
      <c r="A16" s="297" t="str">
        <f>IFERROR(IF(HLOOKUP($L$5,RangeUnitsets,M16,FALSE)=0,"",HLOOKUP($L$5,RangeUnitsets,M16,FALSE)),"")</f>
        <v>COMS1003</v>
      </c>
      <c r="B16" s="298">
        <f>IFERROR(IF(VLOOKUP($A16,TableHandbook[],2,FALSE)=0,"",VLOOKUP($A16,TableHandbook[],2,FALSE)),"")</f>
        <v>3</v>
      </c>
      <c r="C16" s="298" t="str">
        <f>IFERROR(IF(VLOOKUP($A16,TableHandbook[],3,FALSE)=0,"",VLOOKUP($A16,TableHandbook[],3,FALSE)),"")</f>
        <v/>
      </c>
      <c r="D16" s="326" t="str">
        <f>IFERROR(IF(VLOOKUP($A16,TableHandbook[],4,FALSE)=0,"",VLOOKUP($A16,TableHandbook[],4,FALSE)),"")</f>
        <v>Culture to Cultures</v>
      </c>
      <c r="E16" s="298" t="str">
        <f>IF(A16="","",VLOOKUP($D$8,TableStudyPeriod[],3,FALSE))</f>
        <v>Sem1</v>
      </c>
      <c r="F16" s="300" t="str">
        <f>IFERROR(IF(VLOOKUP($A16,TableHandbook[],6,FALSE)=0,"",VLOOKUP($A16,TableHandbook[],6,FALSE)),"")</f>
        <v>None</v>
      </c>
      <c r="G16" s="298">
        <f>IFERROR(IF(VLOOKUP($A16,TableHandbook[],5,FALSE)=0,"",VLOOKUP($A16,TableHandbook[],5,FALSE)),"")</f>
        <v>25</v>
      </c>
      <c r="H16" s="301" t="str">
        <f>IFERROR(VLOOKUP($A16,TableHandbook[],H$2,FALSE),"")</f>
        <v>Y</v>
      </c>
      <c r="I16" s="298" t="str">
        <f>IFERROR(VLOOKUP($A16,TableHandbook[],I$2,FALSE),"")</f>
        <v>Y</v>
      </c>
      <c r="J16" s="298" t="str">
        <f>IFERROR(VLOOKUP($A16,TableHandbook[],J$2,FALSE),"")</f>
        <v>Y</v>
      </c>
      <c r="K16" s="302" t="str">
        <f>IFERROR(VLOOKUP($A16,TableHandbook[],K$2,FALSE),"")</f>
        <v>Y</v>
      </c>
      <c r="L16" s="207"/>
      <c r="M16" s="303">
        <v>6</v>
      </c>
      <c r="N16" s="327"/>
      <c r="O16" s="327"/>
    </row>
    <row r="17" spans="1:16" s="328" customFormat="1" ht="20.100000000000001" customHeight="1" x14ac:dyDescent="0.15">
      <c r="A17" s="306" t="str">
        <f>IFERROR(IF(HLOOKUP($L$6,RangeArtsMajor,M17,FALSE)=0,"",HLOOKUP($L$6,RangeArtsMajor,M17,FALSE)),"")</f>
        <v/>
      </c>
      <c r="B17" s="307" t="str">
        <f>IFERROR(IF(VLOOKUP($A17,TableHandbook[],2,FALSE)=0,"",VLOOKUP($A17,TableHandbook[],2,FALSE)),"")</f>
        <v/>
      </c>
      <c r="C17" s="307" t="str">
        <f>IFERROR(IF(VLOOKUP($A17,TableHandbook[],3,FALSE)=0,"",VLOOKUP($A17,TableHandbook[],3,FALSE)),"")</f>
        <v/>
      </c>
      <c r="D17" s="308" t="str">
        <f>IFERROR(IF(VLOOKUP($A17,TableHandbook[],4,FALSE)=0,"",VLOOKUP($A17,TableHandbook[],4,FALSE)),"")</f>
        <v/>
      </c>
      <c r="E17" s="307" t="str">
        <f>IF(A17="","",E16)</f>
        <v/>
      </c>
      <c r="F17" s="309" t="str">
        <f>IFERROR(IF(VLOOKUP($A17,TableHandbook[],6,FALSE)=0,"",VLOOKUP($A17,TableHandbook[],6,FALSE)),"")</f>
        <v/>
      </c>
      <c r="G17" s="307" t="str">
        <f>IFERROR(IF(VLOOKUP($A17,TableHandbook[],5,FALSE)=0,"",VLOOKUP($A17,TableHandbook[],5,FALSE)),"")</f>
        <v/>
      </c>
      <c r="H17" s="310" t="str">
        <f>IFERROR(VLOOKUP($A17,TableHandbook[],H$2,FALSE),"")</f>
        <v/>
      </c>
      <c r="I17" s="307" t="str">
        <f>IFERROR(VLOOKUP($A17,TableHandbook[],I$2,FALSE),"")</f>
        <v/>
      </c>
      <c r="J17" s="307" t="str">
        <f>IFERROR(VLOOKUP($A17,TableHandbook[],J$2,FALSE),"")</f>
        <v/>
      </c>
      <c r="K17" s="311" t="str">
        <f>IFERROR(VLOOKUP($A17,TableHandbook[],K$2,FALSE),"")</f>
        <v/>
      </c>
      <c r="L17" s="208"/>
      <c r="M17" s="312">
        <v>4</v>
      </c>
      <c r="N17" s="327"/>
      <c r="O17" s="327"/>
    </row>
    <row r="18" spans="1:16" s="328" customFormat="1" ht="20.100000000000001" customHeight="1" x14ac:dyDescent="0.15">
      <c r="A18" s="313" t="str">
        <f>IFERROR(IF(HLOOKUP($L$7,RangeSecMajor,M18,FALSE)=0,"",HLOOKUP($L$7,RangeSecMajor,M18,FALSE)),"")</f>
        <v/>
      </c>
      <c r="B18" s="314" t="str">
        <f>IFERROR(IF(VLOOKUP($A18,TableHandbook[],2,FALSE)=0,"",VLOOKUP($A18,TableHandbook[],2,FALSE)),"")</f>
        <v/>
      </c>
      <c r="C18" s="314" t="str">
        <f>IFERROR(IF(VLOOKUP($A18,TableHandbook[],3,FALSE)=0,"",VLOOKUP($A18,TableHandbook[],3,FALSE)),"")</f>
        <v/>
      </c>
      <c r="D18" s="315" t="str">
        <f>IFERROR(IF(VLOOKUP($A18,TableHandbook[],4,FALSE)=0,"",VLOOKUP($A18,TableHandbook[],4,FALSE)),"")</f>
        <v/>
      </c>
      <c r="E18" s="314" t="str">
        <f>IF(A18="","",E17)</f>
        <v/>
      </c>
      <c r="F18" s="316" t="str">
        <f>IFERROR(IF(VLOOKUP($A18,TableHandbook[],6,FALSE)=0,"",VLOOKUP($A18,TableHandbook[],6,FALSE)),"")</f>
        <v/>
      </c>
      <c r="G18" s="314" t="str">
        <f>IFERROR(IF(VLOOKUP($A18,TableHandbook[],5,FALSE)=0,"",VLOOKUP($A18,TableHandbook[],5,FALSE)),"")</f>
        <v/>
      </c>
      <c r="H18" s="317" t="str">
        <f>IFERROR(VLOOKUP($A18,TableHandbook[],H$2,FALSE),"")</f>
        <v/>
      </c>
      <c r="I18" s="314" t="str">
        <f>IFERROR(VLOOKUP($A18,TableHandbook[],I$2,FALSE),"")</f>
        <v/>
      </c>
      <c r="J18" s="314" t="str">
        <f>IFERROR(VLOOKUP($A18,TableHandbook[],J$2,FALSE),"")</f>
        <v/>
      </c>
      <c r="K18" s="318" t="str">
        <f>IFERROR(VLOOKUP($A18,TableHandbook[],K$2,FALSE),"")</f>
        <v/>
      </c>
      <c r="L18" s="209"/>
      <c r="M18" s="319">
        <v>4</v>
      </c>
      <c r="N18" s="327"/>
      <c r="O18" s="327"/>
    </row>
    <row r="19" spans="1:16" s="305" customFormat="1" ht="20.100000000000001" customHeight="1" x14ac:dyDescent="0.15">
      <c r="A19" s="313" t="str">
        <f>IFERROR(IF(HLOOKUP($L$7,RangeSecMajor,M19,FALSE)=0,"",HLOOKUP($L$7,RangeSecMajor,M19,FALSE)),"")</f>
        <v/>
      </c>
      <c r="B19" s="314" t="str">
        <f>IFERROR(IF(VLOOKUP($A19,TableHandbook[],2,FALSE)=0,"",VLOOKUP($A19,TableHandbook[],2,FALSE)),"")</f>
        <v/>
      </c>
      <c r="C19" s="314" t="str">
        <f>IFERROR(IF(VLOOKUP($A19,TableHandbook[],3,FALSE)=0,"",VLOOKUP($A19,TableHandbook[],3,FALSE)),"")</f>
        <v/>
      </c>
      <c r="D19" s="315" t="str">
        <f>IFERROR(IF(VLOOKUP($A19,TableHandbook[],4,FALSE)=0,"",VLOOKUP($A19,TableHandbook[],4,FALSE)),"")</f>
        <v/>
      </c>
      <c r="E19" s="314" t="str">
        <f>IF(A19="","",E18)</f>
        <v/>
      </c>
      <c r="F19" s="316" t="str">
        <f>IFERROR(IF(VLOOKUP($A19,TableHandbook[],6,FALSE)=0,"",VLOOKUP($A19,TableHandbook[],6,FALSE)),"")</f>
        <v/>
      </c>
      <c r="G19" s="314" t="str">
        <f>IFERROR(IF(VLOOKUP($A19,TableHandbook[],5,FALSE)=0,"",VLOOKUP($A19,TableHandbook[],5,FALSE)),"")</f>
        <v/>
      </c>
      <c r="H19" s="317" t="str">
        <f>IFERROR(VLOOKUP($A19,TableHandbook[],H$2,FALSE),"")</f>
        <v/>
      </c>
      <c r="I19" s="314" t="str">
        <f>IFERROR(VLOOKUP($A19,TableHandbook[],I$2,FALSE),"")</f>
        <v/>
      </c>
      <c r="J19" s="314" t="str">
        <f>IFERROR(VLOOKUP($A19,TableHandbook[],J$2,FALSE),"")</f>
        <v/>
      </c>
      <c r="K19" s="318" t="str">
        <f>IFERROR(VLOOKUP($A19,TableHandbook[],K$2,FALSE),"")</f>
        <v/>
      </c>
      <c r="L19" s="209"/>
      <c r="M19" s="319">
        <v>5</v>
      </c>
      <c r="N19" s="304"/>
      <c r="O19" s="304"/>
    </row>
    <row r="20" spans="1:16" s="291" customFormat="1" ht="21" x14ac:dyDescent="0.25">
      <c r="A20" s="283" t="s">
        <v>30</v>
      </c>
      <c r="B20" s="283"/>
      <c r="C20" s="283"/>
      <c r="D20" s="292" t="s">
        <v>3</v>
      </c>
      <c r="E20" s="293" t="s">
        <v>23</v>
      </c>
      <c r="F20" s="283" t="s">
        <v>24</v>
      </c>
      <c r="G20" s="283" t="s">
        <v>25</v>
      </c>
      <c r="H20" s="294" t="str">
        <f>H$10</f>
        <v>Sem1 BEN</v>
      </c>
      <c r="I20" s="295" t="str">
        <f t="shared" ref="I20:K20" si="0">I$10</f>
        <v>Sem1 FO</v>
      </c>
      <c r="J20" s="295" t="str">
        <f t="shared" si="0"/>
        <v>Sem2 BEN</v>
      </c>
      <c r="K20" s="296" t="str">
        <f t="shared" si="0"/>
        <v>Sem2 FO</v>
      </c>
      <c r="L20" s="283" t="str">
        <f>L$10</f>
        <v>Notes / Progress</v>
      </c>
      <c r="M20" s="289"/>
      <c r="N20" s="290"/>
      <c r="O20" s="290"/>
    </row>
    <row r="21" spans="1:16" s="305" customFormat="1" ht="20.100000000000001" customHeight="1" x14ac:dyDescent="0.15">
      <c r="A21" s="306" t="str">
        <f>IFERROR(IF(HLOOKUP($L$6,RangeArtsMajor,M21,FALSE)=0,"",HLOOKUP($L$6,RangeArtsMajor,M21,FALSE)),"")</f>
        <v/>
      </c>
      <c r="B21" s="307" t="str">
        <f>IFERROR(IF(VLOOKUP($A21,TableHandbook[],2,FALSE)=0,"",VLOOKUP($A21,TableHandbook[],2,FALSE)),"")</f>
        <v/>
      </c>
      <c r="C21" s="307" t="str">
        <f>IFERROR(IF(VLOOKUP($A21,TableHandbook[],3,FALSE)=0,"",VLOOKUP($A21,TableHandbook[],3,FALSE)),"")</f>
        <v/>
      </c>
      <c r="D21" s="308" t="str">
        <f>IFERROR(IF(VLOOKUP($A21,TableHandbook[],4,FALSE)=0,"",VLOOKUP($A21,TableHandbook[],4,FALSE)),"")</f>
        <v/>
      </c>
      <c r="E21" s="307" t="str">
        <f>IF(A21="","",VLOOKUP($D$8,TableStudyPeriod[],2,FALSE))</f>
        <v/>
      </c>
      <c r="F21" s="309" t="str">
        <f>IFERROR(IF(VLOOKUP($A21,TableHandbook[],6,FALSE)=0,"",VLOOKUP($A21,TableHandbook[],6,FALSE)),"")</f>
        <v/>
      </c>
      <c r="G21" s="307" t="str">
        <f>IFERROR(IF(VLOOKUP($A21,TableHandbook[],5,FALSE)=0,"",VLOOKUP($A21,TableHandbook[],5,FALSE)),"")</f>
        <v/>
      </c>
      <c r="H21" s="310" t="str">
        <f>IFERROR(VLOOKUP($A21,TableHandbook[],H$2,FALSE),"")</f>
        <v/>
      </c>
      <c r="I21" s="307" t="str">
        <f>IFERROR(VLOOKUP($A21,TableHandbook[],I$2,FALSE),"")</f>
        <v/>
      </c>
      <c r="J21" s="307" t="str">
        <f>IFERROR(VLOOKUP($A21,TableHandbook[],J$2,FALSE),"")</f>
        <v/>
      </c>
      <c r="K21" s="311" t="str">
        <f>IFERROR(VLOOKUP($A21,TableHandbook[],K$2,FALSE),"")</f>
        <v/>
      </c>
      <c r="L21" s="208"/>
      <c r="M21" s="312">
        <v>6</v>
      </c>
      <c r="N21" s="304"/>
      <c r="O21" s="304"/>
    </row>
    <row r="22" spans="1:16" s="305" customFormat="1" ht="20.100000000000001" customHeight="1" x14ac:dyDescent="0.15">
      <c r="A22" s="306" t="str">
        <f>IFERROR(IF(HLOOKUP($L$6,RangeArtsMajor,M22,FALSE)=0,"",HLOOKUP($L$6,RangeArtsMajor,M22,FALSE)),"")</f>
        <v/>
      </c>
      <c r="B22" s="307" t="str">
        <f>IFERROR(IF(VLOOKUP($A22,TableHandbook[],2,FALSE)=0,"",VLOOKUP($A22,TableHandbook[],2,FALSE)),"")</f>
        <v/>
      </c>
      <c r="C22" s="307" t="str">
        <f>IFERROR(IF(VLOOKUP($A22,TableHandbook[],3,FALSE)=0,"",VLOOKUP($A22,TableHandbook[],3,FALSE)),"")</f>
        <v/>
      </c>
      <c r="D22" s="329" t="str">
        <f>IFERROR(IF(VLOOKUP($A22,TableHandbook[],4,FALSE)=0,"",VLOOKUP($A22,TableHandbook[],4,FALSE)),"")</f>
        <v/>
      </c>
      <c r="E22" s="307" t="str">
        <f>IF(A22="","",E21)</f>
        <v/>
      </c>
      <c r="F22" s="309" t="str">
        <f>IFERROR(IF(VLOOKUP($A22,TableHandbook[],6,FALSE)=0,"",VLOOKUP($A22,TableHandbook[],6,FALSE)),"")</f>
        <v/>
      </c>
      <c r="G22" s="307" t="str">
        <f>IFERROR(IF(VLOOKUP($A22,TableHandbook[],5,FALSE)=0,"",VLOOKUP($A22,TableHandbook[],5,FALSE)),"")</f>
        <v/>
      </c>
      <c r="H22" s="310" t="str">
        <f>IFERROR(VLOOKUP($A22,TableHandbook[],H$2,FALSE),"")</f>
        <v/>
      </c>
      <c r="I22" s="307" t="str">
        <f>IFERROR(VLOOKUP($A22,TableHandbook[],I$2,FALSE),"")</f>
        <v/>
      </c>
      <c r="J22" s="307" t="str">
        <f>IFERROR(VLOOKUP($A22,TableHandbook[],J$2,FALSE),"")</f>
        <v/>
      </c>
      <c r="K22" s="311" t="str">
        <f>IFERROR(VLOOKUP($A22,TableHandbook[],K$2,FALSE),"")</f>
        <v/>
      </c>
      <c r="L22" s="208"/>
      <c r="M22" s="312">
        <v>7</v>
      </c>
      <c r="N22" s="304"/>
      <c r="O22" s="304"/>
    </row>
    <row r="23" spans="1:16" s="305" customFormat="1" ht="20.100000000000001" customHeight="1" x14ac:dyDescent="0.15">
      <c r="A23" s="313" t="str">
        <f>IFERROR(IF(HLOOKUP($L$7,RangeSecMajor,M23,FALSE)=0,"",HLOOKUP($L$7,RangeSecMajor,M23,FALSE)),"")</f>
        <v/>
      </c>
      <c r="B23" s="314" t="str">
        <f>IFERROR(IF(VLOOKUP($A23,TableHandbook[],2,FALSE)=0,"",VLOOKUP($A23,TableHandbook[],2,FALSE)),"")</f>
        <v/>
      </c>
      <c r="C23" s="314" t="str">
        <f>IFERROR(IF(VLOOKUP($A23,TableHandbook[],3,FALSE)=0,"",VLOOKUP($A23,TableHandbook[],3,FALSE)),"")</f>
        <v/>
      </c>
      <c r="D23" s="330" t="str">
        <f>IFERROR(IF(VLOOKUP($A23,TableHandbook[],4,FALSE)=0,"",VLOOKUP($A23,TableHandbook[],4,FALSE)),"")</f>
        <v/>
      </c>
      <c r="E23" s="314" t="str">
        <f>IF(A23="","",E22)</f>
        <v/>
      </c>
      <c r="F23" s="316" t="str">
        <f>IFERROR(IF(VLOOKUP($A23,TableHandbook[],6,FALSE)=0,"",VLOOKUP($A23,TableHandbook[],6,FALSE)),"")</f>
        <v/>
      </c>
      <c r="G23" s="314" t="str">
        <f>IFERROR(IF(VLOOKUP($A23,TableHandbook[],5,FALSE)=0,"",VLOOKUP($A23,TableHandbook[],5,FALSE)),"")</f>
        <v/>
      </c>
      <c r="H23" s="317" t="str">
        <f>IFERROR(VLOOKUP($A23,TableHandbook[],H$2,FALSE),"")</f>
        <v/>
      </c>
      <c r="I23" s="314" t="str">
        <f>IFERROR(VLOOKUP($A23,TableHandbook[],I$2,FALSE),"")</f>
        <v/>
      </c>
      <c r="J23" s="314" t="str">
        <f>IFERROR(VLOOKUP($A23,TableHandbook[],J$2,FALSE),"")</f>
        <v/>
      </c>
      <c r="K23" s="318" t="str">
        <f>IFERROR(VLOOKUP($A23,TableHandbook[],K$2,FALSE),"")</f>
        <v/>
      </c>
      <c r="L23" s="209"/>
      <c r="M23" s="319">
        <v>6</v>
      </c>
      <c r="N23" s="304"/>
      <c r="O23" s="304"/>
    </row>
    <row r="24" spans="1:16" s="305" customFormat="1" ht="20.100000000000001" customHeight="1" x14ac:dyDescent="0.15">
      <c r="A24" s="313" t="str">
        <f>IFERROR(IF(HLOOKUP($L$7,RangeSecMajor,M24,FALSE)=0,"",HLOOKUP($L$7,RangeSecMajor,M24,FALSE)),"")</f>
        <v/>
      </c>
      <c r="B24" s="314" t="str">
        <f>IFERROR(IF(VLOOKUP($A24,TableHandbook[],2,FALSE)=0,"",VLOOKUP($A24,TableHandbook[],2,FALSE)),"")</f>
        <v/>
      </c>
      <c r="C24" s="314" t="str">
        <f>IFERROR(IF(VLOOKUP($A24,TableHandbook[],3,FALSE)=0,"",VLOOKUP($A24,TableHandbook[],3,FALSE)),"")</f>
        <v/>
      </c>
      <c r="D24" s="330" t="str">
        <f>IFERROR(IF(VLOOKUP($A24,TableHandbook[],4,FALSE)=0,"",VLOOKUP($A24,TableHandbook[],4,FALSE)),"")</f>
        <v/>
      </c>
      <c r="E24" s="314" t="str">
        <f>IF(A24="","",E23)</f>
        <v/>
      </c>
      <c r="F24" s="316" t="str">
        <f>IFERROR(IF(VLOOKUP($A24,TableHandbook[],6,FALSE)=0,"",VLOOKUP($A24,TableHandbook[],6,FALSE)),"")</f>
        <v/>
      </c>
      <c r="G24" s="314" t="str">
        <f>IFERROR(IF(VLOOKUP($A24,TableHandbook[],5,FALSE)=0,"",VLOOKUP($A24,TableHandbook[],5,FALSE)),"")</f>
        <v/>
      </c>
      <c r="H24" s="317" t="str">
        <f>IFERROR(VLOOKUP($A24,TableHandbook[],H$2,FALSE),"")</f>
        <v/>
      </c>
      <c r="I24" s="314" t="str">
        <f>IFERROR(VLOOKUP($A24,TableHandbook[],I$2,FALSE),"")</f>
        <v/>
      </c>
      <c r="J24" s="314" t="str">
        <f>IFERROR(VLOOKUP($A24,TableHandbook[],J$2,FALSE),"")</f>
        <v/>
      </c>
      <c r="K24" s="318" t="str">
        <f>IFERROR(VLOOKUP($A24,TableHandbook[],K$2,FALSE),"")</f>
        <v/>
      </c>
      <c r="L24" s="209"/>
      <c r="M24" s="319">
        <v>7</v>
      </c>
      <c r="N24" s="304"/>
      <c r="O24" s="304"/>
    </row>
    <row r="25" spans="1:16" s="305" customFormat="1" ht="5.0999999999999996" customHeight="1" x14ac:dyDescent="0.15">
      <c r="A25" s="320"/>
      <c r="B25" s="321"/>
      <c r="C25" s="321"/>
      <c r="D25" s="322"/>
      <c r="E25" s="321"/>
      <c r="F25" s="323"/>
      <c r="G25" s="321"/>
      <c r="H25" s="324"/>
      <c r="I25" s="321"/>
      <c r="J25" s="321"/>
      <c r="K25" s="325"/>
      <c r="L25" s="210"/>
      <c r="M25" s="303"/>
      <c r="N25" s="304"/>
      <c r="O25" s="304"/>
      <c r="P25" s="304"/>
    </row>
    <row r="26" spans="1:16" s="305" customFormat="1" ht="20.100000000000001" customHeight="1" x14ac:dyDescent="0.15">
      <c r="A26" s="306" t="str">
        <f>IFERROR(IF(HLOOKUP($L$6,RangeArtsMajor,M26,FALSE)=0,"",HLOOKUP($L$6,RangeArtsMajor,M26,FALSE)),"")</f>
        <v/>
      </c>
      <c r="B26" s="307" t="str">
        <f>IFERROR(IF(VLOOKUP($A26,TableHandbook[],2,FALSE)=0,"",VLOOKUP($A26,TableHandbook[],2,FALSE)),"")</f>
        <v/>
      </c>
      <c r="C26" s="307" t="str">
        <f>IFERROR(IF(VLOOKUP($A26,TableHandbook[],3,FALSE)=0,"",VLOOKUP($A26,TableHandbook[],3,FALSE)),"")</f>
        <v/>
      </c>
      <c r="D26" s="329" t="str">
        <f>IFERROR(IF(VLOOKUP($A26,TableHandbook[],4,FALSE)=0,"",VLOOKUP($A26,TableHandbook[],4,FALSE)),"")</f>
        <v/>
      </c>
      <c r="E26" s="307" t="str">
        <f>IF(A26="","",VLOOKUP($D$8,TableStudyPeriod[],3,FALSE))</f>
        <v/>
      </c>
      <c r="F26" s="309" t="str">
        <f>IFERROR(IF(VLOOKUP($A26,TableHandbook[],6,FALSE)=0,"",VLOOKUP($A26,TableHandbook[],6,FALSE)),"")</f>
        <v/>
      </c>
      <c r="G26" s="307" t="str">
        <f>IFERROR(IF(VLOOKUP($A26,TableHandbook[],5,FALSE)=0,"",VLOOKUP($A26,TableHandbook[],5,FALSE)),"")</f>
        <v/>
      </c>
      <c r="H26" s="310" t="str">
        <f>IFERROR(VLOOKUP($A26,TableHandbook[],H$2,FALSE),"")</f>
        <v/>
      </c>
      <c r="I26" s="307" t="str">
        <f>IFERROR(VLOOKUP($A26,TableHandbook[],I$2,FALSE),"")</f>
        <v/>
      </c>
      <c r="J26" s="307" t="str">
        <f>IFERROR(VLOOKUP($A26,TableHandbook[],J$2,FALSE),"")</f>
        <v/>
      </c>
      <c r="K26" s="311" t="str">
        <f>IFERROR(VLOOKUP($A26,TableHandbook[],K$2,FALSE),"")</f>
        <v/>
      </c>
      <c r="L26" s="208"/>
      <c r="M26" s="312">
        <v>8</v>
      </c>
      <c r="N26" s="304"/>
      <c r="O26" s="304"/>
    </row>
    <row r="27" spans="1:16" s="305" customFormat="1" ht="20.100000000000001" customHeight="1" x14ac:dyDescent="0.15">
      <c r="A27" s="306" t="str">
        <f>IFERROR(IF(HLOOKUP($L$6,RangeArtsMajor,M27,FALSE)=0,"",HLOOKUP($L$6,RangeArtsMajor,M27,FALSE)),"")</f>
        <v/>
      </c>
      <c r="B27" s="307" t="str">
        <f>IFERROR(IF(VLOOKUP($A27,TableHandbook[],2,FALSE)=0,"",VLOOKUP($A27,TableHandbook[],2,FALSE)),"")</f>
        <v/>
      </c>
      <c r="C27" s="307" t="str">
        <f>IFERROR(IF(VLOOKUP($A27,TableHandbook[],3,FALSE)=0,"",VLOOKUP($A27,TableHandbook[],3,FALSE)),"")</f>
        <v/>
      </c>
      <c r="D27" s="329" t="str">
        <f>IFERROR(IF(VLOOKUP($A27,TableHandbook[],4,FALSE)=0,"",VLOOKUP($A27,TableHandbook[],4,FALSE)),"")</f>
        <v/>
      </c>
      <c r="E27" s="307" t="str">
        <f>IF(A27="","",E26)</f>
        <v/>
      </c>
      <c r="F27" s="309" t="str">
        <f>IFERROR(IF(VLOOKUP($A27,TableHandbook[],6,FALSE)=0,"",VLOOKUP($A27,TableHandbook[],6,FALSE)),"")</f>
        <v/>
      </c>
      <c r="G27" s="307" t="str">
        <f>IFERROR(IF(VLOOKUP($A27,TableHandbook[],5,FALSE)=0,"",VLOOKUP($A27,TableHandbook[],5,FALSE)),"")</f>
        <v/>
      </c>
      <c r="H27" s="310" t="str">
        <f>IFERROR(VLOOKUP($A27,TableHandbook[],H$2,FALSE),"")</f>
        <v/>
      </c>
      <c r="I27" s="307" t="str">
        <f>IFERROR(VLOOKUP($A27,TableHandbook[],I$2,FALSE),"")</f>
        <v/>
      </c>
      <c r="J27" s="307" t="str">
        <f>IFERROR(VLOOKUP($A27,TableHandbook[],J$2,FALSE),"")</f>
        <v/>
      </c>
      <c r="K27" s="311" t="str">
        <f>IFERROR(VLOOKUP($A27,TableHandbook[],K$2,FALSE),"")</f>
        <v/>
      </c>
      <c r="L27" s="208"/>
      <c r="M27" s="312">
        <v>9</v>
      </c>
      <c r="N27" s="304"/>
      <c r="O27" s="304"/>
    </row>
    <row r="28" spans="1:16" s="328" customFormat="1" ht="20.100000000000001" customHeight="1" x14ac:dyDescent="0.15">
      <c r="A28" s="313" t="str">
        <f>IFERROR(IF(HLOOKUP($L$7,RangeSecMajor,M28,FALSE)=0,"",HLOOKUP($L$7,RangeSecMajor,M28,FALSE)),"")</f>
        <v/>
      </c>
      <c r="B28" s="314" t="str">
        <f>IFERROR(IF(VLOOKUP($A28,TableHandbook[],2,FALSE)=0,"",VLOOKUP($A28,TableHandbook[],2,FALSE)),"")</f>
        <v/>
      </c>
      <c r="C28" s="314" t="str">
        <f>IFERROR(IF(VLOOKUP($A28,TableHandbook[],3,FALSE)=0,"",VLOOKUP($A28,TableHandbook[],3,FALSE)),"")</f>
        <v/>
      </c>
      <c r="D28" s="330" t="str">
        <f>IFERROR(IF(VLOOKUP($A28,TableHandbook[],4,FALSE)=0,"",VLOOKUP($A28,TableHandbook[],4,FALSE)),"")</f>
        <v/>
      </c>
      <c r="E28" s="314" t="str">
        <f>IF(A28="","",E27)</f>
        <v/>
      </c>
      <c r="F28" s="316" t="str">
        <f>IFERROR(IF(VLOOKUP($A28,TableHandbook[],6,FALSE)=0,"",VLOOKUP($A28,TableHandbook[],6,FALSE)),"")</f>
        <v/>
      </c>
      <c r="G28" s="314" t="str">
        <f>IFERROR(IF(VLOOKUP($A28,TableHandbook[],5,FALSE)=0,"",VLOOKUP($A28,TableHandbook[],5,FALSE)),"")</f>
        <v/>
      </c>
      <c r="H28" s="317" t="str">
        <f>IFERROR(VLOOKUP($A28,TableHandbook[],H$2,FALSE),"")</f>
        <v/>
      </c>
      <c r="I28" s="314" t="str">
        <f>IFERROR(VLOOKUP($A28,TableHandbook[],I$2,FALSE),"")</f>
        <v/>
      </c>
      <c r="J28" s="314" t="str">
        <f>IFERROR(VLOOKUP($A28,TableHandbook[],J$2,FALSE),"")</f>
        <v/>
      </c>
      <c r="K28" s="318" t="str">
        <f>IFERROR(VLOOKUP($A28,TableHandbook[],K$2,FALSE),"")</f>
        <v/>
      </c>
      <c r="L28" s="209"/>
      <c r="M28" s="319">
        <v>8</v>
      </c>
      <c r="N28" s="327"/>
      <c r="O28" s="327"/>
    </row>
    <row r="29" spans="1:16" s="328" customFormat="1" ht="20.100000000000001" customHeight="1" x14ac:dyDescent="0.15">
      <c r="A29" s="313" t="str">
        <f>IFERROR(IF(HLOOKUP($L$7,RangeSecMajor,M29,FALSE)=0,"",HLOOKUP($L$7,RangeSecMajor,M29,FALSE)),"")</f>
        <v/>
      </c>
      <c r="B29" s="314" t="str">
        <f>IFERROR(IF(VLOOKUP($A29,TableHandbook[],2,FALSE)=0,"",VLOOKUP($A29,TableHandbook[],2,FALSE)),"")</f>
        <v/>
      </c>
      <c r="C29" s="314" t="str">
        <f>IFERROR(IF(VLOOKUP($A29,TableHandbook[],3,FALSE)=0,"",VLOOKUP($A29,TableHandbook[],3,FALSE)),"")</f>
        <v/>
      </c>
      <c r="D29" s="330" t="str">
        <f>IFERROR(IF(VLOOKUP($A29,TableHandbook[],4,FALSE)=0,"",VLOOKUP($A29,TableHandbook[],4,FALSE)),"")</f>
        <v/>
      </c>
      <c r="E29" s="314" t="str">
        <f>IF(A29="","",E28)</f>
        <v/>
      </c>
      <c r="F29" s="316" t="str">
        <f>IFERROR(IF(VLOOKUP($A29,TableHandbook[],6,FALSE)=0,"",VLOOKUP($A29,TableHandbook[],6,FALSE)),"")</f>
        <v/>
      </c>
      <c r="G29" s="314" t="str">
        <f>IFERROR(IF(VLOOKUP($A29,TableHandbook[],5,FALSE)=0,"",VLOOKUP($A29,TableHandbook[],5,FALSE)),"")</f>
        <v/>
      </c>
      <c r="H29" s="317" t="str">
        <f>IFERROR(VLOOKUP($A29,TableHandbook[],H$2,FALSE),"")</f>
        <v/>
      </c>
      <c r="I29" s="314" t="str">
        <f>IFERROR(VLOOKUP($A29,TableHandbook[],I$2,FALSE),"")</f>
        <v/>
      </c>
      <c r="J29" s="314" t="str">
        <f>IFERROR(VLOOKUP($A29,TableHandbook[],J$2,FALSE),"")</f>
        <v/>
      </c>
      <c r="K29" s="318" t="str">
        <f>IFERROR(VLOOKUP($A29,TableHandbook[],K$2,FALSE),"")</f>
        <v/>
      </c>
      <c r="L29" s="209"/>
      <c r="M29" s="319">
        <v>9</v>
      </c>
      <c r="N29" s="327"/>
      <c r="O29" s="327"/>
    </row>
    <row r="30" spans="1:16" s="291" customFormat="1" ht="21" x14ac:dyDescent="0.25">
      <c r="A30" s="283" t="s">
        <v>31</v>
      </c>
      <c r="B30" s="283"/>
      <c r="C30" s="283"/>
      <c r="D30" s="292" t="s">
        <v>3</v>
      </c>
      <c r="E30" s="295" t="s">
        <v>23</v>
      </c>
      <c r="F30" s="283" t="s">
        <v>24</v>
      </c>
      <c r="G30" s="283" t="s">
        <v>25</v>
      </c>
      <c r="H30" s="294" t="str">
        <f>H$10</f>
        <v>Sem1 BEN</v>
      </c>
      <c r="I30" s="295" t="str">
        <f t="shared" ref="I30:K30" si="1">I$10</f>
        <v>Sem1 FO</v>
      </c>
      <c r="J30" s="295" t="str">
        <f t="shared" si="1"/>
        <v>Sem2 BEN</v>
      </c>
      <c r="K30" s="296" t="str">
        <f t="shared" si="1"/>
        <v>Sem2 FO</v>
      </c>
      <c r="L30" s="283" t="str">
        <f>L$10</f>
        <v>Notes / Progress</v>
      </c>
      <c r="M30" s="289"/>
      <c r="N30" s="290"/>
      <c r="O30" s="290"/>
    </row>
    <row r="31" spans="1:16" s="305" customFormat="1" ht="20.100000000000001" customHeight="1" x14ac:dyDescent="0.15">
      <c r="A31" s="306" t="str">
        <f>IFERROR(IF(HLOOKUP($L$6,RangeArtsMajor,M31,FALSE)=0,"",HLOOKUP($L$6,RangeArtsMajor,M31,FALSE)),"")</f>
        <v/>
      </c>
      <c r="B31" s="307" t="str">
        <f>IFERROR(IF(VLOOKUP($A31,TableHandbook[],2,FALSE)=0,"",VLOOKUP($A31,TableHandbook[],2,FALSE)),"")</f>
        <v/>
      </c>
      <c r="C31" s="307" t="str">
        <f>IFERROR(IF(VLOOKUP($A31,TableHandbook[],3,FALSE)=0,"",VLOOKUP($A31,TableHandbook[],3,FALSE)),"")</f>
        <v/>
      </c>
      <c r="D31" s="308" t="str">
        <f>IFERROR(IF(VLOOKUP($A31,TableHandbook[],4,FALSE)=0,"",VLOOKUP($A31,TableHandbook[],4,FALSE)),"")</f>
        <v/>
      </c>
      <c r="E31" s="307" t="str">
        <f>IF(A31="","",VLOOKUP($D$8,TableStudyPeriod[],2,FALSE))</f>
        <v/>
      </c>
      <c r="F31" s="309" t="str">
        <f>IFERROR(IF(VLOOKUP($A31,TableHandbook[],6,FALSE)=0,"",VLOOKUP($A31,TableHandbook[],6,FALSE)),"")</f>
        <v/>
      </c>
      <c r="G31" s="307" t="str">
        <f>IFERROR(IF(VLOOKUP($A31,TableHandbook[],5,FALSE)=0,"",VLOOKUP($A31,TableHandbook[],5,FALSE)),"")</f>
        <v/>
      </c>
      <c r="H31" s="310" t="str">
        <f>IFERROR(VLOOKUP($A31,TableHandbook[],H$2,FALSE),"")</f>
        <v/>
      </c>
      <c r="I31" s="307" t="str">
        <f>IFERROR(VLOOKUP($A31,TableHandbook[],I$2,FALSE),"")</f>
        <v/>
      </c>
      <c r="J31" s="307" t="str">
        <f>IFERROR(VLOOKUP($A31,TableHandbook[],J$2,FALSE),"")</f>
        <v/>
      </c>
      <c r="K31" s="311" t="str">
        <f>IFERROR(VLOOKUP($A31,TableHandbook[],K$2,FALSE),"")</f>
        <v/>
      </c>
      <c r="L31" s="208"/>
      <c r="M31" s="312">
        <v>10</v>
      </c>
      <c r="N31" s="304"/>
      <c r="O31" s="304"/>
    </row>
    <row r="32" spans="1:16" s="305" customFormat="1" ht="20.100000000000001" customHeight="1" x14ac:dyDescent="0.15">
      <c r="A32" s="306" t="str">
        <f>IFERROR(IF(HLOOKUP($L$6,RangeArtsMajor,M32,FALSE)=0,"",HLOOKUP($L$6,RangeArtsMajor,M32,FALSE)),"")</f>
        <v/>
      </c>
      <c r="B32" s="307" t="str">
        <f>IFERROR(IF(VLOOKUP($A32,TableHandbook[],2,FALSE)=0,"",VLOOKUP($A32,TableHandbook[],2,FALSE)),"")</f>
        <v/>
      </c>
      <c r="C32" s="307" t="str">
        <f>IFERROR(IF(VLOOKUP($A32,TableHandbook[],3,FALSE)=0,"",VLOOKUP($A32,TableHandbook[],3,FALSE)),"")</f>
        <v/>
      </c>
      <c r="D32" s="329" t="str">
        <f>IFERROR(IF(VLOOKUP($A32,TableHandbook[],4,FALSE)=0,"",VLOOKUP($A32,TableHandbook[],4,FALSE)),"")</f>
        <v/>
      </c>
      <c r="E32" s="307" t="str">
        <f>IF(A32="","",E31)</f>
        <v/>
      </c>
      <c r="F32" s="309" t="str">
        <f>IFERROR(IF(VLOOKUP($A32,TableHandbook[],6,FALSE)=0,"",VLOOKUP($A32,TableHandbook[],6,FALSE)),"")</f>
        <v/>
      </c>
      <c r="G32" s="307" t="str">
        <f>IFERROR(IF(VLOOKUP($A32,TableHandbook[],5,FALSE)=0,"",VLOOKUP($A32,TableHandbook[],5,FALSE)),"")</f>
        <v/>
      </c>
      <c r="H32" s="310" t="str">
        <f>IFERROR(VLOOKUP($A32,TableHandbook[],H$2,FALSE),"")</f>
        <v/>
      </c>
      <c r="I32" s="307" t="str">
        <f>IFERROR(VLOOKUP($A32,TableHandbook[],I$2,FALSE),"")</f>
        <v/>
      </c>
      <c r="J32" s="307" t="str">
        <f>IFERROR(VLOOKUP($A32,TableHandbook[],J$2,FALSE),"")</f>
        <v/>
      </c>
      <c r="K32" s="311" t="str">
        <f>IFERROR(VLOOKUP($A32,TableHandbook[],K$2,FALSE),"")</f>
        <v/>
      </c>
      <c r="L32" s="208"/>
      <c r="M32" s="312">
        <v>11</v>
      </c>
      <c r="N32" s="304"/>
      <c r="O32" s="304"/>
    </row>
    <row r="33" spans="1:16" s="305" customFormat="1" ht="20.100000000000001" customHeight="1" x14ac:dyDescent="0.15">
      <c r="A33" s="313" t="str">
        <f>IFERROR(IF(HLOOKUP($L$7,RangeSecMajor,M33,FALSE)=0,"",HLOOKUP($L$7,RangeSecMajor,M33,FALSE)),"")</f>
        <v/>
      </c>
      <c r="B33" s="314" t="str">
        <f>IFERROR(IF(VLOOKUP($A33,TableHandbook[],2,FALSE)=0,"",VLOOKUP($A33,TableHandbook[],2,FALSE)),"")</f>
        <v/>
      </c>
      <c r="C33" s="314" t="str">
        <f>IFERROR(IF(VLOOKUP($A33,TableHandbook[],3,FALSE)=0,"",VLOOKUP($A33,TableHandbook[],3,FALSE)),"")</f>
        <v/>
      </c>
      <c r="D33" s="330" t="str">
        <f>IFERROR(IF(VLOOKUP($A33,TableHandbook[],4,FALSE)=0,"",VLOOKUP($A33,TableHandbook[],4,FALSE)),"")</f>
        <v/>
      </c>
      <c r="E33" s="314" t="str">
        <f>IF(A33="","",E32)</f>
        <v/>
      </c>
      <c r="F33" s="316" t="str">
        <f>IFERROR(IF(VLOOKUP($A33,TableHandbook[],6,FALSE)=0,"",VLOOKUP($A33,TableHandbook[],6,FALSE)),"")</f>
        <v/>
      </c>
      <c r="G33" s="314" t="str">
        <f>IFERROR(IF(VLOOKUP($A33,TableHandbook[],5,FALSE)=0,"",VLOOKUP($A33,TableHandbook[],5,FALSE)),"")</f>
        <v/>
      </c>
      <c r="H33" s="317" t="str">
        <f>IFERROR(VLOOKUP($A33,TableHandbook[],H$2,FALSE),"")</f>
        <v/>
      </c>
      <c r="I33" s="314" t="str">
        <f>IFERROR(VLOOKUP($A33,TableHandbook[],I$2,FALSE),"")</f>
        <v/>
      </c>
      <c r="J33" s="314" t="str">
        <f>IFERROR(VLOOKUP($A33,TableHandbook[],J$2,FALSE),"")</f>
        <v/>
      </c>
      <c r="K33" s="318" t="str">
        <f>IFERROR(VLOOKUP($A33,TableHandbook[],K$2,FALSE),"")</f>
        <v/>
      </c>
      <c r="L33" s="209"/>
      <c r="M33" s="319">
        <v>10</v>
      </c>
      <c r="N33" s="304"/>
      <c r="O33" s="304"/>
    </row>
    <row r="34" spans="1:16" s="305" customFormat="1" ht="20.100000000000001" customHeight="1" x14ac:dyDescent="0.15">
      <c r="A34" s="313" t="str">
        <f>IFERROR(IF(HLOOKUP($L$7,RangeSecMajor,M34,FALSE)=0,"",HLOOKUP($L$7,RangeSecMajor,M34,FALSE)),"")</f>
        <v/>
      </c>
      <c r="B34" s="314" t="str">
        <f>IFERROR(IF(VLOOKUP($A34,TableHandbook[],2,FALSE)=0,"",VLOOKUP($A34,TableHandbook[],2,FALSE)),"")</f>
        <v/>
      </c>
      <c r="C34" s="314" t="str">
        <f>IFERROR(IF(VLOOKUP($A34,TableHandbook[],3,FALSE)=0,"",VLOOKUP($A34,TableHandbook[],3,FALSE)),"")</f>
        <v/>
      </c>
      <c r="D34" s="330" t="str">
        <f>IFERROR(IF(VLOOKUP($A34,TableHandbook[],4,FALSE)=0,"",VLOOKUP($A34,TableHandbook[],4,FALSE)),"")</f>
        <v/>
      </c>
      <c r="E34" s="314" t="str">
        <f>IF(A34="","",E33)</f>
        <v/>
      </c>
      <c r="F34" s="316" t="str">
        <f>IFERROR(IF(VLOOKUP($A34,TableHandbook[],6,FALSE)=0,"",VLOOKUP($A34,TableHandbook[],6,FALSE)),"")</f>
        <v/>
      </c>
      <c r="G34" s="314" t="str">
        <f>IFERROR(IF(VLOOKUP($A34,TableHandbook[],5,FALSE)=0,"",VLOOKUP($A34,TableHandbook[],5,FALSE)),"")</f>
        <v/>
      </c>
      <c r="H34" s="317" t="str">
        <f>IFERROR(VLOOKUP($A34,TableHandbook[],H$2,FALSE),"")</f>
        <v/>
      </c>
      <c r="I34" s="314" t="str">
        <f>IFERROR(VLOOKUP($A34,TableHandbook[],I$2,FALSE),"")</f>
        <v/>
      </c>
      <c r="J34" s="314" t="str">
        <f>IFERROR(VLOOKUP($A34,TableHandbook[],J$2,FALSE),"")</f>
        <v/>
      </c>
      <c r="K34" s="318" t="str">
        <f>IFERROR(VLOOKUP($A34,TableHandbook[],K$2,FALSE),"")</f>
        <v/>
      </c>
      <c r="L34" s="209"/>
      <c r="M34" s="319">
        <v>11</v>
      </c>
      <c r="N34" s="304"/>
      <c r="O34" s="304"/>
    </row>
    <row r="35" spans="1:16" s="305" customFormat="1" ht="5.0999999999999996" customHeight="1" x14ac:dyDescent="0.15">
      <c r="A35" s="320"/>
      <c r="B35" s="321"/>
      <c r="C35" s="321"/>
      <c r="D35" s="322"/>
      <c r="E35" s="321"/>
      <c r="F35" s="323"/>
      <c r="G35" s="321"/>
      <c r="H35" s="324"/>
      <c r="I35" s="321"/>
      <c r="J35" s="321"/>
      <c r="K35" s="325"/>
      <c r="L35" s="210"/>
      <c r="M35" s="303"/>
      <c r="N35" s="304"/>
      <c r="O35" s="304"/>
      <c r="P35" s="304"/>
    </row>
    <row r="36" spans="1:16" s="305" customFormat="1" ht="20.100000000000001" customHeight="1" x14ac:dyDescent="0.15">
      <c r="A36" s="306" t="str">
        <f>IFERROR(IF(HLOOKUP($L$6,RangeArtsMajor,M36,FALSE)=0,"",HLOOKUP($L$6,RangeArtsMajor,M36,FALSE)),"")</f>
        <v/>
      </c>
      <c r="B36" s="307" t="str">
        <f>IFERROR(IF(VLOOKUP($A36,TableHandbook[],2,FALSE)=0,"",VLOOKUP($A36,TableHandbook[],2,FALSE)),"")</f>
        <v/>
      </c>
      <c r="C36" s="307" t="str">
        <f>IFERROR(IF(VLOOKUP($A36,TableHandbook[],3,FALSE)=0,"",VLOOKUP($A36,TableHandbook[],3,FALSE)),"")</f>
        <v/>
      </c>
      <c r="D36" s="329" t="str">
        <f>IFERROR(IF(VLOOKUP($A36,TableHandbook[],4,FALSE)=0,"",VLOOKUP($A36,TableHandbook[],4,FALSE)),"")</f>
        <v/>
      </c>
      <c r="E36" s="307" t="str">
        <f>IF(A36="","",VLOOKUP($D$8,TableStudyPeriod[],3,FALSE))</f>
        <v/>
      </c>
      <c r="F36" s="309" t="str">
        <f>IFERROR(IF(VLOOKUP($A36,TableHandbook[],6,FALSE)=0,"",VLOOKUP($A36,TableHandbook[],6,FALSE)),"")</f>
        <v/>
      </c>
      <c r="G36" s="307" t="str">
        <f>IFERROR(IF(VLOOKUP($A36,TableHandbook[],5,FALSE)=0,"",VLOOKUP($A36,TableHandbook[],5,FALSE)),"")</f>
        <v/>
      </c>
      <c r="H36" s="310" t="str">
        <f>IFERROR(VLOOKUP($A36,TableHandbook[],H$2,FALSE),"")</f>
        <v/>
      </c>
      <c r="I36" s="307" t="str">
        <f>IFERROR(VLOOKUP($A36,TableHandbook[],I$2,FALSE),"")</f>
        <v/>
      </c>
      <c r="J36" s="307" t="str">
        <f>IFERROR(VLOOKUP($A36,TableHandbook[],J$2,FALSE),"")</f>
        <v/>
      </c>
      <c r="K36" s="311" t="str">
        <f>IFERROR(VLOOKUP($A36,TableHandbook[],K$2,FALSE),"")</f>
        <v/>
      </c>
      <c r="L36" s="208"/>
      <c r="M36" s="312">
        <v>12</v>
      </c>
      <c r="N36" s="304"/>
      <c r="O36" s="304"/>
    </row>
    <row r="37" spans="1:16" s="305" customFormat="1" ht="20.100000000000001" customHeight="1" x14ac:dyDescent="0.15">
      <c r="A37" s="306" t="str">
        <f>IFERROR(IF(HLOOKUP($L$6,RangeArtsMajor,M37,FALSE)=0,"",HLOOKUP($L$6,RangeArtsMajor,M37,FALSE)),"")</f>
        <v/>
      </c>
      <c r="B37" s="307" t="str">
        <f>IFERROR(IF(VLOOKUP($A37,TableHandbook[],2,FALSE)=0,"",VLOOKUP($A37,TableHandbook[],2,FALSE)),"")</f>
        <v/>
      </c>
      <c r="C37" s="307" t="str">
        <f>IFERROR(IF(VLOOKUP($A37,TableHandbook[],3,FALSE)=0,"",VLOOKUP($A37,TableHandbook[],3,FALSE)),"")</f>
        <v/>
      </c>
      <c r="D37" s="329" t="str">
        <f>IFERROR(IF(VLOOKUP($A37,TableHandbook[],4,FALSE)=0,"",VLOOKUP($A37,TableHandbook[],4,FALSE)),"")</f>
        <v/>
      </c>
      <c r="E37" s="307" t="str">
        <f>IF(A37="","",E36)</f>
        <v/>
      </c>
      <c r="F37" s="309" t="str">
        <f>IFERROR(IF(VLOOKUP($A37,TableHandbook[],6,FALSE)=0,"",VLOOKUP($A37,TableHandbook[],6,FALSE)),"")</f>
        <v/>
      </c>
      <c r="G37" s="307" t="str">
        <f>IFERROR(IF(VLOOKUP($A37,TableHandbook[],5,FALSE)=0,"",VLOOKUP($A37,TableHandbook[],5,FALSE)),"")</f>
        <v/>
      </c>
      <c r="H37" s="310" t="str">
        <f>IFERROR(VLOOKUP($A37,TableHandbook[],H$2,FALSE),"")</f>
        <v/>
      </c>
      <c r="I37" s="307" t="str">
        <f>IFERROR(VLOOKUP($A37,TableHandbook[],I$2,FALSE),"")</f>
        <v/>
      </c>
      <c r="J37" s="307" t="str">
        <f>IFERROR(VLOOKUP($A37,TableHandbook[],J$2,FALSE),"")</f>
        <v/>
      </c>
      <c r="K37" s="311" t="str">
        <f>IFERROR(VLOOKUP($A37,TableHandbook[],K$2,FALSE),"")</f>
        <v/>
      </c>
      <c r="L37" s="208"/>
      <c r="M37" s="312">
        <v>13</v>
      </c>
      <c r="N37" s="304"/>
      <c r="O37" s="304"/>
    </row>
    <row r="38" spans="1:16" s="328" customFormat="1" ht="20.100000000000001" customHeight="1" x14ac:dyDescent="0.15">
      <c r="A38" s="313" t="str">
        <f>IFERROR(IF(HLOOKUP($L$7,RangeSecMajor,M38,FALSE)=0,"",HLOOKUP($L$7,RangeSecMajor,M38,FALSE)),"")</f>
        <v/>
      </c>
      <c r="B38" s="314" t="str">
        <f>IFERROR(IF(VLOOKUP($A38,TableHandbook[],2,FALSE)=0,"",VLOOKUP($A38,TableHandbook[],2,FALSE)),"")</f>
        <v/>
      </c>
      <c r="C38" s="314" t="str">
        <f>IFERROR(IF(VLOOKUP($A38,TableHandbook[],3,FALSE)=0,"",VLOOKUP($A38,TableHandbook[],3,FALSE)),"")</f>
        <v/>
      </c>
      <c r="D38" s="330" t="str">
        <f>IFERROR(IF(VLOOKUP($A38,TableHandbook[],4,FALSE)=0,"",VLOOKUP($A38,TableHandbook[],4,FALSE)),"")</f>
        <v/>
      </c>
      <c r="E38" s="314" t="str">
        <f>IF(A38="","",E37)</f>
        <v/>
      </c>
      <c r="F38" s="316" t="str">
        <f>IFERROR(IF(VLOOKUP($A38,TableHandbook[],6,FALSE)=0,"",VLOOKUP($A38,TableHandbook[],6,FALSE)),"")</f>
        <v/>
      </c>
      <c r="G38" s="314" t="str">
        <f>IFERROR(IF(VLOOKUP($A38,TableHandbook[],5,FALSE)=0,"",VLOOKUP($A38,TableHandbook[],5,FALSE)),"")</f>
        <v/>
      </c>
      <c r="H38" s="317" t="str">
        <f>IFERROR(VLOOKUP($A38,TableHandbook[],H$2,FALSE),"")</f>
        <v/>
      </c>
      <c r="I38" s="314" t="str">
        <f>IFERROR(VLOOKUP($A38,TableHandbook[],I$2,FALSE),"")</f>
        <v/>
      </c>
      <c r="J38" s="314" t="str">
        <f>IFERROR(VLOOKUP($A38,TableHandbook[],J$2,FALSE),"")</f>
        <v/>
      </c>
      <c r="K38" s="318" t="str">
        <f>IFERROR(VLOOKUP($A38,TableHandbook[],K$2,FALSE),"")</f>
        <v/>
      </c>
      <c r="L38" s="209"/>
      <c r="M38" s="319">
        <v>12</v>
      </c>
      <c r="N38" s="327"/>
      <c r="O38" s="327"/>
    </row>
    <row r="39" spans="1:16" s="328" customFormat="1" ht="20.100000000000001" customHeight="1" x14ac:dyDescent="0.15">
      <c r="A39" s="313" t="str">
        <f>IFERROR(IF(HLOOKUP($L$7,RangeSecMajor,M39,FALSE)=0,"",HLOOKUP($L$7,RangeSecMajor,M39,FALSE)),"")</f>
        <v/>
      </c>
      <c r="B39" s="314" t="str">
        <f>IFERROR(IF(VLOOKUP($A39,TableHandbook[],2,FALSE)=0,"",VLOOKUP($A39,TableHandbook[],2,FALSE)),"")</f>
        <v/>
      </c>
      <c r="C39" s="314" t="str">
        <f>IFERROR(IF(VLOOKUP($A39,TableHandbook[],3,FALSE)=0,"",VLOOKUP($A39,TableHandbook[],3,FALSE)),"")</f>
        <v/>
      </c>
      <c r="D39" s="330" t="str">
        <f>IFERROR(IF(VLOOKUP($A39,TableHandbook[],4,FALSE)=0,"",VLOOKUP($A39,TableHandbook[],4,FALSE)),"")</f>
        <v/>
      </c>
      <c r="E39" s="314" t="str">
        <f>IF(A39="","",E38)</f>
        <v/>
      </c>
      <c r="F39" s="316" t="str">
        <f>IFERROR(IF(VLOOKUP($A39,TableHandbook[],6,FALSE)=0,"",VLOOKUP($A39,TableHandbook[],6,FALSE)),"")</f>
        <v/>
      </c>
      <c r="G39" s="314" t="str">
        <f>IFERROR(IF(VLOOKUP($A39,TableHandbook[],5,FALSE)=0,"",VLOOKUP($A39,TableHandbook[],5,FALSE)),"")</f>
        <v/>
      </c>
      <c r="H39" s="317" t="str">
        <f>IFERROR(VLOOKUP($A39,TableHandbook[],H$2,FALSE),"")</f>
        <v/>
      </c>
      <c r="I39" s="314" t="str">
        <f>IFERROR(VLOOKUP($A39,TableHandbook[],I$2,FALSE),"")</f>
        <v/>
      </c>
      <c r="J39" s="314" t="str">
        <f>IFERROR(VLOOKUP($A39,TableHandbook[],J$2,FALSE),"")</f>
        <v/>
      </c>
      <c r="K39" s="318" t="str">
        <f>IFERROR(VLOOKUP($A39,TableHandbook[],K$2,FALSE),"")</f>
        <v/>
      </c>
      <c r="L39" s="209"/>
      <c r="M39" s="319">
        <v>13</v>
      </c>
      <c r="N39" s="327"/>
      <c r="O39" s="327"/>
    </row>
    <row r="40" spans="1:16" s="337" customFormat="1" ht="13.9" customHeight="1" x14ac:dyDescent="0.2">
      <c r="A40" s="331"/>
      <c r="B40" s="331"/>
      <c r="C40" s="331"/>
      <c r="D40" s="332"/>
      <c r="E40" s="333"/>
      <c r="F40" s="334"/>
      <c r="G40" s="334"/>
      <c r="H40" s="334"/>
      <c r="I40" s="334"/>
      <c r="J40" s="334"/>
      <c r="K40" s="334"/>
      <c r="L40" s="334"/>
      <c r="M40" s="335"/>
      <c r="N40" s="336"/>
      <c r="O40" s="336"/>
    </row>
    <row r="41" spans="1:16" ht="20.25" x14ac:dyDescent="0.25">
      <c r="A41" s="338" t="s">
        <v>32</v>
      </c>
      <c r="B41" s="339"/>
      <c r="C41" s="339"/>
      <c r="D41" s="340"/>
      <c r="E41" s="341"/>
      <c r="F41" s="342"/>
      <c r="G41" s="342"/>
      <c r="H41" s="343" t="s">
        <v>21</v>
      </c>
      <c r="I41" s="344"/>
      <c r="J41" s="345"/>
      <c r="K41" s="346"/>
      <c r="L41" s="347"/>
    </row>
    <row r="42" spans="1:16" s="356" customFormat="1" ht="21" x14ac:dyDescent="0.25">
      <c r="A42" s="348" t="str">
        <f>D6</f>
        <v>Choose your Arts / First Major (drop-down list)</v>
      </c>
      <c r="B42" s="349"/>
      <c r="C42" s="349"/>
      <c r="D42" s="350"/>
      <c r="E42" s="351"/>
      <c r="F42" s="352" t="s">
        <v>24</v>
      </c>
      <c r="G42" s="353" t="s">
        <v>25</v>
      </c>
      <c r="H42" s="354" t="str">
        <f>H$10</f>
        <v>Sem1 BEN</v>
      </c>
      <c r="I42" s="351" t="str">
        <f t="shared" ref="I42:K42" si="2">I$10</f>
        <v>Sem1 FO</v>
      </c>
      <c r="J42" s="351" t="str">
        <f t="shared" si="2"/>
        <v>Sem2 BEN</v>
      </c>
      <c r="K42" s="355" t="str">
        <f t="shared" si="2"/>
        <v>Sem2 FO</v>
      </c>
      <c r="L42" s="353" t="str">
        <f>L$10</f>
        <v>Notes / Progress</v>
      </c>
      <c r="M42" s="259"/>
    </row>
    <row r="43" spans="1:16" x14ac:dyDescent="0.25">
      <c r="A43" s="357" t="str">
        <f t="shared" ref="A43:A58" si="3">IFERROR(IF(HLOOKUP($L$6,RangeArtsMajor,M43,FALSE)=0,"",HLOOKUP($L$6,RangeArtsMajor,M43,FALSE)),"")</f>
        <v/>
      </c>
      <c r="B43" s="358" t="str">
        <f>IFERROR(IF(VLOOKUP($A43,TableHandbook[],2,FALSE)=0,"",VLOOKUP($A43,TableHandbook[],2,FALSE)),"")</f>
        <v/>
      </c>
      <c r="C43" s="359" t="str">
        <f>IFERROR(IF(VLOOKUP($A43,TableHandbook[],3,FALSE)=0,"",VLOOKUP($A43,TableHandbook[],3,FALSE)),"")</f>
        <v/>
      </c>
      <c r="D43" s="360" t="str">
        <f>IFERROR(IF(VLOOKUP($A43,TableHandbook[],4,FALSE)=0,"",VLOOKUP($A43,TableHandbook[],4,FALSE)),"")</f>
        <v/>
      </c>
      <c r="E43" s="361"/>
      <c r="F43" s="362" t="str">
        <f>IFERROR(IF(VLOOKUP($A43,TableHandbook[],6,FALSE)=0,"",VLOOKUP($A43,TableHandbook[],6,FALSE)),"")</f>
        <v/>
      </c>
      <c r="G43" s="361" t="str">
        <f>IFERROR(IF(VLOOKUP($A43,TableHandbook[],5,FALSE)=0,"",VLOOKUP($A43,TableHandbook[],5,FALSE)),"")</f>
        <v/>
      </c>
      <c r="H43" s="363" t="str">
        <f>IFERROR(VLOOKUP($A43,TableHandbook[],H$2,FALSE),"")</f>
        <v/>
      </c>
      <c r="I43" s="364" t="str">
        <f>IFERROR(VLOOKUP($A43,TableHandbook[],I$2,FALSE),"")</f>
        <v/>
      </c>
      <c r="J43" s="364" t="str">
        <f>IFERROR(VLOOKUP($A43,TableHandbook[],J$2,FALSE),"")</f>
        <v/>
      </c>
      <c r="K43" s="365" t="str">
        <f>IFERROR(VLOOKUP($A43,TableHandbook[],K$2,FALSE),"")</f>
        <v/>
      </c>
      <c r="L43" s="207"/>
      <c r="M43" s="303">
        <v>14</v>
      </c>
    </row>
    <row r="44" spans="1:16" x14ac:dyDescent="0.25">
      <c r="A44" s="357" t="str">
        <f t="shared" si="3"/>
        <v/>
      </c>
      <c r="B44" s="358" t="str">
        <f>IFERROR(IF(VLOOKUP($A44,TableHandbook[],2,FALSE)=0,"",VLOOKUP($A44,TableHandbook[],2,FALSE)),"")</f>
        <v/>
      </c>
      <c r="C44" s="359" t="str">
        <f>IFERROR(IF(VLOOKUP($A44,TableHandbook[],3,FALSE)=0,"",VLOOKUP($A44,TableHandbook[],3,FALSE)),"")</f>
        <v/>
      </c>
      <c r="D44" s="360" t="str">
        <f>IFERROR(IF(VLOOKUP($A44,TableHandbook[],4,FALSE)=0,"",VLOOKUP($A44,TableHandbook[],4,FALSE)),"")</f>
        <v/>
      </c>
      <c r="E44" s="361"/>
      <c r="F44" s="362" t="str">
        <f>IFERROR(IF(VLOOKUP($A44,TableHandbook[],6,FALSE)=0,"",VLOOKUP($A44,TableHandbook[],6,FALSE)),"")</f>
        <v/>
      </c>
      <c r="G44" s="361" t="str">
        <f>IFERROR(IF(VLOOKUP($A44,TableHandbook[],5,FALSE)=0,"",VLOOKUP($A44,TableHandbook[],5,FALSE)),"")</f>
        <v/>
      </c>
      <c r="H44" s="363" t="str">
        <f>IFERROR(VLOOKUP($A44,TableHandbook[],H$2,FALSE),"")</f>
        <v/>
      </c>
      <c r="I44" s="364" t="str">
        <f>IFERROR(VLOOKUP($A44,TableHandbook[],I$2,FALSE),"")</f>
        <v/>
      </c>
      <c r="J44" s="364" t="str">
        <f>IFERROR(VLOOKUP($A44,TableHandbook[],J$2,FALSE),"")</f>
        <v/>
      </c>
      <c r="K44" s="365" t="str">
        <f>IFERROR(VLOOKUP($A44,TableHandbook[],K$2,FALSE),"")</f>
        <v/>
      </c>
      <c r="L44" s="207"/>
      <c r="M44" s="303">
        <v>15</v>
      </c>
    </row>
    <row r="45" spans="1:16" x14ac:dyDescent="0.25">
      <c r="A45" s="357" t="str">
        <f t="shared" si="3"/>
        <v/>
      </c>
      <c r="B45" s="358" t="str">
        <f>IFERROR(IF(VLOOKUP($A45,TableHandbook[],2,FALSE)=0,"",VLOOKUP($A45,TableHandbook[],2,FALSE)),"")</f>
        <v/>
      </c>
      <c r="C45" s="359" t="str">
        <f>IFERROR(IF(VLOOKUP($A45,TableHandbook[],3,FALSE)=0,"",VLOOKUP($A45,TableHandbook[],3,FALSE)),"")</f>
        <v/>
      </c>
      <c r="D45" s="360" t="str">
        <f>IFERROR(IF(VLOOKUP($A45,TableHandbook[],4,FALSE)=0,"",VLOOKUP($A45,TableHandbook[],4,FALSE)),"")</f>
        <v/>
      </c>
      <c r="E45" s="361"/>
      <c r="F45" s="362" t="str">
        <f>IFERROR(IF(VLOOKUP($A45,TableHandbook[],6,FALSE)=0,"",VLOOKUP($A45,TableHandbook[],6,FALSE)),"")</f>
        <v/>
      </c>
      <c r="G45" s="361" t="str">
        <f>IFERROR(IF(VLOOKUP($A45,TableHandbook[],5,FALSE)=0,"",VLOOKUP($A45,TableHandbook[],5,FALSE)),"")</f>
        <v/>
      </c>
      <c r="H45" s="363" t="str">
        <f>IFERROR(VLOOKUP($A45,TableHandbook[],H$2,FALSE),"")</f>
        <v/>
      </c>
      <c r="I45" s="364" t="str">
        <f>IFERROR(VLOOKUP($A45,TableHandbook[],I$2,FALSE),"")</f>
        <v/>
      </c>
      <c r="J45" s="364" t="str">
        <f>IFERROR(VLOOKUP($A45,TableHandbook[],J$2,FALSE),"")</f>
        <v/>
      </c>
      <c r="K45" s="365" t="str">
        <f>IFERROR(VLOOKUP($A45,TableHandbook[],K$2,FALSE),"")</f>
        <v/>
      </c>
      <c r="L45" s="207"/>
      <c r="M45" s="303">
        <v>16</v>
      </c>
    </row>
    <row r="46" spans="1:16" x14ac:dyDescent="0.25">
      <c r="A46" s="357" t="str">
        <f t="shared" si="3"/>
        <v/>
      </c>
      <c r="B46" s="358" t="str">
        <f>IFERROR(IF(VLOOKUP($A46,TableHandbook[],2,FALSE)=0,"",VLOOKUP($A46,TableHandbook[],2,FALSE)),"")</f>
        <v/>
      </c>
      <c r="C46" s="359" t="str">
        <f>IFERROR(IF(VLOOKUP($A46,TableHandbook[],3,FALSE)=0,"",VLOOKUP($A46,TableHandbook[],3,FALSE)),"")</f>
        <v/>
      </c>
      <c r="D46" s="360" t="str">
        <f>IFERROR(IF(VLOOKUP($A46,TableHandbook[],4,FALSE)=0,"",VLOOKUP($A46,TableHandbook[],4,FALSE)),"")</f>
        <v/>
      </c>
      <c r="E46" s="361"/>
      <c r="F46" s="362" t="str">
        <f>IFERROR(IF(VLOOKUP($A46,TableHandbook[],6,FALSE)=0,"",VLOOKUP($A46,TableHandbook[],6,FALSE)),"")</f>
        <v/>
      </c>
      <c r="G46" s="361" t="str">
        <f>IFERROR(IF(VLOOKUP($A46,TableHandbook[],5,FALSE)=0,"",VLOOKUP($A46,TableHandbook[],5,FALSE)),"")</f>
        <v/>
      </c>
      <c r="H46" s="363" t="str">
        <f>IFERROR(VLOOKUP($A46,TableHandbook[],H$2,FALSE),"")</f>
        <v/>
      </c>
      <c r="I46" s="364" t="str">
        <f>IFERROR(VLOOKUP($A46,TableHandbook[],I$2,FALSE),"")</f>
        <v/>
      </c>
      <c r="J46" s="364" t="str">
        <f>IFERROR(VLOOKUP($A46,TableHandbook[],J$2,FALSE),"")</f>
        <v/>
      </c>
      <c r="K46" s="365" t="str">
        <f>IFERROR(VLOOKUP($A46,TableHandbook[],K$2,FALSE),"")</f>
        <v/>
      </c>
      <c r="L46" s="207"/>
      <c r="M46" s="303">
        <v>17</v>
      </c>
    </row>
    <row r="47" spans="1:16" x14ac:dyDescent="0.25">
      <c r="A47" s="357" t="str">
        <f t="shared" si="3"/>
        <v/>
      </c>
      <c r="B47" s="358" t="str">
        <f>IFERROR(IF(VLOOKUP($A47,TableHandbook[],2,FALSE)=0,"",VLOOKUP($A47,TableHandbook[],2,FALSE)),"")</f>
        <v/>
      </c>
      <c r="C47" s="359" t="str">
        <f>IFERROR(IF(VLOOKUP($A47,TableHandbook[],3,FALSE)=0,"",VLOOKUP($A47,TableHandbook[],3,FALSE)),"")</f>
        <v/>
      </c>
      <c r="D47" s="360" t="str">
        <f>IFERROR(IF(VLOOKUP($A47,TableHandbook[],4,FALSE)=0,"",VLOOKUP($A47,TableHandbook[],4,FALSE)),"")</f>
        <v/>
      </c>
      <c r="E47" s="361"/>
      <c r="F47" s="362" t="str">
        <f>IFERROR(IF(VLOOKUP($A47,TableHandbook[],6,FALSE)=0,"",VLOOKUP($A47,TableHandbook[],6,FALSE)),"")</f>
        <v/>
      </c>
      <c r="G47" s="361" t="str">
        <f>IFERROR(IF(VLOOKUP($A47,TableHandbook[],5,FALSE)=0,"",VLOOKUP($A47,TableHandbook[],5,FALSE)),"")</f>
        <v/>
      </c>
      <c r="H47" s="363" t="str">
        <f>IFERROR(VLOOKUP($A47,TableHandbook[],H$2,FALSE),"")</f>
        <v/>
      </c>
      <c r="I47" s="364" t="str">
        <f>IFERROR(VLOOKUP($A47,TableHandbook[],I$2,FALSE),"")</f>
        <v/>
      </c>
      <c r="J47" s="364" t="str">
        <f>IFERROR(VLOOKUP($A47,TableHandbook[],J$2,FALSE),"")</f>
        <v/>
      </c>
      <c r="K47" s="365" t="str">
        <f>IFERROR(VLOOKUP($A47,TableHandbook[],K$2,FALSE),"")</f>
        <v/>
      </c>
      <c r="L47" s="207"/>
      <c r="M47" s="303">
        <v>18</v>
      </c>
    </row>
    <row r="48" spans="1:16" x14ac:dyDescent="0.25">
      <c r="A48" s="357" t="str">
        <f t="shared" si="3"/>
        <v/>
      </c>
      <c r="B48" s="358" t="str">
        <f>IFERROR(IF(VLOOKUP($A48,TableHandbook[],2,FALSE)=0,"",VLOOKUP($A48,TableHandbook[],2,FALSE)),"")</f>
        <v/>
      </c>
      <c r="C48" s="359" t="str">
        <f>IFERROR(IF(VLOOKUP($A48,TableHandbook[],3,FALSE)=0,"",VLOOKUP($A48,TableHandbook[],3,FALSE)),"")</f>
        <v/>
      </c>
      <c r="D48" s="360" t="str">
        <f>IFERROR(IF(VLOOKUP($A48,TableHandbook[],4,FALSE)=0,"",VLOOKUP($A48,TableHandbook[],4,FALSE)),"")</f>
        <v/>
      </c>
      <c r="E48" s="361"/>
      <c r="F48" s="362" t="str">
        <f>IFERROR(IF(VLOOKUP($A48,TableHandbook[],6,FALSE)=0,"",VLOOKUP($A48,TableHandbook[],6,FALSE)),"")</f>
        <v/>
      </c>
      <c r="G48" s="361" t="str">
        <f>IFERROR(IF(VLOOKUP($A48,TableHandbook[],5,FALSE)=0,"",VLOOKUP($A48,TableHandbook[],5,FALSE)),"")</f>
        <v/>
      </c>
      <c r="H48" s="363" t="str">
        <f>IFERROR(VLOOKUP($A48,TableHandbook[],H$2,FALSE),"")</f>
        <v/>
      </c>
      <c r="I48" s="364" t="str">
        <f>IFERROR(VLOOKUP($A48,TableHandbook[],I$2,FALSE),"")</f>
        <v/>
      </c>
      <c r="J48" s="364" t="str">
        <f>IFERROR(VLOOKUP($A48,TableHandbook[],J$2,FALSE),"")</f>
        <v/>
      </c>
      <c r="K48" s="365" t="str">
        <f>IFERROR(VLOOKUP($A48,TableHandbook[],K$2,FALSE),"")</f>
        <v/>
      </c>
      <c r="L48" s="207"/>
      <c r="M48" s="303">
        <v>19</v>
      </c>
    </row>
    <row r="49" spans="1:15" x14ac:dyDescent="0.25">
      <c r="A49" s="357" t="str">
        <f t="shared" si="3"/>
        <v/>
      </c>
      <c r="B49" s="358" t="str">
        <f>IFERROR(IF(VLOOKUP($A49,TableHandbook[],2,FALSE)=0,"",VLOOKUP($A49,TableHandbook[],2,FALSE)),"")</f>
        <v/>
      </c>
      <c r="C49" s="359" t="str">
        <f>IFERROR(IF(VLOOKUP($A49,TableHandbook[],3,FALSE)=0,"",VLOOKUP($A49,TableHandbook[],3,FALSE)),"")</f>
        <v/>
      </c>
      <c r="D49" s="360" t="str">
        <f>IFERROR(IF(VLOOKUP($A49,TableHandbook[],4,FALSE)=0,"",VLOOKUP($A49,TableHandbook[],4,FALSE)),"")</f>
        <v/>
      </c>
      <c r="E49" s="361"/>
      <c r="F49" s="362" t="str">
        <f>IFERROR(IF(VLOOKUP($A49,TableHandbook[],6,FALSE)=0,"",VLOOKUP($A49,TableHandbook[],6,FALSE)),"")</f>
        <v/>
      </c>
      <c r="G49" s="361" t="str">
        <f>IFERROR(IF(VLOOKUP($A49,TableHandbook[],5,FALSE)=0,"",VLOOKUP($A49,TableHandbook[],5,FALSE)),"")</f>
        <v/>
      </c>
      <c r="H49" s="363" t="str">
        <f>IFERROR(VLOOKUP($A49,TableHandbook[],H$2,FALSE),"")</f>
        <v/>
      </c>
      <c r="I49" s="364" t="str">
        <f>IFERROR(VLOOKUP($A49,TableHandbook[],I$2,FALSE),"")</f>
        <v/>
      </c>
      <c r="J49" s="364" t="str">
        <f>IFERROR(VLOOKUP($A49,TableHandbook[],J$2,FALSE),"")</f>
        <v/>
      </c>
      <c r="K49" s="365" t="str">
        <f>IFERROR(VLOOKUP($A49,TableHandbook[],K$2,FALSE),"")</f>
        <v/>
      </c>
      <c r="L49" s="207"/>
      <c r="M49" s="303">
        <v>20</v>
      </c>
    </row>
    <row r="50" spans="1:15" x14ac:dyDescent="0.25">
      <c r="A50" s="357" t="str">
        <f t="shared" si="3"/>
        <v/>
      </c>
      <c r="B50" s="358" t="str">
        <f>IFERROR(IF(VLOOKUP($A50,TableHandbook[],2,FALSE)=0,"",VLOOKUP($A50,TableHandbook[],2,FALSE)),"")</f>
        <v/>
      </c>
      <c r="C50" s="359" t="str">
        <f>IFERROR(IF(VLOOKUP($A50,TableHandbook[],3,FALSE)=0,"",VLOOKUP($A50,TableHandbook[],3,FALSE)),"")</f>
        <v/>
      </c>
      <c r="D50" s="360" t="str">
        <f>IFERROR(IF(VLOOKUP($A50,TableHandbook[],4,FALSE)=0,"",VLOOKUP($A50,TableHandbook[],4,FALSE)),"")</f>
        <v/>
      </c>
      <c r="E50" s="361"/>
      <c r="F50" s="362" t="str">
        <f>IFERROR(IF(VLOOKUP($A50,TableHandbook[],6,FALSE)=0,"",VLOOKUP($A50,TableHandbook[],6,FALSE)),"")</f>
        <v/>
      </c>
      <c r="G50" s="361" t="str">
        <f>IFERROR(IF(VLOOKUP($A50,TableHandbook[],5,FALSE)=0,"",VLOOKUP($A50,TableHandbook[],5,FALSE)),"")</f>
        <v/>
      </c>
      <c r="H50" s="363" t="str">
        <f>IFERROR(VLOOKUP($A50,TableHandbook[],H$2,FALSE),"")</f>
        <v/>
      </c>
      <c r="I50" s="364" t="str">
        <f>IFERROR(VLOOKUP($A50,TableHandbook[],I$2,FALSE),"")</f>
        <v/>
      </c>
      <c r="J50" s="364" t="str">
        <f>IFERROR(VLOOKUP($A50,TableHandbook[],J$2,FALSE),"")</f>
        <v/>
      </c>
      <c r="K50" s="365" t="str">
        <f>IFERROR(VLOOKUP($A50,TableHandbook[],K$2,FALSE),"")</f>
        <v/>
      </c>
      <c r="L50" s="207"/>
      <c r="M50" s="303">
        <v>21</v>
      </c>
    </row>
    <row r="51" spans="1:15" x14ac:dyDescent="0.25">
      <c r="A51" s="357" t="str">
        <f t="shared" si="3"/>
        <v/>
      </c>
      <c r="B51" s="358" t="str">
        <f>IFERROR(IF(VLOOKUP($A51,TableHandbook[],2,FALSE)=0,"",VLOOKUP($A51,TableHandbook[],2,FALSE)),"")</f>
        <v/>
      </c>
      <c r="C51" s="359" t="str">
        <f>IFERROR(IF(VLOOKUP($A51,TableHandbook[],3,FALSE)=0,"",VLOOKUP($A51,TableHandbook[],3,FALSE)),"")</f>
        <v/>
      </c>
      <c r="D51" s="360" t="str">
        <f>IFERROR(IF(VLOOKUP($A51,TableHandbook[],4,FALSE)=0,"",VLOOKUP($A51,TableHandbook[],4,FALSE)),"")</f>
        <v/>
      </c>
      <c r="E51" s="361"/>
      <c r="F51" s="362" t="str">
        <f>IFERROR(IF(VLOOKUP($A51,TableHandbook[],6,FALSE)=0,"",VLOOKUP($A51,TableHandbook[],6,FALSE)),"")</f>
        <v/>
      </c>
      <c r="G51" s="361" t="str">
        <f>IFERROR(IF(VLOOKUP($A51,TableHandbook[],5,FALSE)=0,"",VLOOKUP($A51,TableHandbook[],5,FALSE)),"")</f>
        <v/>
      </c>
      <c r="H51" s="363" t="str">
        <f>IFERROR(VLOOKUP($A51,TableHandbook[],H$2,FALSE),"")</f>
        <v/>
      </c>
      <c r="I51" s="364" t="str">
        <f>IFERROR(VLOOKUP($A51,TableHandbook[],I$2,FALSE),"")</f>
        <v/>
      </c>
      <c r="J51" s="364" t="str">
        <f>IFERROR(VLOOKUP($A51,TableHandbook[],J$2,FALSE),"")</f>
        <v/>
      </c>
      <c r="K51" s="365" t="str">
        <f>IFERROR(VLOOKUP($A51,TableHandbook[],K$2,FALSE),"")</f>
        <v/>
      </c>
      <c r="L51" s="207"/>
      <c r="M51" s="303">
        <v>22</v>
      </c>
    </row>
    <row r="52" spans="1:15" x14ac:dyDescent="0.25">
      <c r="A52" s="357" t="str">
        <f t="shared" si="3"/>
        <v/>
      </c>
      <c r="B52" s="358" t="str">
        <f>IFERROR(IF(VLOOKUP($A52,TableHandbook[],2,FALSE)=0,"",VLOOKUP($A52,TableHandbook[],2,FALSE)),"")</f>
        <v/>
      </c>
      <c r="C52" s="359" t="str">
        <f>IFERROR(IF(VLOOKUP($A52,TableHandbook[],3,FALSE)=0,"",VLOOKUP($A52,TableHandbook[],3,FALSE)),"")</f>
        <v/>
      </c>
      <c r="D52" s="360" t="str">
        <f>IFERROR(IF(VLOOKUP($A52,TableHandbook[],4,FALSE)=0,"",VLOOKUP($A52,TableHandbook[],4,FALSE)),"")</f>
        <v/>
      </c>
      <c r="E52" s="361"/>
      <c r="F52" s="362" t="str">
        <f>IFERROR(IF(VLOOKUP($A52,TableHandbook[],6,FALSE)=0,"",VLOOKUP($A52,TableHandbook[],6,FALSE)),"")</f>
        <v/>
      </c>
      <c r="G52" s="361" t="str">
        <f>IFERROR(IF(VLOOKUP($A52,TableHandbook[],5,FALSE)=0,"",VLOOKUP($A52,TableHandbook[],5,FALSE)),"")</f>
        <v/>
      </c>
      <c r="H52" s="363" t="str">
        <f>IFERROR(VLOOKUP($A52,TableHandbook[],H$2,FALSE),"")</f>
        <v/>
      </c>
      <c r="I52" s="364" t="str">
        <f>IFERROR(VLOOKUP($A52,TableHandbook[],I$2,FALSE),"")</f>
        <v/>
      </c>
      <c r="J52" s="364" t="str">
        <f>IFERROR(VLOOKUP($A52,TableHandbook[],J$2,FALSE),"")</f>
        <v/>
      </c>
      <c r="K52" s="365" t="str">
        <f>IFERROR(VLOOKUP($A52,TableHandbook[],K$2,FALSE),"")</f>
        <v/>
      </c>
      <c r="L52" s="207"/>
      <c r="M52" s="303">
        <v>23</v>
      </c>
    </row>
    <row r="53" spans="1:15" x14ac:dyDescent="0.25">
      <c r="A53" s="357" t="str">
        <f t="shared" si="3"/>
        <v/>
      </c>
      <c r="B53" s="358" t="str">
        <f>IFERROR(IF(VLOOKUP($A53,TableHandbook[],2,FALSE)=0,"",VLOOKUP($A53,TableHandbook[],2,FALSE)),"")</f>
        <v/>
      </c>
      <c r="C53" s="359" t="str">
        <f>IFERROR(IF(VLOOKUP($A53,TableHandbook[],3,FALSE)=0,"",VLOOKUP($A53,TableHandbook[],3,FALSE)),"")</f>
        <v/>
      </c>
      <c r="D53" s="360" t="str">
        <f>IFERROR(IF(VLOOKUP($A53,TableHandbook[],4,FALSE)=0,"",VLOOKUP($A53,TableHandbook[],4,FALSE)),"")</f>
        <v/>
      </c>
      <c r="E53" s="361"/>
      <c r="F53" s="362" t="str">
        <f>IFERROR(IF(VLOOKUP($A53,TableHandbook[],6,FALSE)=0,"",VLOOKUP($A53,TableHandbook[],6,FALSE)),"")</f>
        <v/>
      </c>
      <c r="G53" s="361" t="str">
        <f>IFERROR(IF(VLOOKUP($A53,TableHandbook[],5,FALSE)=0,"",VLOOKUP($A53,TableHandbook[],5,FALSE)),"")</f>
        <v/>
      </c>
      <c r="H53" s="363" t="str">
        <f>IFERROR(VLOOKUP($A53,TableHandbook[],H$2,FALSE),"")</f>
        <v/>
      </c>
      <c r="I53" s="364" t="str">
        <f>IFERROR(VLOOKUP($A53,TableHandbook[],I$2,FALSE),"")</f>
        <v/>
      </c>
      <c r="J53" s="364" t="str">
        <f>IFERROR(VLOOKUP($A53,TableHandbook[],J$2,FALSE),"")</f>
        <v/>
      </c>
      <c r="K53" s="365" t="str">
        <f>IFERROR(VLOOKUP($A53,TableHandbook[],K$2,FALSE),"")</f>
        <v/>
      </c>
      <c r="L53" s="207"/>
      <c r="M53" s="303">
        <v>24</v>
      </c>
    </row>
    <row r="54" spans="1:15" x14ac:dyDescent="0.25">
      <c r="A54" s="357" t="str">
        <f t="shared" si="3"/>
        <v/>
      </c>
      <c r="B54" s="358" t="str">
        <f>IFERROR(IF(VLOOKUP($A54,TableHandbook[],2,FALSE)=0,"",VLOOKUP($A54,TableHandbook[],2,FALSE)),"")</f>
        <v/>
      </c>
      <c r="C54" s="359" t="str">
        <f>IFERROR(IF(VLOOKUP($A54,TableHandbook[],3,FALSE)=0,"",VLOOKUP($A54,TableHandbook[],3,FALSE)),"")</f>
        <v/>
      </c>
      <c r="D54" s="360" t="str">
        <f>IFERROR(IF(VLOOKUP($A54,TableHandbook[],4,FALSE)=0,"",VLOOKUP($A54,TableHandbook[],4,FALSE)),"")</f>
        <v/>
      </c>
      <c r="E54" s="361"/>
      <c r="F54" s="362" t="str">
        <f>IFERROR(IF(VLOOKUP($A54,TableHandbook[],6,FALSE)=0,"",VLOOKUP($A54,TableHandbook[],6,FALSE)),"")</f>
        <v/>
      </c>
      <c r="G54" s="361" t="str">
        <f>IFERROR(IF(VLOOKUP($A54,TableHandbook[],5,FALSE)=0,"",VLOOKUP($A54,TableHandbook[],5,FALSE)),"")</f>
        <v/>
      </c>
      <c r="H54" s="363" t="str">
        <f>IFERROR(VLOOKUP($A54,TableHandbook[],H$2,FALSE),"")</f>
        <v/>
      </c>
      <c r="I54" s="364" t="str">
        <f>IFERROR(VLOOKUP($A54,TableHandbook[],I$2,FALSE),"")</f>
        <v/>
      </c>
      <c r="J54" s="364" t="str">
        <f>IFERROR(VLOOKUP($A54,TableHandbook[],J$2,FALSE),"")</f>
        <v/>
      </c>
      <c r="K54" s="365" t="str">
        <f>IFERROR(VLOOKUP($A54,TableHandbook[],K$2,FALSE),"")</f>
        <v/>
      </c>
      <c r="L54" s="207"/>
      <c r="M54" s="303">
        <v>25</v>
      </c>
    </row>
    <row r="55" spans="1:15" x14ac:dyDescent="0.25">
      <c r="A55" s="357" t="str">
        <f t="shared" si="3"/>
        <v/>
      </c>
      <c r="B55" s="358" t="str">
        <f>IFERROR(IF(VLOOKUP($A55,TableHandbook[],2,FALSE)=0,"",VLOOKUP($A55,TableHandbook[],2,FALSE)),"")</f>
        <v/>
      </c>
      <c r="C55" s="359" t="str">
        <f>IFERROR(IF(VLOOKUP($A55,TableHandbook[],3,FALSE)=0,"",VLOOKUP($A55,TableHandbook[],3,FALSE)),"")</f>
        <v/>
      </c>
      <c r="D55" s="360" t="str">
        <f>IFERROR(IF(VLOOKUP($A55,TableHandbook[],4,FALSE)=0,"",VLOOKUP($A55,TableHandbook[],4,FALSE)),"")</f>
        <v/>
      </c>
      <c r="E55" s="361"/>
      <c r="F55" s="362" t="str">
        <f>IFERROR(IF(VLOOKUP($A55,TableHandbook[],6,FALSE)=0,"",VLOOKUP($A55,TableHandbook[],6,FALSE)),"")</f>
        <v/>
      </c>
      <c r="G55" s="361" t="str">
        <f>IFERROR(IF(VLOOKUP($A55,TableHandbook[],5,FALSE)=0,"",VLOOKUP($A55,TableHandbook[],5,FALSE)),"")</f>
        <v/>
      </c>
      <c r="H55" s="363" t="str">
        <f>IFERROR(VLOOKUP($A55,TableHandbook[],H$2,FALSE),"")</f>
        <v/>
      </c>
      <c r="I55" s="364" t="str">
        <f>IFERROR(VLOOKUP($A55,TableHandbook[],I$2,FALSE),"")</f>
        <v/>
      </c>
      <c r="J55" s="364" t="str">
        <f>IFERROR(VLOOKUP($A55,TableHandbook[],J$2,FALSE),"")</f>
        <v/>
      </c>
      <c r="K55" s="365" t="str">
        <f>IFERROR(VLOOKUP($A55,TableHandbook[],K$2,FALSE),"")</f>
        <v/>
      </c>
      <c r="L55" s="207"/>
      <c r="M55" s="303">
        <v>26</v>
      </c>
    </row>
    <row r="56" spans="1:15" x14ac:dyDescent="0.25">
      <c r="A56" s="357" t="str">
        <f t="shared" si="3"/>
        <v/>
      </c>
      <c r="B56" s="358" t="str">
        <f>IFERROR(IF(VLOOKUP($A56,TableHandbook[],2,FALSE)=0,"",VLOOKUP($A56,TableHandbook[],2,FALSE)),"")</f>
        <v/>
      </c>
      <c r="C56" s="359" t="str">
        <f>IFERROR(IF(VLOOKUP($A56,TableHandbook[],3,FALSE)=0,"",VLOOKUP($A56,TableHandbook[],3,FALSE)),"")</f>
        <v/>
      </c>
      <c r="D56" s="360" t="str">
        <f>IFERROR(IF(VLOOKUP($A56,TableHandbook[],4,FALSE)=0,"",VLOOKUP($A56,TableHandbook[],4,FALSE)),"")</f>
        <v/>
      </c>
      <c r="E56" s="361"/>
      <c r="F56" s="362" t="str">
        <f>IFERROR(IF(VLOOKUP($A56,TableHandbook[],6,FALSE)=0,"",VLOOKUP($A56,TableHandbook[],6,FALSE)),"")</f>
        <v/>
      </c>
      <c r="G56" s="361" t="str">
        <f>IFERROR(IF(VLOOKUP($A56,TableHandbook[],5,FALSE)=0,"",VLOOKUP($A56,TableHandbook[],5,FALSE)),"")</f>
        <v/>
      </c>
      <c r="H56" s="363" t="str">
        <f>IFERROR(VLOOKUP($A56,TableHandbook[],H$2,FALSE),"")</f>
        <v/>
      </c>
      <c r="I56" s="364" t="str">
        <f>IFERROR(VLOOKUP($A56,TableHandbook[],I$2,FALSE),"")</f>
        <v/>
      </c>
      <c r="J56" s="364" t="str">
        <f>IFERROR(VLOOKUP($A56,TableHandbook[],J$2,FALSE),"")</f>
        <v/>
      </c>
      <c r="K56" s="365" t="str">
        <f>IFERROR(VLOOKUP($A56,TableHandbook[],K$2,FALSE),"")</f>
        <v/>
      </c>
      <c r="L56" s="207"/>
      <c r="M56" s="303">
        <v>27</v>
      </c>
    </row>
    <row r="57" spans="1:15" x14ac:dyDescent="0.25">
      <c r="A57" s="357" t="str">
        <f t="shared" si="3"/>
        <v/>
      </c>
      <c r="B57" s="358" t="str">
        <f>IFERROR(IF(VLOOKUP($A57,TableHandbook[],2,FALSE)=0,"",VLOOKUP($A57,TableHandbook[],2,FALSE)),"")</f>
        <v/>
      </c>
      <c r="C57" s="359" t="str">
        <f>IFERROR(IF(VLOOKUP($A57,TableHandbook[],3,FALSE)=0,"",VLOOKUP($A57,TableHandbook[],3,FALSE)),"")</f>
        <v/>
      </c>
      <c r="D57" s="360" t="str">
        <f>IFERROR(IF(VLOOKUP($A57,TableHandbook[],4,FALSE)=0,"",VLOOKUP($A57,TableHandbook[],4,FALSE)),"")</f>
        <v/>
      </c>
      <c r="E57" s="361"/>
      <c r="F57" s="362" t="str">
        <f>IFERROR(IF(VLOOKUP($A57,TableHandbook[],6,FALSE)=0,"",VLOOKUP($A57,TableHandbook[],6,FALSE)),"")</f>
        <v/>
      </c>
      <c r="G57" s="361" t="str">
        <f>IFERROR(IF(VLOOKUP($A57,TableHandbook[],5,FALSE)=0,"",VLOOKUP($A57,TableHandbook[],5,FALSE)),"")</f>
        <v/>
      </c>
      <c r="H57" s="363" t="str">
        <f>IFERROR(VLOOKUP($A57,TableHandbook[],H$2,FALSE),"")</f>
        <v/>
      </c>
      <c r="I57" s="364" t="str">
        <f>IFERROR(VLOOKUP($A57,TableHandbook[],I$2,FALSE),"")</f>
        <v/>
      </c>
      <c r="J57" s="364" t="str">
        <f>IFERROR(VLOOKUP($A57,TableHandbook[],J$2,FALSE),"")</f>
        <v/>
      </c>
      <c r="K57" s="365" t="str">
        <f>IFERROR(VLOOKUP($A57,TableHandbook[],K$2,FALSE),"")</f>
        <v/>
      </c>
      <c r="L57" s="207"/>
      <c r="M57" s="303">
        <v>28</v>
      </c>
    </row>
    <row r="58" spans="1:15" x14ac:dyDescent="0.25">
      <c r="A58" s="357" t="str">
        <f t="shared" si="3"/>
        <v/>
      </c>
      <c r="B58" s="358" t="str">
        <f>IFERROR(IF(VLOOKUP($A58,TableHandbook[],2,FALSE)=0,"",VLOOKUP($A58,TableHandbook[],2,FALSE)),"")</f>
        <v/>
      </c>
      <c r="C58" s="359" t="str">
        <f>IFERROR(IF(VLOOKUP($A58,TableHandbook[],3,FALSE)=0,"",VLOOKUP($A58,TableHandbook[],3,FALSE)),"")</f>
        <v/>
      </c>
      <c r="D58" s="360" t="str">
        <f>IFERROR(IF(VLOOKUP($A58,TableHandbook[],4,FALSE)=0,"",VLOOKUP($A58,TableHandbook[],4,FALSE)),"")</f>
        <v/>
      </c>
      <c r="E58" s="361"/>
      <c r="F58" s="362" t="str">
        <f>IFERROR(IF(VLOOKUP($A58,TableHandbook[],6,FALSE)=0,"",VLOOKUP($A58,TableHandbook[],6,FALSE)),"")</f>
        <v/>
      </c>
      <c r="G58" s="361" t="str">
        <f>IFERROR(IF(VLOOKUP($A58,TableHandbook[],5,FALSE)=0,"",VLOOKUP($A58,TableHandbook[],5,FALSE)),"")</f>
        <v/>
      </c>
      <c r="H58" s="363" t="str">
        <f>IFERROR(VLOOKUP($A58,TableHandbook[],H$2,FALSE),"")</f>
        <v/>
      </c>
      <c r="I58" s="364" t="str">
        <f>IFERROR(VLOOKUP($A58,TableHandbook[],I$2,FALSE),"")</f>
        <v/>
      </c>
      <c r="J58" s="364" t="str">
        <f>IFERROR(VLOOKUP($A58,TableHandbook[],J$2,FALSE),"")</f>
        <v/>
      </c>
      <c r="K58" s="365" t="str">
        <f>IFERROR(VLOOKUP($A58,TableHandbook[],K$2,FALSE),"")</f>
        <v/>
      </c>
      <c r="L58" s="207"/>
      <c r="M58" s="303">
        <v>29</v>
      </c>
    </row>
    <row r="59" spans="1:15" s="337" customFormat="1" ht="13.9" customHeight="1" x14ac:dyDescent="0.2">
      <c r="A59" s="331"/>
      <c r="B59" s="331"/>
      <c r="C59" s="331"/>
      <c r="D59" s="332"/>
      <c r="E59" s="333"/>
      <c r="F59" s="334"/>
      <c r="G59" s="334"/>
      <c r="H59" s="334"/>
      <c r="I59" s="334"/>
      <c r="J59" s="334"/>
      <c r="K59" s="334"/>
      <c r="L59" s="334"/>
      <c r="M59" s="335"/>
      <c r="N59" s="336"/>
      <c r="O59" s="336"/>
    </row>
    <row r="60" spans="1:15" s="367" customFormat="1" ht="20.25" x14ac:dyDescent="0.3">
      <c r="A60" s="338" t="s">
        <v>33</v>
      </c>
      <c r="B60" s="339"/>
      <c r="C60" s="339"/>
      <c r="D60" s="340"/>
      <c r="E60" s="341"/>
      <c r="F60" s="342"/>
      <c r="G60" s="342"/>
      <c r="H60" s="343" t="s">
        <v>21</v>
      </c>
      <c r="I60" s="344"/>
      <c r="J60" s="345"/>
      <c r="K60" s="346"/>
      <c r="L60" s="347"/>
      <c r="M60" s="366"/>
    </row>
    <row r="61" spans="1:15" s="356" customFormat="1" ht="21" x14ac:dyDescent="0.25">
      <c r="A61" s="368" t="str">
        <f>D7</f>
        <v>Choose your Second Major (drop-down list)</v>
      </c>
      <c r="B61" s="369"/>
      <c r="C61" s="369"/>
      <c r="D61" s="370"/>
      <c r="E61" s="371"/>
      <c r="F61" s="372" t="s">
        <v>24</v>
      </c>
      <c r="G61" s="373" t="s">
        <v>25</v>
      </c>
      <c r="H61" s="374" t="str">
        <f>H$10</f>
        <v>Sem1 BEN</v>
      </c>
      <c r="I61" s="375" t="str">
        <f t="shared" ref="I61:K61" si="4">I$10</f>
        <v>Sem1 FO</v>
      </c>
      <c r="J61" s="375" t="str">
        <f t="shared" si="4"/>
        <v>Sem2 BEN</v>
      </c>
      <c r="K61" s="376" t="str">
        <f t="shared" si="4"/>
        <v>Sem2 FO</v>
      </c>
      <c r="L61" s="373" t="str">
        <f>L$10</f>
        <v>Notes / Progress</v>
      </c>
      <c r="M61" s="259"/>
    </row>
    <row r="62" spans="1:15" x14ac:dyDescent="0.25">
      <c r="A62" s="357" t="str">
        <f t="shared" ref="A62:A77" si="5">IFERROR(IF(HLOOKUP($L$7,RangeSecMajor,M62,FALSE)=0,"",HLOOKUP($L$7,RangeSecMajor,M62,FALSE)),"")</f>
        <v/>
      </c>
      <c r="B62" s="358" t="str">
        <f>IFERROR(IF(VLOOKUP($A62,TableHandbook[],2,FALSE)=0,"",VLOOKUP($A62,TableHandbook[],2,FALSE)),"")</f>
        <v/>
      </c>
      <c r="C62" s="359" t="str">
        <f>IFERROR(IF(VLOOKUP($A62,TableHandbook[],3,FALSE)=0,"",VLOOKUP($A62,TableHandbook[],3,FALSE)),"")</f>
        <v/>
      </c>
      <c r="D62" s="359" t="str">
        <f>IFERROR(IF(VLOOKUP($A62,TableHandbook[],4,FALSE)=0,"",VLOOKUP($A62,TableHandbook[],4,FALSE)),"")</f>
        <v/>
      </c>
      <c r="E62" s="361"/>
      <c r="F62" s="362" t="str">
        <f>IFERROR(IF(VLOOKUP($A62,TableHandbook[],6,FALSE)=0,"",VLOOKUP($A62,TableHandbook[],6,FALSE)),"")</f>
        <v/>
      </c>
      <c r="G62" s="361" t="str">
        <f>IFERROR(IF(VLOOKUP($A62,TableHandbook[],5,FALSE)=0,"",VLOOKUP($A62,TableHandbook[],5,FALSE)),"")</f>
        <v/>
      </c>
      <c r="H62" s="363" t="str">
        <f>IFERROR(VLOOKUP($A62,TableHandbook[],H$2,FALSE),"")</f>
        <v/>
      </c>
      <c r="I62" s="364" t="str">
        <f>IFERROR(VLOOKUP($A62,TableHandbook[],I$2,FALSE),"")</f>
        <v/>
      </c>
      <c r="J62" s="364" t="str">
        <f>IFERROR(VLOOKUP($A62,TableHandbook[],J$2,FALSE),"")</f>
        <v/>
      </c>
      <c r="K62" s="365" t="str">
        <f>IFERROR(VLOOKUP($A62,TableHandbook[],K$2,FALSE),"")</f>
        <v/>
      </c>
      <c r="L62" s="207"/>
      <c r="M62" s="303">
        <v>14</v>
      </c>
    </row>
    <row r="63" spans="1:15" x14ac:dyDescent="0.25">
      <c r="A63" s="357" t="str">
        <f t="shared" si="5"/>
        <v/>
      </c>
      <c r="B63" s="358" t="str">
        <f>IFERROR(IF(VLOOKUP($A63,TableHandbook[],2,FALSE)=0,"",VLOOKUP($A63,TableHandbook[],2,FALSE)),"")</f>
        <v/>
      </c>
      <c r="C63" s="359" t="str">
        <f>IFERROR(IF(VLOOKUP($A63,TableHandbook[],3,FALSE)=0,"",VLOOKUP($A63,TableHandbook[],3,FALSE)),"")</f>
        <v/>
      </c>
      <c r="D63" s="359" t="str">
        <f>IFERROR(IF(VLOOKUP($A63,TableHandbook[],4,FALSE)=0,"",VLOOKUP($A63,TableHandbook[],4,FALSE)),"")</f>
        <v/>
      </c>
      <c r="E63" s="361"/>
      <c r="F63" s="362" t="str">
        <f>IFERROR(IF(VLOOKUP($A63,TableHandbook[],6,FALSE)=0,"",VLOOKUP($A63,TableHandbook[],6,FALSE)),"")</f>
        <v/>
      </c>
      <c r="G63" s="361" t="str">
        <f>IFERROR(IF(VLOOKUP($A63,TableHandbook[],5,FALSE)=0,"",VLOOKUP($A63,TableHandbook[],5,FALSE)),"")</f>
        <v/>
      </c>
      <c r="H63" s="363" t="str">
        <f>IFERROR(VLOOKUP($A63,TableHandbook[],H$2,FALSE),"")</f>
        <v/>
      </c>
      <c r="I63" s="364" t="str">
        <f>IFERROR(VLOOKUP($A63,TableHandbook[],I$2,FALSE),"")</f>
        <v/>
      </c>
      <c r="J63" s="364" t="str">
        <f>IFERROR(VLOOKUP($A63,TableHandbook[],J$2,FALSE),"")</f>
        <v/>
      </c>
      <c r="K63" s="365" t="str">
        <f>IFERROR(VLOOKUP($A63,TableHandbook[],K$2,FALSE),"")</f>
        <v/>
      </c>
      <c r="L63" s="207"/>
      <c r="M63" s="303">
        <v>15</v>
      </c>
    </row>
    <row r="64" spans="1:15" x14ac:dyDescent="0.25">
      <c r="A64" s="357" t="str">
        <f t="shared" si="5"/>
        <v/>
      </c>
      <c r="B64" s="358" t="str">
        <f>IFERROR(IF(VLOOKUP($A64,TableHandbook[],2,FALSE)=0,"",VLOOKUP($A64,TableHandbook[],2,FALSE)),"")</f>
        <v/>
      </c>
      <c r="C64" s="359" t="str">
        <f>IFERROR(IF(VLOOKUP($A64,TableHandbook[],3,FALSE)=0,"",VLOOKUP($A64,TableHandbook[],3,FALSE)),"")</f>
        <v/>
      </c>
      <c r="D64" s="359" t="str">
        <f>IFERROR(IF(VLOOKUP($A64,TableHandbook[],4,FALSE)=0,"",VLOOKUP($A64,TableHandbook[],4,FALSE)),"")</f>
        <v/>
      </c>
      <c r="E64" s="361"/>
      <c r="F64" s="362" t="str">
        <f>IFERROR(IF(VLOOKUP($A64,TableHandbook[],6,FALSE)=0,"",VLOOKUP($A64,TableHandbook[],6,FALSE)),"")</f>
        <v/>
      </c>
      <c r="G64" s="361" t="str">
        <f>IFERROR(IF(VLOOKUP($A64,TableHandbook[],5,FALSE)=0,"",VLOOKUP($A64,TableHandbook[],5,FALSE)),"")</f>
        <v/>
      </c>
      <c r="H64" s="363" t="str">
        <f>IFERROR(VLOOKUP($A64,TableHandbook[],H$2,FALSE),"")</f>
        <v/>
      </c>
      <c r="I64" s="364" t="str">
        <f>IFERROR(VLOOKUP($A64,TableHandbook[],I$2,FALSE),"")</f>
        <v/>
      </c>
      <c r="J64" s="364" t="str">
        <f>IFERROR(VLOOKUP($A64,TableHandbook[],J$2,FALSE),"")</f>
        <v/>
      </c>
      <c r="K64" s="365" t="str">
        <f>IFERROR(VLOOKUP($A64,TableHandbook[],K$2,FALSE),"")</f>
        <v/>
      </c>
      <c r="L64" s="207"/>
      <c r="M64" s="303">
        <v>16</v>
      </c>
    </row>
    <row r="65" spans="1:13" x14ac:dyDescent="0.25">
      <c r="A65" s="357" t="str">
        <f t="shared" si="5"/>
        <v/>
      </c>
      <c r="B65" s="358" t="str">
        <f>IFERROR(IF(VLOOKUP($A65,TableHandbook[],2,FALSE)=0,"",VLOOKUP($A65,TableHandbook[],2,FALSE)),"")</f>
        <v/>
      </c>
      <c r="C65" s="359" t="str">
        <f>IFERROR(IF(VLOOKUP($A65,TableHandbook[],3,FALSE)=0,"",VLOOKUP($A65,TableHandbook[],3,FALSE)),"")</f>
        <v/>
      </c>
      <c r="D65" s="359" t="str">
        <f>IFERROR(IF(VLOOKUP($A65,TableHandbook[],4,FALSE)=0,"",VLOOKUP($A65,TableHandbook[],4,FALSE)),"")</f>
        <v/>
      </c>
      <c r="E65" s="361"/>
      <c r="F65" s="362" t="str">
        <f>IFERROR(IF(VLOOKUP($A65,TableHandbook[],6,FALSE)=0,"",VLOOKUP($A65,TableHandbook[],6,FALSE)),"")</f>
        <v/>
      </c>
      <c r="G65" s="361" t="str">
        <f>IFERROR(IF(VLOOKUP($A65,TableHandbook[],5,FALSE)=0,"",VLOOKUP($A65,TableHandbook[],5,FALSE)),"")</f>
        <v/>
      </c>
      <c r="H65" s="363" t="str">
        <f>IFERROR(VLOOKUP($A65,TableHandbook[],H$2,FALSE),"")</f>
        <v/>
      </c>
      <c r="I65" s="364" t="str">
        <f>IFERROR(VLOOKUP($A65,TableHandbook[],I$2,FALSE),"")</f>
        <v/>
      </c>
      <c r="J65" s="364" t="str">
        <f>IFERROR(VLOOKUP($A65,TableHandbook[],J$2,FALSE),"")</f>
        <v/>
      </c>
      <c r="K65" s="365" t="str">
        <f>IFERROR(VLOOKUP($A65,TableHandbook[],K$2,FALSE),"")</f>
        <v/>
      </c>
      <c r="L65" s="207"/>
      <c r="M65" s="303">
        <v>17</v>
      </c>
    </row>
    <row r="66" spans="1:13" x14ac:dyDescent="0.25">
      <c r="A66" s="357" t="str">
        <f t="shared" si="5"/>
        <v/>
      </c>
      <c r="B66" s="358" t="str">
        <f>IFERROR(IF(VLOOKUP($A66,TableHandbook[],2,FALSE)=0,"",VLOOKUP($A66,TableHandbook[],2,FALSE)),"")</f>
        <v/>
      </c>
      <c r="C66" s="359" t="str">
        <f>IFERROR(IF(VLOOKUP($A66,TableHandbook[],3,FALSE)=0,"",VLOOKUP($A66,TableHandbook[],3,FALSE)),"")</f>
        <v/>
      </c>
      <c r="D66" s="359" t="str">
        <f>IFERROR(IF(VLOOKUP($A66,TableHandbook[],4,FALSE)=0,"",VLOOKUP($A66,TableHandbook[],4,FALSE)),"")</f>
        <v/>
      </c>
      <c r="E66" s="361"/>
      <c r="F66" s="362" t="str">
        <f>IFERROR(IF(VLOOKUP($A66,TableHandbook[],6,FALSE)=0,"",VLOOKUP($A66,TableHandbook[],6,FALSE)),"")</f>
        <v/>
      </c>
      <c r="G66" s="361" t="str">
        <f>IFERROR(IF(VLOOKUP($A66,TableHandbook[],5,FALSE)=0,"",VLOOKUP($A66,TableHandbook[],5,FALSE)),"")</f>
        <v/>
      </c>
      <c r="H66" s="363" t="str">
        <f>IFERROR(VLOOKUP($A66,TableHandbook[],H$2,FALSE),"")</f>
        <v/>
      </c>
      <c r="I66" s="364" t="str">
        <f>IFERROR(VLOOKUP($A66,TableHandbook[],I$2,FALSE),"")</f>
        <v/>
      </c>
      <c r="J66" s="364" t="str">
        <f>IFERROR(VLOOKUP($A66,TableHandbook[],J$2,FALSE),"")</f>
        <v/>
      </c>
      <c r="K66" s="365" t="str">
        <f>IFERROR(VLOOKUP($A66,TableHandbook[],K$2,FALSE),"")</f>
        <v/>
      </c>
      <c r="L66" s="207"/>
      <c r="M66" s="303">
        <v>18</v>
      </c>
    </row>
    <row r="67" spans="1:13" x14ac:dyDescent="0.25">
      <c r="A67" s="357" t="str">
        <f t="shared" si="5"/>
        <v/>
      </c>
      <c r="B67" s="358" t="str">
        <f>IFERROR(IF(VLOOKUP($A67,TableHandbook[],2,FALSE)=0,"",VLOOKUP($A67,TableHandbook[],2,FALSE)),"")</f>
        <v/>
      </c>
      <c r="C67" s="359" t="str">
        <f>IFERROR(IF(VLOOKUP($A67,TableHandbook[],3,FALSE)=0,"",VLOOKUP($A67,TableHandbook[],3,FALSE)),"")</f>
        <v/>
      </c>
      <c r="D67" s="359" t="str">
        <f>IFERROR(IF(VLOOKUP($A67,TableHandbook[],4,FALSE)=0,"",VLOOKUP($A67,TableHandbook[],4,FALSE)),"")</f>
        <v/>
      </c>
      <c r="E67" s="361"/>
      <c r="F67" s="362" t="str">
        <f>IFERROR(IF(VLOOKUP($A67,TableHandbook[],6,FALSE)=0,"",VLOOKUP($A67,TableHandbook[],6,FALSE)),"")</f>
        <v/>
      </c>
      <c r="G67" s="361" t="str">
        <f>IFERROR(IF(VLOOKUP($A67,TableHandbook[],5,FALSE)=0,"",VLOOKUP($A67,TableHandbook[],5,FALSE)),"")</f>
        <v/>
      </c>
      <c r="H67" s="363" t="str">
        <f>IFERROR(VLOOKUP($A67,TableHandbook[],H$2,FALSE),"")</f>
        <v/>
      </c>
      <c r="I67" s="364" t="str">
        <f>IFERROR(VLOOKUP($A67,TableHandbook[],I$2,FALSE),"")</f>
        <v/>
      </c>
      <c r="J67" s="364" t="str">
        <f>IFERROR(VLOOKUP($A67,TableHandbook[],J$2,FALSE),"")</f>
        <v/>
      </c>
      <c r="K67" s="365" t="str">
        <f>IFERROR(VLOOKUP($A67,TableHandbook[],K$2,FALSE),"")</f>
        <v/>
      </c>
      <c r="L67" s="207"/>
      <c r="M67" s="303">
        <v>19</v>
      </c>
    </row>
    <row r="68" spans="1:13" x14ac:dyDescent="0.25">
      <c r="A68" s="357" t="str">
        <f t="shared" si="5"/>
        <v/>
      </c>
      <c r="B68" s="358" t="str">
        <f>IFERROR(IF(VLOOKUP($A68,TableHandbook[],2,FALSE)=0,"",VLOOKUP($A68,TableHandbook[],2,FALSE)),"")</f>
        <v/>
      </c>
      <c r="C68" s="359" t="str">
        <f>IFERROR(IF(VLOOKUP($A68,TableHandbook[],3,FALSE)=0,"",VLOOKUP($A68,TableHandbook[],3,FALSE)),"")</f>
        <v/>
      </c>
      <c r="D68" s="359" t="str">
        <f>IFERROR(IF(VLOOKUP($A68,TableHandbook[],4,FALSE)=0,"",VLOOKUP($A68,TableHandbook[],4,FALSE)),"")</f>
        <v/>
      </c>
      <c r="E68" s="361"/>
      <c r="F68" s="362" t="str">
        <f>IFERROR(IF(VLOOKUP($A68,TableHandbook[],6,FALSE)=0,"",VLOOKUP($A68,TableHandbook[],6,FALSE)),"")</f>
        <v/>
      </c>
      <c r="G68" s="361" t="str">
        <f>IFERROR(IF(VLOOKUP($A68,TableHandbook[],5,FALSE)=0,"",VLOOKUP($A68,TableHandbook[],5,FALSE)),"")</f>
        <v/>
      </c>
      <c r="H68" s="363" t="str">
        <f>IFERROR(VLOOKUP($A68,TableHandbook[],H$2,FALSE),"")</f>
        <v/>
      </c>
      <c r="I68" s="364" t="str">
        <f>IFERROR(VLOOKUP($A68,TableHandbook[],I$2,FALSE),"")</f>
        <v/>
      </c>
      <c r="J68" s="364" t="str">
        <f>IFERROR(VLOOKUP($A68,TableHandbook[],J$2,FALSE),"")</f>
        <v/>
      </c>
      <c r="K68" s="365" t="str">
        <f>IFERROR(VLOOKUP($A68,TableHandbook[],K$2,FALSE),"")</f>
        <v/>
      </c>
      <c r="L68" s="207"/>
      <c r="M68" s="303">
        <v>20</v>
      </c>
    </row>
    <row r="69" spans="1:13" x14ac:dyDescent="0.25">
      <c r="A69" s="357" t="str">
        <f t="shared" si="5"/>
        <v/>
      </c>
      <c r="B69" s="358" t="str">
        <f>IFERROR(IF(VLOOKUP($A69,TableHandbook[],2,FALSE)=0,"",VLOOKUP($A69,TableHandbook[],2,FALSE)),"")</f>
        <v/>
      </c>
      <c r="C69" s="359" t="str">
        <f>IFERROR(IF(VLOOKUP($A69,TableHandbook[],3,FALSE)=0,"",VLOOKUP($A69,TableHandbook[],3,FALSE)),"")</f>
        <v/>
      </c>
      <c r="D69" s="359" t="str">
        <f>IFERROR(IF(VLOOKUP($A69,TableHandbook[],4,FALSE)=0,"",VLOOKUP($A69,TableHandbook[],4,FALSE)),"")</f>
        <v/>
      </c>
      <c r="E69" s="361"/>
      <c r="F69" s="362" t="str">
        <f>IFERROR(IF(VLOOKUP($A69,TableHandbook[],6,FALSE)=0,"",VLOOKUP($A69,TableHandbook[],6,FALSE)),"")</f>
        <v/>
      </c>
      <c r="G69" s="361" t="str">
        <f>IFERROR(IF(VLOOKUP($A69,TableHandbook[],5,FALSE)=0,"",VLOOKUP($A69,TableHandbook[],5,FALSE)),"")</f>
        <v/>
      </c>
      <c r="H69" s="363" t="str">
        <f>IFERROR(VLOOKUP($A69,TableHandbook[],H$2,FALSE),"")</f>
        <v/>
      </c>
      <c r="I69" s="364" t="str">
        <f>IFERROR(VLOOKUP($A69,TableHandbook[],I$2,FALSE),"")</f>
        <v/>
      </c>
      <c r="J69" s="364" t="str">
        <f>IFERROR(VLOOKUP($A69,TableHandbook[],J$2,FALSE),"")</f>
        <v/>
      </c>
      <c r="K69" s="365" t="str">
        <f>IFERROR(VLOOKUP($A69,TableHandbook[],K$2,FALSE),"")</f>
        <v/>
      </c>
      <c r="L69" s="207"/>
      <c r="M69" s="303">
        <v>21</v>
      </c>
    </row>
    <row r="70" spans="1:13" x14ac:dyDescent="0.25">
      <c r="A70" s="357" t="str">
        <f t="shared" si="5"/>
        <v/>
      </c>
      <c r="B70" s="358" t="str">
        <f>IFERROR(IF(VLOOKUP($A70,TableHandbook[],2,FALSE)=0,"",VLOOKUP($A70,TableHandbook[],2,FALSE)),"")</f>
        <v/>
      </c>
      <c r="C70" s="359" t="str">
        <f>IFERROR(IF(VLOOKUP($A70,TableHandbook[],3,FALSE)=0,"",VLOOKUP($A70,TableHandbook[],3,FALSE)),"")</f>
        <v/>
      </c>
      <c r="D70" s="359" t="str">
        <f>IFERROR(IF(VLOOKUP($A70,TableHandbook[],4,FALSE)=0,"",VLOOKUP($A70,TableHandbook[],4,FALSE)),"")</f>
        <v/>
      </c>
      <c r="E70" s="361"/>
      <c r="F70" s="362" t="str">
        <f>IFERROR(IF(VLOOKUP($A70,TableHandbook[],6,FALSE)=0,"",VLOOKUP($A70,TableHandbook[],6,FALSE)),"")</f>
        <v/>
      </c>
      <c r="G70" s="361" t="str">
        <f>IFERROR(IF(VLOOKUP($A70,TableHandbook[],5,FALSE)=0,"",VLOOKUP($A70,TableHandbook[],5,FALSE)),"")</f>
        <v/>
      </c>
      <c r="H70" s="363" t="str">
        <f>IFERROR(VLOOKUP($A70,TableHandbook[],H$2,FALSE),"")</f>
        <v/>
      </c>
      <c r="I70" s="364" t="str">
        <f>IFERROR(VLOOKUP($A70,TableHandbook[],I$2,FALSE),"")</f>
        <v/>
      </c>
      <c r="J70" s="364" t="str">
        <f>IFERROR(VLOOKUP($A70,TableHandbook[],J$2,FALSE),"")</f>
        <v/>
      </c>
      <c r="K70" s="365" t="str">
        <f>IFERROR(VLOOKUP($A70,TableHandbook[],K$2,FALSE),"")</f>
        <v/>
      </c>
      <c r="L70" s="207"/>
      <c r="M70" s="303">
        <v>22</v>
      </c>
    </row>
    <row r="71" spans="1:13" x14ac:dyDescent="0.25">
      <c r="A71" s="357" t="str">
        <f t="shared" si="5"/>
        <v/>
      </c>
      <c r="B71" s="358" t="str">
        <f>IFERROR(IF(VLOOKUP($A71,TableHandbook[],2,FALSE)=0,"",VLOOKUP($A71,TableHandbook[],2,FALSE)),"")</f>
        <v/>
      </c>
      <c r="C71" s="359" t="str">
        <f>IFERROR(IF(VLOOKUP($A71,TableHandbook[],3,FALSE)=0,"",VLOOKUP($A71,TableHandbook[],3,FALSE)),"")</f>
        <v/>
      </c>
      <c r="D71" s="359" t="str">
        <f>IFERROR(IF(VLOOKUP($A71,TableHandbook[],4,FALSE)=0,"",VLOOKUP($A71,TableHandbook[],4,FALSE)),"")</f>
        <v/>
      </c>
      <c r="E71" s="361"/>
      <c r="F71" s="362" t="str">
        <f>IFERROR(IF(VLOOKUP($A71,TableHandbook[],6,FALSE)=0,"",VLOOKUP($A71,TableHandbook[],6,FALSE)),"")</f>
        <v/>
      </c>
      <c r="G71" s="361" t="str">
        <f>IFERROR(IF(VLOOKUP($A71,TableHandbook[],5,FALSE)=0,"",VLOOKUP($A71,TableHandbook[],5,FALSE)),"")</f>
        <v/>
      </c>
      <c r="H71" s="363" t="str">
        <f>IFERROR(VLOOKUP($A71,TableHandbook[],H$2,FALSE),"")</f>
        <v/>
      </c>
      <c r="I71" s="364" t="str">
        <f>IFERROR(VLOOKUP($A71,TableHandbook[],I$2,FALSE),"")</f>
        <v/>
      </c>
      <c r="J71" s="364" t="str">
        <f>IFERROR(VLOOKUP($A71,TableHandbook[],J$2,FALSE),"")</f>
        <v/>
      </c>
      <c r="K71" s="365" t="str">
        <f>IFERROR(VLOOKUP($A71,TableHandbook[],K$2,FALSE),"")</f>
        <v/>
      </c>
      <c r="L71" s="207"/>
      <c r="M71" s="303">
        <v>23</v>
      </c>
    </row>
    <row r="72" spans="1:13" x14ac:dyDescent="0.25">
      <c r="A72" s="357" t="str">
        <f t="shared" si="5"/>
        <v/>
      </c>
      <c r="B72" s="358" t="str">
        <f>IFERROR(IF(VLOOKUP($A72,TableHandbook[],2,FALSE)=0,"",VLOOKUP($A72,TableHandbook[],2,FALSE)),"")</f>
        <v/>
      </c>
      <c r="C72" s="359" t="str">
        <f>IFERROR(IF(VLOOKUP($A72,TableHandbook[],3,FALSE)=0,"",VLOOKUP($A72,TableHandbook[],3,FALSE)),"")</f>
        <v/>
      </c>
      <c r="D72" s="359" t="str">
        <f>IFERROR(IF(VLOOKUP($A72,TableHandbook[],4,FALSE)=0,"",VLOOKUP($A72,TableHandbook[],4,FALSE)),"")</f>
        <v/>
      </c>
      <c r="E72" s="361"/>
      <c r="F72" s="362" t="str">
        <f>IFERROR(IF(VLOOKUP($A72,TableHandbook[],6,FALSE)=0,"",VLOOKUP($A72,TableHandbook[],6,FALSE)),"")</f>
        <v/>
      </c>
      <c r="G72" s="361" t="str">
        <f>IFERROR(IF(VLOOKUP($A72,TableHandbook[],5,FALSE)=0,"",VLOOKUP($A72,TableHandbook[],5,FALSE)),"")</f>
        <v/>
      </c>
      <c r="H72" s="363" t="str">
        <f>IFERROR(VLOOKUP($A72,TableHandbook[],H$2,FALSE),"")</f>
        <v/>
      </c>
      <c r="I72" s="364" t="str">
        <f>IFERROR(VLOOKUP($A72,TableHandbook[],I$2,FALSE),"")</f>
        <v/>
      </c>
      <c r="J72" s="364" t="str">
        <f>IFERROR(VLOOKUP($A72,TableHandbook[],J$2,FALSE),"")</f>
        <v/>
      </c>
      <c r="K72" s="365" t="str">
        <f>IFERROR(VLOOKUP($A72,TableHandbook[],K$2,FALSE),"")</f>
        <v/>
      </c>
      <c r="L72" s="207"/>
      <c r="M72" s="303">
        <v>24</v>
      </c>
    </row>
    <row r="73" spans="1:13" x14ac:dyDescent="0.25">
      <c r="A73" s="357" t="str">
        <f t="shared" si="5"/>
        <v/>
      </c>
      <c r="B73" s="358" t="str">
        <f>IFERROR(IF(VLOOKUP($A73,TableHandbook[],2,FALSE)=0,"",VLOOKUP($A73,TableHandbook[],2,FALSE)),"")</f>
        <v/>
      </c>
      <c r="C73" s="359" t="str">
        <f>IFERROR(IF(VLOOKUP($A73,TableHandbook[],3,FALSE)=0,"",VLOOKUP($A73,TableHandbook[],3,FALSE)),"")</f>
        <v/>
      </c>
      <c r="D73" s="359" t="str">
        <f>IFERROR(IF(VLOOKUP($A73,TableHandbook[],4,FALSE)=0,"",VLOOKUP($A73,TableHandbook[],4,FALSE)),"")</f>
        <v/>
      </c>
      <c r="E73" s="361"/>
      <c r="F73" s="362" t="str">
        <f>IFERROR(IF(VLOOKUP($A73,TableHandbook[],6,FALSE)=0,"",VLOOKUP($A73,TableHandbook[],6,FALSE)),"")</f>
        <v/>
      </c>
      <c r="G73" s="361" t="str">
        <f>IFERROR(IF(VLOOKUP($A73,TableHandbook[],5,FALSE)=0,"",VLOOKUP($A73,TableHandbook[],5,FALSE)),"")</f>
        <v/>
      </c>
      <c r="H73" s="363" t="str">
        <f>IFERROR(VLOOKUP($A73,TableHandbook[],H$2,FALSE),"")</f>
        <v/>
      </c>
      <c r="I73" s="364" t="str">
        <f>IFERROR(VLOOKUP($A73,TableHandbook[],I$2,FALSE),"")</f>
        <v/>
      </c>
      <c r="J73" s="364" t="str">
        <f>IFERROR(VLOOKUP($A73,TableHandbook[],J$2,FALSE),"")</f>
        <v/>
      </c>
      <c r="K73" s="365" t="str">
        <f>IFERROR(VLOOKUP($A73,TableHandbook[],K$2,FALSE),"")</f>
        <v/>
      </c>
      <c r="L73" s="207"/>
      <c r="M73" s="303">
        <v>25</v>
      </c>
    </row>
    <row r="74" spans="1:13" x14ac:dyDescent="0.25">
      <c r="A74" s="357" t="str">
        <f t="shared" si="5"/>
        <v/>
      </c>
      <c r="B74" s="358" t="str">
        <f>IFERROR(IF(VLOOKUP($A74,TableHandbook[],2,FALSE)=0,"",VLOOKUP($A74,TableHandbook[],2,FALSE)),"")</f>
        <v/>
      </c>
      <c r="C74" s="359" t="str">
        <f>IFERROR(IF(VLOOKUP($A74,TableHandbook[],3,FALSE)=0,"",VLOOKUP($A74,TableHandbook[],3,FALSE)),"")</f>
        <v/>
      </c>
      <c r="D74" s="359" t="str">
        <f>IFERROR(IF(VLOOKUP($A74,TableHandbook[],4,FALSE)=0,"",VLOOKUP($A74,TableHandbook[],4,FALSE)),"")</f>
        <v/>
      </c>
      <c r="E74" s="361"/>
      <c r="F74" s="362" t="str">
        <f>IFERROR(IF(VLOOKUP($A74,TableHandbook[],6,FALSE)=0,"",VLOOKUP($A74,TableHandbook[],6,FALSE)),"")</f>
        <v/>
      </c>
      <c r="G74" s="361" t="str">
        <f>IFERROR(IF(VLOOKUP($A74,TableHandbook[],5,FALSE)=0,"",VLOOKUP($A74,TableHandbook[],5,FALSE)),"")</f>
        <v/>
      </c>
      <c r="H74" s="363" t="str">
        <f>IFERROR(VLOOKUP($A74,TableHandbook[],H$2,FALSE),"")</f>
        <v/>
      </c>
      <c r="I74" s="364" t="str">
        <f>IFERROR(VLOOKUP($A74,TableHandbook[],I$2,FALSE),"")</f>
        <v/>
      </c>
      <c r="J74" s="364" t="str">
        <f>IFERROR(VLOOKUP($A74,TableHandbook[],J$2,FALSE),"")</f>
        <v/>
      </c>
      <c r="K74" s="365" t="str">
        <f>IFERROR(VLOOKUP($A74,TableHandbook[],K$2,FALSE),"")</f>
        <v/>
      </c>
      <c r="L74" s="207"/>
      <c r="M74" s="303">
        <v>26</v>
      </c>
    </row>
    <row r="75" spans="1:13" x14ac:dyDescent="0.25">
      <c r="A75" s="357" t="str">
        <f t="shared" si="5"/>
        <v/>
      </c>
      <c r="B75" s="358" t="str">
        <f>IFERROR(IF(VLOOKUP($A75,TableHandbook[],2,FALSE)=0,"",VLOOKUP($A75,TableHandbook[],2,FALSE)),"")</f>
        <v/>
      </c>
      <c r="C75" s="359" t="str">
        <f>IFERROR(IF(VLOOKUP($A75,TableHandbook[],3,FALSE)=0,"",VLOOKUP($A75,TableHandbook[],3,FALSE)),"")</f>
        <v/>
      </c>
      <c r="D75" s="359" t="str">
        <f>IFERROR(IF(VLOOKUP($A75,TableHandbook[],4,FALSE)=0,"",VLOOKUP($A75,TableHandbook[],4,FALSE)),"")</f>
        <v/>
      </c>
      <c r="E75" s="361"/>
      <c r="F75" s="362" t="str">
        <f>IFERROR(IF(VLOOKUP($A75,TableHandbook[],6,FALSE)=0,"",VLOOKUP($A75,TableHandbook[],6,FALSE)),"")</f>
        <v/>
      </c>
      <c r="G75" s="361" t="str">
        <f>IFERROR(IF(VLOOKUP($A75,TableHandbook[],5,FALSE)=0,"",VLOOKUP($A75,TableHandbook[],5,FALSE)),"")</f>
        <v/>
      </c>
      <c r="H75" s="363" t="str">
        <f>IFERROR(VLOOKUP($A75,TableHandbook[],H$2,FALSE),"")</f>
        <v/>
      </c>
      <c r="I75" s="364" t="str">
        <f>IFERROR(VLOOKUP($A75,TableHandbook[],I$2,FALSE),"")</f>
        <v/>
      </c>
      <c r="J75" s="364" t="str">
        <f>IFERROR(VLOOKUP($A75,TableHandbook[],J$2,FALSE),"")</f>
        <v/>
      </c>
      <c r="K75" s="365" t="str">
        <f>IFERROR(VLOOKUP($A75,TableHandbook[],K$2,FALSE),"")</f>
        <v/>
      </c>
      <c r="L75" s="207"/>
      <c r="M75" s="303">
        <v>27</v>
      </c>
    </row>
    <row r="76" spans="1:13" x14ac:dyDescent="0.25">
      <c r="A76" s="357" t="str">
        <f t="shared" si="5"/>
        <v/>
      </c>
      <c r="B76" s="358" t="str">
        <f>IFERROR(IF(VLOOKUP($A76,TableHandbook[],2,FALSE)=0,"",VLOOKUP($A76,TableHandbook[],2,FALSE)),"")</f>
        <v/>
      </c>
      <c r="C76" s="359" t="str">
        <f>IFERROR(IF(VLOOKUP($A76,TableHandbook[],3,FALSE)=0,"",VLOOKUP($A76,TableHandbook[],3,FALSE)),"")</f>
        <v/>
      </c>
      <c r="D76" s="359" t="str">
        <f>IFERROR(IF(VLOOKUP($A76,TableHandbook[],4,FALSE)=0,"",VLOOKUP($A76,TableHandbook[],4,FALSE)),"")</f>
        <v/>
      </c>
      <c r="E76" s="361"/>
      <c r="F76" s="362" t="str">
        <f>IFERROR(IF(VLOOKUP($A76,TableHandbook[],6,FALSE)=0,"",VLOOKUP($A76,TableHandbook[],6,FALSE)),"")</f>
        <v/>
      </c>
      <c r="G76" s="361" t="str">
        <f>IFERROR(IF(VLOOKUP($A76,TableHandbook[],5,FALSE)=0,"",VLOOKUP($A76,TableHandbook[],5,FALSE)),"")</f>
        <v/>
      </c>
      <c r="H76" s="363" t="str">
        <f>IFERROR(VLOOKUP($A76,TableHandbook[],H$2,FALSE),"")</f>
        <v/>
      </c>
      <c r="I76" s="364" t="str">
        <f>IFERROR(VLOOKUP($A76,TableHandbook[],I$2,FALSE),"")</f>
        <v/>
      </c>
      <c r="J76" s="364" t="str">
        <f>IFERROR(VLOOKUP($A76,TableHandbook[],J$2,FALSE),"")</f>
        <v/>
      </c>
      <c r="K76" s="365" t="str">
        <f>IFERROR(VLOOKUP($A76,TableHandbook[],K$2,FALSE),"")</f>
        <v/>
      </c>
      <c r="L76" s="207"/>
      <c r="M76" s="303">
        <v>28</v>
      </c>
    </row>
    <row r="77" spans="1:13" x14ac:dyDescent="0.25">
      <c r="A77" s="357" t="str">
        <f t="shared" si="5"/>
        <v/>
      </c>
      <c r="B77" s="358" t="str">
        <f>IFERROR(IF(VLOOKUP($A77,TableHandbook[],2,FALSE)=0,"",VLOOKUP($A77,TableHandbook[],2,FALSE)),"")</f>
        <v/>
      </c>
      <c r="C77" s="359" t="str">
        <f>IFERROR(IF(VLOOKUP($A77,TableHandbook[],3,FALSE)=0,"",VLOOKUP($A77,TableHandbook[],3,FALSE)),"")</f>
        <v/>
      </c>
      <c r="D77" s="359" t="str">
        <f>IFERROR(IF(VLOOKUP($A77,TableHandbook[],4,FALSE)=0,"",VLOOKUP($A77,TableHandbook[],4,FALSE)),"")</f>
        <v/>
      </c>
      <c r="E77" s="361"/>
      <c r="F77" s="362" t="str">
        <f>IFERROR(IF(VLOOKUP($A77,TableHandbook[],6,FALSE)=0,"",VLOOKUP($A77,TableHandbook[],6,FALSE)),"")</f>
        <v/>
      </c>
      <c r="G77" s="361" t="str">
        <f>IFERROR(IF(VLOOKUP($A77,TableHandbook[],5,FALSE)=0,"",VLOOKUP($A77,TableHandbook[],5,FALSE)),"")</f>
        <v/>
      </c>
      <c r="H77" s="363" t="str">
        <f>IFERROR(VLOOKUP($A77,TableHandbook[],H$2,FALSE),"")</f>
        <v/>
      </c>
      <c r="I77" s="364" t="str">
        <f>IFERROR(VLOOKUP($A77,TableHandbook[],I$2,FALSE),"")</f>
        <v/>
      </c>
      <c r="J77" s="364" t="str">
        <f>IFERROR(VLOOKUP($A77,TableHandbook[],J$2,FALSE),"")</f>
        <v/>
      </c>
      <c r="K77" s="365" t="str">
        <f>IFERROR(VLOOKUP($A77,TableHandbook[],K$2,FALSE),"")</f>
        <v/>
      </c>
      <c r="L77" s="207"/>
      <c r="M77" s="303">
        <v>29</v>
      </c>
    </row>
    <row r="78" spans="1:13" x14ac:dyDescent="0.25">
      <c r="A78" s="331"/>
      <c r="B78" s="331"/>
      <c r="C78" s="331"/>
      <c r="D78" s="332"/>
      <c r="E78" s="333"/>
      <c r="F78" s="334"/>
      <c r="G78" s="334"/>
      <c r="H78" s="334"/>
      <c r="I78" s="334"/>
      <c r="J78" s="334"/>
      <c r="K78" s="334"/>
      <c r="L78" s="334"/>
      <c r="M78" s="335"/>
    </row>
    <row r="79" spans="1:13" ht="32.25" customHeight="1" x14ac:dyDescent="0.25">
      <c r="A79" s="377" t="s">
        <v>34</v>
      </c>
      <c r="B79" s="377"/>
      <c r="C79" s="377"/>
      <c r="D79" s="377"/>
      <c r="E79" s="377"/>
      <c r="F79" s="377"/>
      <c r="G79" s="377"/>
      <c r="H79" s="377"/>
      <c r="I79" s="377"/>
      <c r="J79" s="377"/>
      <c r="K79" s="377"/>
      <c r="L79" s="377"/>
    </row>
    <row r="80" spans="1:13" ht="15" customHeight="1" x14ac:dyDescent="0.25">
      <c r="A80" s="378" t="s">
        <v>35</v>
      </c>
      <c r="B80" s="378"/>
      <c r="C80" s="378"/>
      <c r="D80" s="378"/>
      <c r="E80" s="379"/>
      <c r="F80" s="334"/>
      <c r="G80" s="380"/>
      <c r="H80" s="380"/>
      <c r="I80" s="380"/>
      <c r="J80" s="380"/>
      <c r="K80" s="380"/>
      <c r="L80" s="380" t="s">
        <v>36</v>
      </c>
    </row>
    <row r="81" spans="1:13" ht="15" customHeight="1" x14ac:dyDescent="0.25">
      <c r="A81" s="378"/>
      <c r="B81" s="378"/>
      <c r="C81" s="378"/>
      <c r="D81" s="378"/>
      <c r="E81" s="379"/>
      <c r="F81" s="334"/>
      <c r="G81" s="380"/>
      <c r="H81" s="380"/>
      <c r="I81" s="380"/>
      <c r="J81" s="380"/>
      <c r="K81" s="380"/>
      <c r="L81" s="380"/>
    </row>
    <row r="82" spans="1:13" ht="20.25" x14ac:dyDescent="0.25">
      <c r="A82" s="338" t="s">
        <v>37</v>
      </c>
      <c r="B82" s="339"/>
      <c r="C82" s="339"/>
      <c r="D82" s="340"/>
      <c r="E82" s="341"/>
      <c r="F82" s="342"/>
      <c r="G82" s="342"/>
      <c r="H82" s="343" t="s">
        <v>21</v>
      </c>
      <c r="I82" s="344"/>
      <c r="J82" s="345"/>
      <c r="K82" s="346"/>
      <c r="L82" s="347"/>
      <c r="M82" s="366"/>
    </row>
    <row r="83" spans="1:13" ht="21" x14ac:dyDescent="0.25">
      <c r="A83" s="381"/>
      <c r="B83" s="381"/>
      <c r="C83" s="381"/>
      <c r="D83" s="382" t="s">
        <v>3</v>
      </c>
      <c r="E83" s="383" t="s">
        <v>23</v>
      </c>
      <c r="F83" s="381" t="s">
        <v>24</v>
      </c>
      <c r="G83" s="381" t="s">
        <v>25</v>
      </c>
      <c r="H83" s="384" t="str">
        <f>H$10</f>
        <v>Sem1 BEN</v>
      </c>
      <c r="I83" s="385" t="str">
        <f t="shared" ref="I83:K83" si="6">I$10</f>
        <v>Sem1 FO</v>
      </c>
      <c r="J83" s="385" t="str">
        <f t="shared" si="6"/>
        <v>Sem2 BEN</v>
      </c>
      <c r="K83" s="386" t="str">
        <f t="shared" si="6"/>
        <v>Sem2 FO</v>
      </c>
      <c r="L83" s="381" t="str">
        <f>L$10</f>
        <v>Notes / Progress</v>
      </c>
      <c r="M83" s="303" t="s">
        <v>38</v>
      </c>
    </row>
    <row r="84" spans="1:13" x14ac:dyDescent="0.25">
      <c r="A84" s="357" t="s">
        <v>39</v>
      </c>
      <c r="B84" s="358">
        <f>IFERROR(IF(VLOOKUP($A84,TableHandbook[],2,FALSE)=0,"",VLOOKUP($A84,TableHandbook[],2,FALSE)),"")</f>
        <v>1</v>
      </c>
      <c r="C84" s="359" t="str">
        <f>IFERROR(IF(VLOOKUP($A84,TableHandbook[],3,FALSE)=0,"",VLOOKUP($A84,TableHandbook[],3,FALSE)),"")</f>
        <v/>
      </c>
      <c r="D84" s="359" t="str">
        <f>IFERROR(IF(VLOOKUP($A84,TableHandbook[],4,FALSE)=0,"",VLOOKUP($A84,TableHandbook[],4,FALSE)),"")</f>
        <v>Self, Culture and Society</v>
      </c>
      <c r="E84" s="361"/>
      <c r="F84" s="387" t="str">
        <f>IFERROR(IF(VLOOKUP($A84,TableHandbook[],6,FALSE)=0,"",VLOOKUP($A84,TableHandbook[],6,FALSE)),"")</f>
        <v>None</v>
      </c>
      <c r="G84" s="361">
        <f>IFERROR(IF(VLOOKUP($A84,TableHandbook[],5,FALSE)=0,"",VLOOKUP($A84,TableHandbook[],5,FALSE)),"")</f>
        <v>25</v>
      </c>
      <c r="H84" s="363" t="str">
        <f>IFERROR(VLOOKUP($A84,TableHandbook[],H$2,FALSE),"")</f>
        <v>Y</v>
      </c>
      <c r="I84" s="364" t="str">
        <f>IFERROR(VLOOKUP($A84,TableHandbook[],I$2,FALSE),"")</f>
        <v>Y</v>
      </c>
      <c r="J84" s="364" t="str">
        <f>IFERROR(VLOOKUP($A84,TableHandbook[],J$2,FALSE),"")</f>
        <v/>
      </c>
      <c r="K84" s="365" t="str">
        <f>IFERROR(VLOOKUP($A84,TableHandbook[],K$2,FALSE),"")</f>
        <v/>
      </c>
      <c r="L84" s="207"/>
      <c r="M84" s="303" t="s">
        <v>40</v>
      </c>
    </row>
    <row r="85" spans="1:13" x14ac:dyDescent="0.25">
      <c r="A85" s="357" t="s">
        <v>41</v>
      </c>
      <c r="B85" s="358">
        <f>IFERROR(IF(VLOOKUP($A85,TableHandbook[],2,FALSE)=0,"",VLOOKUP($A85,TableHandbook[],2,FALSE)),"")</f>
        <v>2</v>
      </c>
      <c r="C85" s="359" t="str">
        <f>IFERROR(IF(VLOOKUP($A85,TableHandbook[],3,FALSE)=0,"",VLOOKUP($A85,TableHandbook[],3,FALSE)),"")</f>
        <v/>
      </c>
      <c r="D85" s="359" t="str">
        <f>IFERROR(IF(VLOOKUP($A85,TableHandbook[],4,FALSE)=0,"",VLOOKUP($A85,TableHandbook[],4,FALSE)),"")</f>
        <v>Society and Culture in a Globalising World</v>
      </c>
      <c r="E85" s="361"/>
      <c r="F85" s="387" t="str">
        <f>IFERROR(IF(VLOOKUP($A85,TableHandbook[],6,FALSE)=0,"",VLOOKUP($A85,TableHandbook[],6,FALSE)),"")</f>
        <v>None</v>
      </c>
      <c r="G85" s="361">
        <f>IFERROR(IF(VLOOKUP($A85,TableHandbook[],5,FALSE)=0,"",VLOOKUP($A85,TableHandbook[],5,FALSE)),"")</f>
        <v>25</v>
      </c>
      <c r="H85" s="363" t="str">
        <f>IFERROR(VLOOKUP($A85,TableHandbook[],H$2,FALSE),"")</f>
        <v/>
      </c>
      <c r="I85" s="364" t="str">
        <f>IFERROR(VLOOKUP($A85,TableHandbook[],I$2,FALSE),"")</f>
        <v/>
      </c>
      <c r="J85" s="364" t="str">
        <f>IFERROR(VLOOKUP($A85,TableHandbook[],J$2,FALSE),"")</f>
        <v>Y</v>
      </c>
      <c r="K85" s="365" t="str">
        <f>IFERROR(VLOOKUP($A85,TableHandbook[],K$2,FALSE),"")</f>
        <v>Y</v>
      </c>
      <c r="L85" s="207"/>
      <c r="M85" s="303" t="s">
        <v>42</v>
      </c>
    </row>
    <row r="86" spans="1:13" x14ac:dyDescent="0.25">
      <c r="A86" s="357" t="s">
        <v>43</v>
      </c>
      <c r="B86" s="358">
        <f>IFERROR(IF(VLOOKUP($A86,TableHandbook[],2,FALSE)=0,"",VLOOKUP($A86,TableHandbook[],2,FALSE)),"")</f>
        <v>2</v>
      </c>
      <c r="C86" s="359" t="str">
        <f>IFERROR(IF(VLOOKUP($A86,TableHandbook[],3,FALSE)=0,"",VLOOKUP($A86,TableHandbook[],3,FALSE)),"")</f>
        <v/>
      </c>
      <c r="D86" s="359" t="str">
        <f>IFERROR(IF(VLOOKUP($A86,TableHandbook[],4,FALSE)=0,"",VLOOKUP($A86,TableHandbook[],4,FALSE)),"")</f>
        <v>Chinese for Beginners</v>
      </c>
      <c r="E86" s="361"/>
      <c r="F86" s="387" t="str">
        <f>IFERROR(IF(VLOOKUP($A86,TableHandbook[],6,FALSE)=0,"",VLOOKUP($A86,TableHandbook[],6,FALSE)),"")</f>
        <v>None</v>
      </c>
      <c r="G86" s="361">
        <f>IFERROR(IF(VLOOKUP($A86,TableHandbook[],5,FALSE)=0,"",VLOOKUP($A86,TableHandbook[],5,FALSE)),"")</f>
        <v>25</v>
      </c>
      <c r="H86" s="363" t="str">
        <f>IFERROR(VLOOKUP($A86,TableHandbook[],H$2,FALSE),"")</f>
        <v>Y</v>
      </c>
      <c r="I86" s="364" t="str">
        <f>IFERROR(VLOOKUP($A86,TableHandbook[],I$2,FALSE),"")</f>
        <v>Y</v>
      </c>
      <c r="J86" s="364" t="str">
        <f>IFERROR(VLOOKUP($A86,TableHandbook[],J$2,FALSE),"")</f>
        <v>Y</v>
      </c>
      <c r="K86" s="365" t="str">
        <f>IFERROR(VLOOKUP($A86,TableHandbook[],K$2,FALSE),"")</f>
        <v>Y</v>
      </c>
      <c r="L86" s="207"/>
      <c r="M86" s="303" t="s">
        <v>40</v>
      </c>
    </row>
    <row r="87" spans="1:13" x14ac:dyDescent="0.25">
      <c r="A87" s="357" t="s">
        <v>44</v>
      </c>
      <c r="B87" s="358">
        <f>IFERROR(IF(VLOOKUP($A87,TableHandbook[],2,FALSE)=0,"",VLOOKUP($A87,TableHandbook[],2,FALSE)),"")</f>
        <v>2</v>
      </c>
      <c r="C87" s="359" t="str">
        <f>IFERROR(IF(VLOOKUP($A87,TableHandbook[],3,FALSE)=0,"",VLOOKUP($A87,TableHandbook[],3,FALSE)),"")</f>
        <v/>
      </c>
      <c r="D87" s="359" t="str">
        <f>IFERROR(IF(VLOOKUP($A87,TableHandbook[],4,FALSE)=0,"",VLOOKUP($A87,TableHandbook[],4,FALSE)),"")</f>
        <v>Foundations of Chinese</v>
      </c>
      <c r="E87" s="361"/>
      <c r="F87" s="387" t="str">
        <f>IFERROR(IF(VLOOKUP($A87,TableHandbook[],6,FALSE)=0,"",VLOOKUP($A87,TableHandbook[],6,FALSE)),"")</f>
        <v>None</v>
      </c>
      <c r="G87" s="361">
        <f>IFERROR(IF(VLOOKUP($A87,TableHandbook[],5,FALSE)=0,"",VLOOKUP($A87,TableHandbook[],5,FALSE)),"")</f>
        <v>25</v>
      </c>
      <c r="H87" s="363" t="str">
        <f>IFERROR(VLOOKUP($A87,TableHandbook[],H$2,FALSE),"")</f>
        <v/>
      </c>
      <c r="I87" s="364" t="str">
        <f>IFERROR(VLOOKUP($A87,TableHandbook[],I$2,FALSE),"")</f>
        <v/>
      </c>
      <c r="J87" s="364" t="str">
        <f>IFERROR(VLOOKUP($A87,TableHandbook[],J$2,FALSE),"")</f>
        <v>Y</v>
      </c>
      <c r="K87" s="365" t="str">
        <f>IFERROR(VLOOKUP($A87,TableHandbook[],K$2,FALSE),"")</f>
        <v>Y</v>
      </c>
      <c r="L87" s="207"/>
      <c r="M87" s="303" t="s">
        <v>45</v>
      </c>
    </row>
    <row r="88" spans="1:13" x14ac:dyDescent="0.25">
      <c r="A88" s="357" t="s">
        <v>46</v>
      </c>
      <c r="B88" s="358">
        <f>IFERROR(IF(VLOOKUP($A88,TableHandbook[],2,FALSE)=0,"",VLOOKUP($A88,TableHandbook[],2,FALSE)),"")</f>
        <v>1</v>
      </c>
      <c r="C88" s="359" t="str">
        <f>IFERROR(IF(VLOOKUP($A88,TableHandbook[],3,FALSE)=0,"",VLOOKUP($A88,TableHandbook[],3,FALSE)),"")</f>
        <v/>
      </c>
      <c r="D88" s="359" t="str">
        <f>IFERROR(IF(VLOOKUP($A88,TableHandbook[],4,FALSE)=0,"",VLOOKUP($A88,TableHandbook[],4,FALSE)),"")</f>
        <v>Creative Writing</v>
      </c>
      <c r="E88" s="361"/>
      <c r="F88" s="387" t="str">
        <f>IFERROR(IF(VLOOKUP($A88,TableHandbook[],6,FALSE)=0,"",VLOOKUP($A88,TableHandbook[],6,FALSE)),"")</f>
        <v>None</v>
      </c>
      <c r="G88" s="361">
        <f>IFERROR(IF(VLOOKUP($A88,TableHandbook[],5,FALSE)=0,"",VLOOKUP($A88,TableHandbook[],5,FALSE)),"")</f>
        <v>25</v>
      </c>
      <c r="H88" s="363" t="str">
        <f>IFERROR(VLOOKUP($A88,TableHandbook[],H$2,FALSE),"")</f>
        <v/>
      </c>
      <c r="I88" s="364" t="str">
        <f>IFERROR(VLOOKUP($A88,TableHandbook[],I$2,FALSE),"")</f>
        <v/>
      </c>
      <c r="J88" s="364" t="str">
        <f>IFERROR(VLOOKUP($A88,TableHandbook[],J$2,FALSE),"")</f>
        <v>Y</v>
      </c>
      <c r="K88" s="365" t="str">
        <f>IFERROR(VLOOKUP($A88,TableHandbook[],K$2,FALSE),"")</f>
        <v/>
      </c>
      <c r="L88" s="207"/>
      <c r="M88" s="303" t="s">
        <v>47</v>
      </c>
    </row>
    <row r="89" spans="1:13" x14ac:dyDescent="0.25">
      <c r="A89" s="357" t="s">
        <v>48</v>
      </c>
      <c r="B89" s="358">
        <f>IFERROR(IF(VLOOKUP($A89,TableHandbook[],2,FALSE)=0,"",VLOOKUP($A89,TableHandbook[],2,FALSE)),"")</f>
        <v>2</v>
      </c>
      <c r="C89" s="359" t="str">
        <f>IFERROR(IF(VLOOKUP($A89,TableHandbook[],3,FALSE)=0,"",VLOOKUP($A89,TableHandbook[],3,FALSE)),"")</f>
        <v/>
      </c>
      <c r="D89" s="359" t="str">
        <f>IFERROR(IF(VLOOKUP($A89,TableHandbook[],4,FALSE)=0,"",VLOOKUP($A89,TableHandbook[],4,FALSE)),"")</f>
        <v>Engaging Narrative</v>
      </c>
      <c r="E89" s="361"/>
      <c r="F89" s="387" t="str">
        <f>IFERROR(IF(VLOOKUP($A89,TableHandbook[],6,FALSE)=0,"",VLOOKUP($A89,TableHandbook[],6,FALSE)),"")</f>
        <v>None</v>
      </c>
      <c r="G89" s="361">
        <f>IFERROR(IF(VLOOKUP($A89,TableHandbook[],5,FALSE)=0,"",VLOOKUP($A89,TableHandbook[],5,FALSE)),"")</f>
        <v>25</v>
      </c>
      <c r="H89" s="363" t="str">
        <f>IFERROR(VLOOKUP($A89,TableHandbook[],H$2,FALSE),"")</f>
        <v/>
      </c>
      <c r="I89" s="364" t="str">
        <f>IFERROR(VLOOKUP($A89,TableHandbook[],I$2,FALSE),"")</f>
        <v/>
      </c>
      <c r="J89" s="364" t="str">
        <f>IFERROR(VLOOKUP($A89,TableHandbook[],J$2,FALSE),"")</f>
        <v>Y</v>
      </c>
      <c r="K89" s="365" t="str">
        <f>IFERROR(VLOOKUP($A89,TableHandbook[],K$2,FALSE),"")</f>
        <v>Y</v>
      </c>
      <c r="L89" s="207"/>
      <c r="M89" s="303"/>
    </row>
    <row r="90" spans="1:13" x14ac:dyDescent="0.25">
      <c r="A90" s="357" t="s">
        <v>49</v>
      </c>
      <c r="B90" s="358">
        <f>IFERROR(IF(VLOOKUP($A90,TableHandbook[],2,FALSE)=0,"",VLOOKUP($A90,TableHandbook[],2,FALSE)),"")</f>
        <v>1</v>
      </c>
      <c r="C90" s="359" t="str">
        <f>IFERROR(IF(VLOOKUP($A90,TableHandbook[],3,FALSE)=0,"",VLOOKUP($A90,TableHandbook[],3,FALSE)),"")</f>
        <v/>
      </c>
      <c r="D90" s="359" t="str">
        <f>IFERROR(IF(VLOOKUP($A90,TableHandbook[],4,FALSE)=0,"",VLOOKUP($A90,TableHandbook[],4,FALSE)),"")</f>
        <v>Human Geography</v>
      </c>
      <c r="E90" s="361"/>
      <c r="F90" s="387" t="str">
        <f>IFERROR(IF(VLOOKUP($A90,TableHandbook[],6,FALSE)=0,"",VLOOKUP($A90,TableHandbook[],6,FALSE)),"")</f>
        <v>None</v>
      </c>
      <c r="G90" s="361">
        <f>IFERROR(IF(VLOOKUP($A90,TableHandbook[],5,FALSE)=0,"",VLOOKUP($A90,TableHandbook[],5,FALSE)),"")</f>
        <v>25</v>
      </c>
      <c r="H90" s="363" t="str">
        <f>IFERROR(VLOOKUP($A90,TableHandbook[],H$2,FALSE),"")</f>
        <v>Y</v>
      </c>
      <c r="I90" s="364" t="str">
        <f>IFERROR(VLOOKUP($A90,TableHandbook[],I$2,FALSE),"")</f>
        <v>Y</v>
      </c>
      <c r="J90" s="364" t="str">
        <f>IFERROR(VLOOKUP($A90,TableHandbook[],J$2,FALSE),"")</f>
        <v/>
      </c>
      <c r="K90" s="365" t="str">
        <f>IFERROR(VLOOKUP($A90,TableHandbook[],K$2,FALSE),"")</f>
        <v/>
      </c>
      <c r="L90" s="207"/>
      <c r="M90" s="303" t="s">
        <v>50</v>
      </c>
    </row>
    <row r="91" spans="1:13" x14ac:dyDescent="0.25">
      <c r="A91" s="357" t="s">
        <v>51</v>
      </c>
      <c r="B91" s="358">
        <f>IFERROR(IF(VLOOKUP($A91,TableHandbook[],2,FALSE)=0,"",VLOOKUP($A91,TableHandbook[],2,FALSE)),"")</f>
        <v>1</v>
      </c>
      <c r="C91" s="359" t="str">
        <f>IFERROR(IF(VLOOKUP($A91,TableHandbook[],3,FALSE)=0,"",VLOOKUP($A91,TableHandbook[],3,FALSE)),"")</f>
        <v/>
      </c>
      <c r="D91" s="359" t="str">
        <f>IFERROR(IF(VLOOKUP($A91,TableHandbook[],4,FALSE)=0,"",VLOOKUP($A91,TableHandbook[],4,FALSE)),"")</f>
        <v>Legacies of Empire</v>
      </c>
      <c r="E91" s="361"/>
      <c r="F91" s="387" t="str">
        <f>IFERROR(IF(VLOOKUP($A91,TableHandbook[],6,FALSE)=0,"",VLOOKUP($A91,TableHandbook[],6,FALSE)),"")</f>
        <v>None</v>
      </c>
      <c r="G91" s="361">
        <f>IFERROR(IF(VLOOKUP($A91,TableHandbook[],5,FALSE)=0,"",VLOOKUP($A91,TableHandbook[],5,FALSE)),"")</f>
        <v>25</v>
      </c>
      <c r="H91" s="363" t="str">
        <f>IFERROR(VLOOKUP($A91,TableHandbook[],H$2,FALSE),"")</f>
        <v>Y</v>
      </c>
      <c r="I91" s="364" t="str">
        <f>IFERROR(VLOOKUP($A91,TableHandbook[],I$2,FALSE),"")</f>
        <v>Y</v>
      </c>
      <c r="J91" s="364" t="str">
        <f>IFERROR(VLOOKUP($A91,TableHandbook[],J$2,FALSE),"")</f>
        <v/>
      </c>
      <c r="K91" s="365" t="str">
        <f>IFERROR(VLOOKUP($A91,TableHandbook[],K$2,FALSE),"")</f>
        <v/>
      </c>
      <c r="L91" s="207"/>
      <c r="M91" s="303" t="s">
        <v>45</v>
      </c>
    </row>
    <row r="92" spans="1:13" x14ac:dyDescent="0.25">
      <c r="A92" s="357" t="s">
        <v>52</v>
      </c>
      <c r="B92" s="358">
        <f>IFERROR(IF(VLOOKUP($A92,TableHandbook[],2,FALSE)=0,"",VLOOKUP($A92,TableHandbook[],2,FALSE)),"")</f>
        <v>2</v>
      </c>
      <c r="C92" s="359" t="str">
        <f>IFERROR(IF(VLOOKUP($A92,TableHandbook[],3,FALSE)=0,"",VLOOKUP($A92,TableHandbook[],3,FALSE)),"")</f>
        <v/>
      </c>
      <c r="D92" s="359" t="str">
        <f>IFERROR(IF(VLOOKUP($A92,TableHandbook[],4,FALSE)=0,"",VLOOKUP($A92,TableHandbook[],4,FALSE)),"")</f>
        <v>Australia's Global Politics</v>
      </c>
      <c r="E92" s="361"/>
      <c r="F92" s="387" t="str">
        <f>IFERROR(IF(VLOOKUP($A92,TableHandbook[],6,FALSE)=0,"",VLOOKUP($A92,TableHandbook[],6,FALSE)),"")</f>
        <v>None</v>
      </c>
      <c r="G92" s="361">
        <f>IFERROR(IF(VLOOKUP($A92,TableHandbook[],5,FALSE)=0,"",VLOOKUP($A92,TableHandbook[],5,FALSE)),"")</f>
        <v>25</v>
      </c>
      <c r="H92" s="363" t="str">
        <f>IFERROR(VLOOKUP($A92,TableHandbook[],H$2,FALSE),"")</f>
        <v/>
      </c>
      <c r="I92" s="364" t="str">
        <f>IFERROR(VLOOKUP($A92,TableHandbook[],I$2,FALSE),"")</f>
        <v/>
      </c>
      <c r="J92" s="364" t="str">
        <f>IFERROR(VLOOKUP($A92,TableHandbook[],J$2,FALSE),"")</f>
        <v>Y</v>
      </c>
      <c r="K92" s="365" t="str">
        <f>IFERROR(VLOOKUP($A92,TableHandbook[],K$2,FALSE),"")</f>
        <v>Y</v>
      </c>
      <c r="L92" s="207"/>
      <c r="M92" s="303" t="s">
        <v>38</v>
      </c>
    </row>
    <row r="93" spans="1:13" x14ac:dyDescent="0.25">
      <c r="A93" s="357" t="s">
        <v>53</v>
      </c>
      <c r="B93" s="358">
        <f>IFERROR(IF(VLOOKUP($A93,TableHandbook[],2,FALSE)=0,"",VLOOKUP($A93,TableHandbook[],2,FALSE)),"")</f>
        <v>1</v>
      </c>
      <c r="C93" s="359" t="str">
        <f>IFERROR(IF(VLOOKUP($A93,TableHandbook[],3,FALSE)=0,"",VLOOKUP($A93,TableHandbook[],3,FALSE)),"")</f>
        <v/>
      </c>
      <c r="D93" s="359" t="str">
        <f>IFERROR(IF(VLOOKUP($A93,TableHandbook[],4,FALSE)=0,"",VLOOKUP($A93,TableHandbook[],4,FALSE)),"")</f>
        <v>Foundations of International Relations</v>
      </c>
      <c r="E93" s="361"/>
      <c r="F93" s="387" t="str">
        <f>IFERROR(IF(VLOOKUP($A93,TableHandbook[],6,FALSE)=0,"",VLOOKUP($A93,TableHandbook[],6,FALSE)),"")</f>
        <v>None</v>
      </c>
      <c r="G93" s="361">
        <f>IFERROR(IF(VLOOKUP($A93,TableHandbook[],5,FALSE)=0,"",VLOOKUP($A93,TableHandbook[],5,FALSE)),"")</f>
        <v>25</v>
      </c>
      <c r="H93" s="363" t="str">
        <f>IFERROR(VLOOKUP($A93,TableHandbook[],H$2,FALSE),"")</f>
        <v>Y</v>
      </c>
      <c r="I93" s="364" t="str">
        <f>IFERROR(VLOOKUP($A93,TableHandbook[],I$2,FALSE),"")</f>
        <v>Y</v>
      </c>
      <c r="J93" s="364" t="str">
        <f>IFERROR(VLOOKUP($A93,TableHandbook[],J$2,FALSE),"")</f>
        <v/>
      </c>
      <c r="K93" s="365" t="str">
        <f>IFERROR(VLOOKUP($A93,TableHandbook[],K$2,FALSE),"")</f>
        <v/>
      </c>
      <c r="L93" s="207"/>
      <c r="M93" s="303" t="s">
        <v>40</v>
      </c>
    </row>
    <row r="94" spans="1:13" x14ac:dyDescent="0.25">
      <c r="A94" s="357" t="s">
        <v>54</v>
      </c>
      <c r="B94" s="358">
        <f>IFERROR(IF(VLOOKUP($A94,TableHandbook[],2,FALSE)=0,"",VLOOKUP($A94,TableHandbook[],2,FALSE)),"")</f>
        <v>2</v>
      </c>
      <c r="C94" s="359" t="str">
        <f>IFERROR(IF(VLOOKUP($A94,TableHandbook[],3,FALSE)=0,"",VLOOKUP($A94,TableHandbook[],3,FALSE)),"")</f>
        <v/>
      </c>
      <c r="D94" s="359" t="str">
        <f>IFERROR(IF(VLOOKUP($A94,TableHandbook[],4,FALSE)=0,"",VLOOKUP($A94,TableHandbook[],4,FALSE)),"")</f>
        <v>Japanese for Beginners</v>
      </c>
      <c r="E94" s="361"/>
      <c r="F94" s="387" t="str">
        <f>IFERROR(IF(VLOOKUP($A94,TableHandbook[],6,FALSE)=0,"",VLOOKUP($A94,TableHandbook[],6,FALSE)),"")</f>
        <v>None</v>
      </c>
      <c r="G94" s="361">
        <f>IFERROR(IF(VLOOKUP($A94,TableHandbook[],5,FALSE)=0,"",VLOOKUP($A94,TableHandbook[],5,FALSE)),"")</f>
        <v>25</v>
      </c>
      <c r="H94" s="363" t="str">
        <f>IFERROR(VLOOKUP($A94,TableHandbook[],H$2,FALSE),"")</f>
        <v>Y</v>
      </c>
      <c r="I94" s="364" t="str">
        <f>IFERROR(VLOOKUP($A94,TableHandbook[],I$2,FALSE),"")</f>
        <v>Y</v>
      </c>
      <c r="J94" s="364" t="str">
        <f>IFERROR(VLOOKUP($A94,TableHandbook[],J$2,FALSE),"")</f>
        <v>Y</v>
      </c>
      <c r="K94" s="365" t="str">
        <f>IFERROR(VLOOKUP($A94,TableHandbook[],K$2,FALSE),"")</f>
        <v>Y</v>
      </c>
      <c r="L94" s="207"/>
      <c r="M94" s="303"/>
    </row>
    <row r="95" spans="1:13" x14ac:dyDescent="0.25">
      <c r="A95" s="357" t="s">
        <v>55</v>
      </c>
      <c r="B95" s="358">
        <f>IFERROR(IF(VLOOKUP($A95,TableHandbook[],2,FALSE)=0,"",VLOOKUP($A95,TableHandbook[],2,FALSE)),"")</f>
        <v>2</v>
      </c>
      <c r="C95" s="359" t="str">
        <f>IFERROR(IF(VLOOKUP($A95,TableHandbook[],3,FALSE)=0,"",VLOOKUP($A95,TableHandbook[],3,FALSE)),"")</f>
        <v/>
      </c>
      <c r="D95" s="359" t="str">
        <f>IFERROR(IF(VLOOKUP($A95,TableHandbook[],4,FALSE)=0,"",VLOOKUP($A95,TableHandbook[],4,FALSE)),"")</f>
        <v>Foundations of Japanese</v>
      </c>
      <c r="E95" s="361"/>
      <c r="F95" s="387" t="str">
        <f>IFERROR(IF(VLOOKUP($A95,TableHandbook[],6,FALSE)=0,"",VLOOKUP($A95,TableHandbook[],6,FALSE)),"")</f>
        <v>None</v>
      </c>
      <c r="G95" s="361">
        <f>IFERROR(IF(VLOOKUP($A95,TableHandbook[],5,FALSE)=0,"",VLOOKUP($A95,TableHandbook[],5,FALSE)),"")</f>
        <v>25</v>
      </c>
      <c r="H95" s="363" t="str">
        <f>IFERROR(VLOOKUP($A95,TableHandbook[],H$2,FALSE),"")</f>
        <v/>
      </c>
      <c r="I95" s="364" t="str">
        <f>IFERROR(VLOOKUP($A95,TableHandbook[],I$2,FALSE),"")</f>
        <v/>
      </c>
      <c r="J95" s="364" t="str">
        <f>IFERROR(VLOOKUP($A95,TableHandbook[],J$2,FALSE),"")</f>
        <v>Y</v>
      </c>
      <c r="K95" s="365" t="str">
        <f>IFERROR(VLOOKUP($A95,TableHandbook[],K$2,FALSE),"")</f>
        <v>Y</v>
      </c>
      <c r="L95" s="207"/>
      <c r="M95" s="303"/>
    </row>
    <row r="96" spans="1:13" x14ac:dyDescent="0.25">
      <c r="A96" s="357" t="s">
        <v>56</v>
      </c>
      <c r="B96" s="358">
        <f>IFERROR(IF(VLOOKUP($A96,TableHandbook[],2,FALSE)=0,"",VLOOKUP($A96,TableHandbook[],2,FALSE)),"")</f>
        <v>2</v>
      </c>
      <c r="C96" s="359" t="str">
        <f>IFERROR(IF(VLOOKUP($A96,TableHandbook[],3,FALSE)=0,"",VLOOKUP($A96,TableHandbook[],3,FALSE)),"")</f>
        <v/>
      </c>
      <c r="D96" s="359" t="str">
        <f>IFERROR(IF(VLOOKUP($A96,TableHandbook[],4,FALSE)=0,"",VLOOKUP($A96,TableHandbook[],4,FALSE)),"")</f>
        <v>Intermediate Japanese: Everyday Contexts</v>
      </c>
      <c r="E96" s="361"/>
      <c r="F96" s="387" t="str">
        <f>IFERROR(IF(VLOOKUP($A96,TableHandbook[],6,FALSE)=0,"",VLOOKUP($A96,TableHandbook[],6,FALSE)),"")</f>
        <v>None</v>
      </c>
      <c r="G96" s="361">
        <f>IFERROR(IF(VLOOKUP($A96,TableHandbook[],5,FALSE)=0,"",VLOOKUP($A96,TableHandbook[],5,FALSE)),"")</f>
        <v>25</v>
      </c>
      <c r="H96" s="363" t="str">
        <f>IFERROR(VLOOKUP($A96,TableHandbook[],H$2,FALSE),"")</f>
        <v>Y</v>
      </c>
      <c r="I96" s="364" t="str">
        <f>IFERROR(VLOOKUP($A96,TableHandbook[],I$2,FALSE),"")</f>
        <v>Y</v>
      </c>
      <c r="J96" s="364" t="str">
        <f>IFERROR(VLOOKUP($A96,TableHandbook[],J$2,FALSE),"")</f>
        <v/>
      </c>
      <c r="K96" s="365" t="str">
        <f>IFERROR(VLOOKUP($A96,TableHandbook[],K$2,FALSE),"")</f>
        <v/>
      </c>
      <c r="L96" s="207"/>
      <c r="M96" s="303"/>
    </row>
    <row r="97" spans="1:13" x14ac:dyDescent="0.25">
      <c r="A97" s="357" t="s">
        <v>57</v>
      </c>
      <c r="B97" s="358">
        <f>IFERROR(IF(VLOOKUP($A97,TableHandbook[],2,FALSE)=0,"",VLOOKUP($A97,TableHandbook[],2,FALSE)),"")</f>
        <v>2</v>
      </c>
      <c r="C97" s="359" t="str">
        <f>IFERROR(IF(VLOOKUP($A97,TableHandbook[],3,FALSE)=0,"",VLOOKUP($A97,TableHandbook[],3,FALSE)),"")</f>
        <v/>
      </c>
      <c r="D97" s="359" t="str">
        <f>IFERROR(IF(VLOOKUP($A97,TableHandbook[],4,FALSE)=0,"",VLOOKUP($A97,TableHandbook[],4,FALSE)),"")</f>
        <v>Intermediate Japanese: Extending Everyday Contexts</v>
      </c>
      <c r="E97" s="361"/>
      <c r="F97" s="387" t="str">
        <f>IFERROR(IF(VLOOKUP($A97,TableHandbook[],6,FALSE)=0,"",VLOOKUP($A97,TableHandbook[],6,FALSE)),"")</f>
        <v>None</v>
      </c>
      <c r="G97" s="361">
        <f>IFERROR(IF(VLOOKUP($A97,TableHandbook[],5,FALSE)=0,"",VLOOKUP($A97,TableHandbook[],5,FALSE)),"")</f>
        <v>25</v>
      </c>
      <c r="H97" s="363" t="str">
        <f>IFERROR(VLOOKUP($A97,TableHandbook[],H$2,FALSE),"")</f>
        <v/>
      </c>
      <c r="I97" s="364" t="str">
        <f>IFERROR(VLOOKUP($A97,TableHandbook[],I$2,FALSE),"")</f>
        <v/>
      </c>
      <c r="J97" s="364" t="str">
        <f>IFERROR(VLOOKUP($A97,TableHandbook[],J$2,FALSE),"")</f>
        <v>Y</v>
      </c>
      <c r="K97" s="365" t="str">
        <f>IFERROR(VLOOKUP($A97,TableHandbook[],K$2,FALSE),"")</f>
        <v>Y</v>
      </c>
      <c r="L97" s="207"/>
      <c r="M97" s="303"/>
    </row>
    <row r="98" spans="1:13" x14ac:dyDescent="0.25">
      <c r="A98" s="357" t="s">
        <v>58</v>
      </c>
      <c r="B98" s="358">
        <f>IFERROR(IF(VLOOKUP($A98,TableHandbook[],2,FALSE)=0,"",VLOOKUP($A98,TableHandbook[],2,FALSE)),"")</f>
        <v>2</v>
      </c>
      <c r="C98" s="359" t="str">
        <f>IFERROR(IF(VLOOKUP($A98,TableHandbook[],3,FALSE)=0,"",VLOOKUP($A98,TableHandbook[],3,FALSE)),"")</f>
        <v/>
      </c>
      <c r="D98" s="359" t="str">
        <f>IFERROR(IF(VLOOKUP($A98,TableHandbook[],4,FALSE)=0,"",VLOOKUP($A98,TableHandbook[],4,FALSE)),"")</f>
        <v>Introduction to Journalism - Writing</v>
      </c>
      <c r="E98" s="361"/>
      <c r="F98" s="387" t="str">
        <f>IFERROR(IF(VLOOKUP($A98,TableHandbook[],6,FALSE)=0,"",VLOOKUP($A98,TableHandbook[],6,FALSE)),"")</f>
        <v>None</v>
      </c>
      <c r="G98" s="361">
        <f>IFERROR(IF(VLOOKUP($A98,TableHandbook[],5,FALSE)=0,"",VLOOKUP($A98,TableHandbook[],5,FALSE)),"")</f>
        <v>25</v>
      </c>
      <c r="H98" s="363" t="str">
        <f>IFERROR(VLOOKUP($A98,TableHandbook[],H$2,FALSE),"")</f>
        <v>Y</v>
      </c>
      <c r="I98" s="364" t="str">
        <f>IFERROR(VLOOKUP($A98,TableHandbook[],I$2,FALSE),"")</f>
        <v/>
      </c>
      <c r="J98" s="364" t="str">
        <f>IFERROR(VLOOKUP($A98,TableHandbook[],J$2,FALSE),"")</f>
        <v>Y</v>
      </c>
      <c r="K98" s="365" t="str">
        <f>IFERROR(VLOOKUP($A98,TableHandbook[],K$2,FALSE),"")</f>
        <v/>
      </c>
      <c r="L98" s="207"/>
      <c r="M98" s="303"/>
    </row>
    <row r="99" spans="1:13" x14ac:dyDescent="0.25">
      <c r="A99" s="357" t="s">
        <v>59</v>
      </c>
      <c r="B99" s="358">
        <f>IFERROR(IF(VLOOKUP($A99,TableHandbook[],2,FALSE)=0,"",VLOOKUP($A99,TableHandbook[],2,FALSE)),"")</f>
        <v>2</v>
      </c>
      <c r="C99" s="359" t="str">
        <f>IFERROR(IF(VLOOKUP($A99,TableHandbook[],3,FALSE)=0,"",VLOOKUP($A99,TableHandbook[],3,FALSE)),"")</f>
        <v/>
      </c>
      <c r="D99" s="359" t="str">
        <f>IFERROR(IF(VLOOKUP($A99,TableHandbook[],4,FALSE)=0,"",VLOOKUP($A99,TableHandbook[],4,FALSE)),"")</f>
        <v>Introduction to Journalism - Broadcast</v>
      </c>
      <c r="E99" s="361"/>
      <c r="F99" s="387" t="str">
        <f>IFERROR(IF(VLOOKUP($A99,TableHandbook[],6,FALSE)=0,"",VLOOKUP($A99,TableHandbook[],6,FALSE)),"")</f>
        <v>None</v>
      </c>
      <c r="G99" s="361">
        <f>IFERROR(IF(VLOOKUP($A99,TableHandbook[],5,FALSE)=0,"",VLOOKUP($A99,TableHandbook[],5,FALSE)),"")</f>
        <v>25</v>
      </c>
      <c r="H99" s="363" t="str">
        <f>IFERROR(VLOOKUP($A99,TableHandbook[],H$2,FALSE),"")</f>
        <v>Y</v>
      </c>
      <c r="I99" s="364" t="str">
        <f>IFERROR(VLOOKUP($A99,TableHandbook[],I$2,FALSE),"")</f>
        <v/>
      </c>
      <c r="J99" s="364" t="str">
        <f>IFERROR(VLOOKUP($A99,TableHandbook[],J$2,FALSE),"")</f>
        <v>Y</v>
      </c>
      <c r="K99" s="365" t="str">
        <f>IFERROR(VLOOKUP($A99,TableHandbook[],K$2,FALSE),"")</f>
        <v/>
      </c>
      <c r="L99" s="207"/>
      <c r="M99" s="303"/>
    </row>
    <row r="100" spans="1:13" x14ac:dyDescent="0.25">
      <c r="A100" s="357" t="s">
        <v>60</v>
      </c>
      <c r="B100" s="358">
        <f>IFERROR(IF(VLOOKUP($A100,TableHandbook[],2,FALSE)=0,"",VLOOKUP($A100,TableHandbook[],2,FALSE)),"")</f>
        <v>1</v>
      </c>
      <c r="C100" s="359" t="str">
        <f>IFERROR(IF(VLOOKUP($A100,TableHandbook[],3,FALSE)=0,"",VLOOKUP($A100,TableHandbook[],3,FALSE)),"")</f>
        <v/>
      </c>
      <c r="D100" s="359" t="str">
        <f>IFERROR(IF(VLOOKUP($A100,TableHandbook[],4,FALSE)=0,"",VLOOKUP($A100,TableHandbook[],4,FALSE)),"")</f>
        <v>Korean Beginners 1</v>
      </c>
      <c r="E100" s="361"/>
      <c r="F100" s="387" t="str">
        <f>IFERROR(IF(VLOOKUP($A100,TableHandbook[],6,FALSE)=0,"",VLOOKUP($A100,TableHandbook[],6,FALSE)),"")</f>
        <v>None</v>
      </c>
      <c r="G100" s="361">
        <f>IFERROR(IF(VLOOKUP($A100,TableHandbook[],5,FALSE)=0,"",VLOOKUP($A100,TableHandbook[],5,FALSE)),"")</f>
        <v>25</v>
      </c>
      <c r="H100" s="363" t="str">
        <f>IFERROR(VLOOKUP($A100,TableHandbook[],H$2,FALSE),"")</f>
        <v>Y</v>
      </c>
      <c r="I100" s="364" t="str">
        <f>IFERROR(VLOOKUP($A100,TableHandbook[],I$2,FALSE),"")</f>
        <v>Y</v>
      </c>
      <c r="J100" s="364" t="str">
        <f>IFERROR(VLOOKUP($A100,TableHandbook[],J$2,FALSE),"")</f>
        <v/>
      </c>
      <c r="K100" s="365" t="str">
        <f>IFERROR(VLOOKUP($A100,TableHandbook[],K$2,FALSE),"")</f>
        <v/>
      </c>
      <c r="L100" s="207"/>
      <c r="M100" s="303"/>
    </row>
    <row r="101" spans="1:13" x14ac:dyDescent="0.25">
      <c r="A101" s="357" t="s">
        <v>61</v>
      </c>
      <c r="B101" s="358">
        <f>IFERROR(IF(VLOOKUP($A101,TableHandbook[],2,FALSE)=0,"",VLOOKUP($A101,TableHandbook[],2,FALSE)),"")</f>
        <v>1</v>
      </c>
      <c r="C101" s="359" t="str">
        <f>IFERROR(IF(VLOOKUP($A101,TableHandbook[],3,FALSE)=0,"",VLOOKUP($A101,TableHandbook[],3,FALSE)),"")</f>
        <v/>
      </c>
      <c r="D101" s="359" t="str">
        <f>IFERROR(IF(VLOOKUP($A101,TableHandbook[],4,FALSE)=0,"",VLOOKUP($A101,TableHandbook[],4,FALSE)),"")</f>
        <v>Korean Beginners 2</v>
      </c>
      <c r="E101" s="361"/>
      <c r="F101" s="387" t="str">
        <f>IFERROR(IF(VLOOKUP($A101,TableHandbook[],6,FALSE)=0,"",VLOOKUP($A101,TableHandbook[],6,FALSE)),"")</f>
        <v>KORE1000</v>
      </c>
      <c r="G101" s="361">
        <f>IFERROR(IF(VLOOKUP($A101,TableHandbook[],5,FALSE)=0,"",VLOOKUP($A101,TableHandbook[],5,FALSE)),"")</f>
        <v>25</v>
      </c>
      <c r="H101" s="363" t="str">
        <f>IFERROR(VLOOKUP($A101,TableHandbook[],H$2,FALSE),"")</f>
        <v/>
      </c>
      <c r="I101" s="364" t="str">
        <f>IFERROR(VLOOKUP($A101,TableHandbook[],I$2,FALSE),"")</f>
        <v/>
      </c>
      <c r="J101" s="364" t="str">
        <f>IFERROR(VLOOKUP($A101,TableHandbook[],J$2,FALSE),"")</f>
        <v>Y</v>
      </c>
      <c r="K101" s="365" t="str">
        <f>IFERROR(VLOOKUP($A101,TableHandbook[],K$2,FALSE),"")</f>
        <v>Y</v>
      </c>
      <c r="L101" s="207"/>
      <c r="M101" s="303"/>
    </row>
    <row r="102" spans="1:13" x14ac:dyDescent="0.25">
      <c r="A102" s="357" t="s">
        <v>62</v>
      </c>
      <c r="B102" s="358">
        <f>IFERROR(IF(VLOOKUP($A102,TableHandbook[],2,FALSE)=0,"",VLOOKUP($A102,TableHandbook[],2,FALSE)),"")</f>
        <v>1</v>
      </c>
      <c r="C102" s="359" t="str">
        <f>IFERROR(IF(VLOOKUP($A102,TableHandbook[],3,FALSE)=0,"",VLOOKUP($A102,TableHandbook[],3,FALSE)),"")</f>
        <v/>
      </c>
      <c r="D102" s="359" t="str">
        <f>IFERROR(IF(VLOOKUP($A102,TableHandbook[],4,FALSE)=0,"",VLOOKUP($A102,TableHandbook[],4,FALSE)),"")</f>
        <v>Introduction to Cultural Studies</v>
      </c>
      <c r="E102" s="361"/>
      <c r="F102" s="387" t="str">
        <f>IFERROR(IF(VLOOKUP($A102,TableHandbook[],6,FALSE)=0,"",VLOOKUP($A102,TableHandbook[],6,FALSE)),"")</f>
        <v>None</v>
      </c>
      <c r="G102" s="361">
        <f>IFERROR(IF(VLOOKUP($A102,TableHandbook[],5,FALSE)=0,"",VLOOKUP($A102,TableHandbook[],5,FALSE)),"")</f>
        <v>25</v>
      </c>
      <c r="H102" s="363" t="str">
        <f>IFERROR(VLOOKUP($A102,TableHandbook[],H$2,FALSE),"")</f>
        <v>Y</v>
      </c>
      <c r="I102" s="364" t="str">
        <f>IFERROR(VLOOKUP($A102,TableHandbook[],I$2,FALSE),"")</f>
        <v>Y</v>
      </c>
      <c r="J102" s="364" t="str">
        <f>IFERROR(VLOOKUP($A102,TableHandbook[],J$2,FALSE),"")</f>
        <v/>
      </c>
      <c r="K102" s="365" t="str">
        <f>IFERROR(VLOOKUP($A102,TableHandbook[],K$2,FALSE),"")</f>
        <v/>
      </c>
      <c r="L102" s="207"/>
      <c r="M102" s="303"/>
    </row>
    <row r="103" spans="1:13" x14ac:dyDescent="0.25">
      <c r="A103" s="357" t="s">
        <v>63</v>
      </c>
      <c r="B103" s="358">
        <f>IFERROR(IF(VLOOKUP($A103,TableHandbook[],2,FALSE)=0,"",VLOOKUP($A103,TableHandbook[],2,FALSE)),"")</f>
        <v>2</v>
      </c>
      <c r="C103" s="359" t="str">
        <f>IFERROR(IF(VLOOKUP($A103,TableHandbook[],3,FALSE)=0,"",VLOOKUP($A103,TableHandbook[],3,FALSE)),"")</f>
        <v/>
      </c>
      <c r="D103" s="359" t="str">
        <f>IFERROR(IF(VLOOKUP($A103,TableHandbook[],4,FALSE)=0,"",VLOOKUP($A103,TableHandbook[],4,FALSE)),"")</f>
        <v>Digital Culture and Everyday Life</v>
      </c>
      <c r="E103" s="361"/>
      <c r="F103" s="387" t="str">
        <f>IFERROR(IF(VLOOKUP($A103,TableHandbook[],6,FALSE)=0,"",VLOOKUP($A103,TableHandbook[],6,FALSE)),"")</f>
        <v>None</v>
      </c>
      <c r="G103" s="361">
        <f>IFERROR(IF(VLOOKUP($A103,TableHandbook[],5,FALSE)=0,"",VLOOKUP($A103,TableHandbook[],5,FALSE)),"")</f>
        <v>25</v>
      </c>
      <c r="H103" s="363" t="str">
        <f>IFERROR(VLOOKUP($A103,TableHandbook[],H$2,FALSE),"")</f>
        <v/>
      </c>
      <c r="I103" s="364" t="str">
        <f>IFERROR(VLOOKUP($A103,TableHandbook[],I$2,FALSE),"")</f>
        <v/>
      </c>
      <c r="J103" s="364" t="str">
        <f>IFERROR(VLOOKUP($A103,TableHandbook[],J$2,FALSE),"")</f>
        <v>Y</v>
      </c>
      <c r="K103" s="365" t="str">
        <f>IFERROR(VLOOKUP($A103,TableHandbook[],K$2,FALSE),"")</f>
        <v>Y</v>
      </c>
      <c r="L103" s="207"/>
      <c r="M103" s="303"/>
    </row>
    <row r="104" spans="1:13" x14ac:dyDescent="0.25">
      <c r="A104" s="357" t="s">
        <v>64</v>
      </c>
      <c r="B104" s="358">
        <f>IFERROR(IF(VLOOKUP($A104,TableHandbook[],2,FALSE)=0,"",VLOOKUP($A104,TableHandbook[],2,FALSE)),"")</f>
        <v>1</v>
      </c>
      <c r="C104" s="359" t="str">
        <f>IFERROR(IF(VLOOKUP($A104,TableHandbook[],3,FALSE)=0,"",VLOOKUP($A104,TableHandbook[],3,FALSE)),"")</f>
        <v/>
      </c>
      <c r="D104" s="359" t="str">
        <f>IFERROR(IF(VLOOKUP($A104,TableHandbook[],4,FALSE)=0,"",VLOOKUP($A104,TableHandbook[],4,FALSE)),"")</f>
        <v>Web Communications</v>
      </c>
      <c r="E104" s="361"/>
      <c r="F104" s="387" t="str">
        <f>IFERROR(IF(VLOOKUP($A104,TableHandbook[],6,FALSE)=0,"",VLOOKUP($A104,TableHandbook[],6,FALSE)),"")</f>
        <v>None</v>
      </c>
      <c r="G104" s="361">
        <f>IFERROR(IF(VLOOKUP($A104,TableHandbook[],5,FALSE)=0,"",VLOOKUP($A104,TableHandbook[],5,FALSE)),"")</f>
        <v>25</v>
      </c>
      <c r="H104" s="363" t="str">
        <f>IFERROR(VLOOKUP($A104,TableHandbook[],H$2,FALSE),"")</f>
        <v>Y</v>
      </c>
      <c r="I104" s="364" t="str">
        <f>IFERROR(VLOOKUP($A104,TableHandbook[],I$2,FALSE),"")</f>
        <v>Y</v>
      </c>
      <c r="J104" s="364" t="str">
        <f>IFERROR(VLOOKUP($A104,TableHandbook[],J$2,FALSE),"")</f>
        <v>Y</v>
      </c>
      <c r="K104" s="365" t="str">
        <f>IFERROR(VLOOKUP($A104,TableHandbook[],K$2,FALSE),"")</f>
        <v>Y</v>
      </c>
      <c r="L104" s="207"/>
      <c r="M104" s="303"/>
    </row>
    <row r="105" spans="1:13" x14ac:dyDescent="0.25">
      <c r="A105" s="357" t="s">
        <v>65</v>
      </c>
      <c r="B105" s="358">
        <f>IFERROR(IF(VLOOKUP($A105,TableHandbook[],2,FALSE)=0,"",VLOOKUP($A105,TableHandbook[],2,FALSE)),"")</f>
        <v>1</v>
      </c>
      <c r="C105" s="359" t="str">
        <f>IFERROR(IF(VLOOKUP($A105,TableHandbook[],3,FALSE)=0,"",VLOOKUP($A105,TableHandbook[],3,FALSE)),"")</f>
        <v/>
      </c>
      <c r="D105" s="359" t="str">
        <f>IFERROR(IF(VLOOKUP($A105,TableHandbook[],4,FALSE)=0,"",VLOOKUP($A105,TableHandbook[],4,FALSE)),"")</f>
        <v>Physical Geography</v>
      </c>
      <c r="E105" s="361"/>
      <c r="F105" s="387" t="str">
        <f>IFERROR(IF(VLOOKUP($A105,TableHandbook[],6,FALSE)=0,"",VLOOKUP($A105,TableHandbook[],6,FALSE)),"")</f>
        <v>None</v>
      </c>
      <c r="G105" s="361">
        <f>IFERROR(IF(VLOOKUP($A105,TableHandbook[],5,FALSE)=0,"",VLOOKUP($A105,TableHandbook[],5,FALSE)),"")</f>
        <v>25</v>
      </c>
      <c r="H105" s="363" t="str">
        <f>IFERROR(VLOOKUP($A105,TableHandbook[],H$2,FALSE),"")</f>
        <v/>
      </c>
      <c r="I105" s="364" t="str">
        <f>IFERROR(VLOOKUP($A105,TableHandbook[],I$2,FALSE),"")</f>
        <v/>
      </c>
      <c r="J105" s="364" t="str">
        <f>IFERROR(VLOOKUP($A105,TableHandbook[],J$2,FALSE),"")</f>
        <v>Y</v>
      </c>
      <c r="K105" s="365" t="str">
        <f>IFERROR(VLOOKUP($A105,TableHandbook[],K$2,FALSE),"")</f>
        <v>Y</v>
      </c>
      <c r="L105" s="207"/>
      <c r="M105" s="303"/>
    </row>
    <row r="106" spans="1:13" x14ac:dyDescent="0.25">
      <c r="A106" s="357" t="s">
        <v>66</v>
      </c>
      <c r="B106" s="358">
        <f>IFERROR(IF(VLOOKUP($A106,TableHandbook[],2,FALSE)=0,"",VLOOKUP($A106,TableHandbook[],2,FALSE)),"")</f>
        <v>2</v>
      </c>
      <c r="C106" s="359" t="str">
        <f>IFERROR(IF(VLOOKUP($A106,TableHandbook[],3,FALSE)=0,"",VLOOKUP($A106,TableHandbook[],3,FALSE)),"")</f>
        <v/>
      </c>
      <c r="D106" s="359" t="str">
        <f>IFERROR(IF(VLOOKUP($A106,TableHandbook[],4,FALSE)=0,"",VLOOKUP($A106,TableHandbook[],4,FALSE)),"")</f>
        <v>Introduction to Creative and Professional Writing</v>
      </c>
      <c r="E106" s="361"/>
      <c r="F106" s="387" t="str">
        <f>IFERROR(IF(VLOOKUP($A106,TableHandbook[],6,FALSE)=0,"",VLOOKUP($A106,TableHandbook[],6,FALSE)),"")</f>
        <v>None</v>
      </c>
      <c r="G106" s="361">
        <f>IFERROR(IF(VLOOKUP($A106,TableHandbook[],5,FALSE)=0,"",VLOOKUP($A106,TableHandbook[],5,FALSE)),"")</f>
        <v>25</v>
      </c>
      <c r="H106" s="363" t="str">
        <f>IFERROR(VLOOKUP($A106,TableHandbook[],H$2,FALSE),"")</f>
        <v>Y</v>
      </c>
      <c r="I106" s="364" t="str">
        <f>IFERROR(VLOOKUP($A106,TableHandbook[],I$2,FALSE),"")</f>
        <v/>
      </c>
      <c r="J106" s="364" t="str">
        <f>IFERROR(VLOOKUP($A106,TableHandbook[],J$2,FALSE),"")</f>
        <v/>
      </c>
      <c r="K106" s="365" t="str">
        <f>IFERROR(VLOOKUP($A106,TableHandbook[],K$2,FALSE),"")</f>
        <v/>
      </c>
      <c r="L106" s="207"/>
      <c r="M106" s="303"/>
    </row>
    <row r="107" spans="1:13" x14ac:dyDescent="0.25">
      <c r="A107" s="357" t="s">
        <v>67</v>
      </c>
      <c r="B107" s="358">
        <f>IFERROR(IF(VLOOKUP($A107,TableHandbook[],2,FALSE)=0,"",VLOOKUP($A107,TableHandbook[],2,FALSE)),"")</f>
        <v>2</v>
      </c>
      <c r="C107" s="359" t="str">
        <f>IFERROR(IF(VLOOKUP($A107,TableHandbook[],3,FALSE)=0,"",VLOOKUP($A107,TableHandbook[],3,FALSE)),"")</f>
        <v/>
      </c>
      <c r="D107" s="359" t="str">
        <f>IFERROR(IF(VLOOKUP($A107,TableHandbook[],4,FALSE)=0,"",VLOOKUP($A107,TableHandbook[],4,FALSE)),"")</f>
        <v>Skills in Professional Writing</v>
      </c>
      <c r="E107" s="361"/>
      <c r="F107" s="387" t="str">
        <f>IFERROR(IF(VLOOKUP($A107,TableHandbook[],6,FALSE)=0,"",VLOOKUP($A107,TableHandbook[],6,FALSE)),"")</f>
        <v>None</v>
      </c>
      <c r="G107" s="361">
        <f>IFERROR(IF(VLOOKUP($A107,TableHandbook[],5,FALSE)=0,"",VLOOKUP($A107,TableHandbook[],5,FALSE)),"")</f>
        <v>25</v>
      </c>
      <c r="H107" s="363" t="str">
        <f>IFERROR(VLOOKUP($A107,TableHandbook[],H$2,FALSE),"")</f>
        <v/>
      </c>
      <c r="I107" s="364" t="str">
        <f>IFERROR(VLOOKUP($A107,TableHandbook[],I$2,FALSE),"")</f>
        <v/>
      </c>
      <c r="J107" s="364" t="str">
        <f>IFERROR(VLOOKUP($A107,TableHandbook[],J$2,FALSE),"")</f>
        <v>Y</v>
      </c>
      <c r="K107" s="365" t="str">
        <f>IFERROR(VLOOKUP($A107,TableHandbook[],K$2,FALSE),"")</f>
        <v/>
      </c>
      <c r="L107" s="207"/>
      <c r="M107" s="303"/>
    </row>
    <row r="108" spans="1:13" x14ac:dyDescent="0.25">
      <c r="A108" s="357" t="s">
        <v>68</v>
      </c>
      <c r="B108" s="358">
        <f>IFERROR(IF(VLOOKUP($A108,TableHandbook[],2,FALSE)=0,"",VLOOKUP($A108,TableHandbook[],2,FALSE)),"")</f>
        <v>2</v>
      </c>
      <c r="C108" s="359" t="str">
        <f>IFERROR(IF(VLOOKUP($A108,TableHandbook[],3,FALSE)=0,"",VLOOKUP($A108,TableHandbook[],3,FALSE)),"")</f>
        <v/>
      </c>
      <c r="D108" s="359" t="str">
        <f>IFERROR(IF(VLOOKUP($A108,TableHandbook[],4,FALSE)=0,"",VLOOKUP($A108,TableHandbook[],4,FALSE)),"")</f>
        <v>Introduction to Screen Creativity</v>
      </c>
      <c r="E108" s="361"/>
      <c r="F108" s="387" t="str">
        <f>IFERROR(IF(VLOOKUP($A108,TableHandbook[],6,FALSE)=0,"",VLOOKUP($A108,TableHandbook[],6,FALSE)),"")</f>
        <v>None</v>
      </c>
      <c r="G108" s="361">
        <f>IFERROR(IF(VLOOKUP($A108,TableHandbook[],5,FALSE)=0,"",VLOOKUP($A108,TableHandbook[],5,FALSE)),"")</f>
        <v>25</v>
      </c>
      <c r="H108" s="363" t="str">
        <f>IFERROR(VLOOKUP($A108,TableHandbook[],H$2,FALSE),"")</f>
        <v>Y</v>
      </c>
      <c r="I108" s="364" t="str">
        <f>IFERROR(VLOOKUP($A108,TableHandbook[],I$2,FALSE),"")</f>
        <v/>
      </c>
      <c r="J108" s="364" t="str">
        <f>IFERROR(VLOOKUP($A108,TableHandbook[],J$2,FALSE),"")</f>
        <v>Y</v>
      </c>
      <c r="K108" s="365" t="str">
        <f>IFERROR(VLOOKUP($A108,TableHandbook[],K$2,FALSE),"")</f>
        <v/>
      </c>
      <c r="L108" s="207"/>
      <c r="M108" s="303"/>
    </row>
    <row r="109" spans="1:13" x14ac:dyDescent="0.25">
      <c r="A109" s="357" t="s">
        <v>69</v>
      </c>
      <c r="B109" s="358">
        <f>IFERROR(IF(VLOOKUP($A109,TableHandbook[],2,FALSE)=0,"",VLOOKUP($A109,TableHandbook[],2,FALSE)),"")</f>
        <v>2</v>
      </c>
      <c r="C109" s="359" t="str">
        <f>IFERROR(IF(VLOOKUP($A109,TableHandbook[],3,FALSE)=0,"",VLOOKUP($A109,TableHandbook[],3,FALSE)),"")</f>
        <v/>
      </c>
      <c r="D109" s="359" t="str">
        <f>IFERROR(IF(VLOOKUP($A109,TableHandbook[],4,FALSE)=0,"",VLOOKUP($A109,TableHandbook[],4,FALSE)),"")</f>
        <v>Introduction to Screen Industries</v>
      </c>
      <c r="E109" s="361"/>
      <c r="F109" s="387" t="str">
        <f>IFERROR(IF(VLOOKUP($A109,TableHandbook[],6,FALSE)=0,"",VLOOKUP($A109,TableHandbook[],6,FALSE)),"")</f>
        <v>None</v>
      </c>
      <c r="G109" s="361">
        <f>IFERROR(IF(VLOOKUP($A109,TableHandbook[],5,FALSE)=0,"",VLOOKUP($A109,TableHandbook[],5,FALSE)),"")</f>
        <v>25</v>
      </c>
      <c r="H109" s="363" t="str">
        <f>IFERROR(VLOOKUP($A109,TableHandbook[],H$2,FALSE),"")</f>
        <v>Y</v>
      </c>
      <c r="I109" s="364" t="str">
        <f>IFERROR(VLOOKUP($A109,TableHandbook[],I$2,FALSE),"")</f>
        <v/>
      </c>
      <c r="J109" s="364" t="str">
        <f>IFERROR(VLOOKUP($A109,TableHandbook[],J$2,FALSE),"")</f>
        <v>Y</v>
      </c>
      <c r="K109" s="365" t="str">
        <f>IFERROR(VLOOKUP($A109,TableHandbook[],K$2,FALSE),"")</f>
        <v/>
      </c>
      <c r="L109" s="207"/>
      <c r="M109" s="303"/>
    </row>
    <row r="110" spans="1:13" x14ac:dyDescent="0.25">
      <c r="A110" s="357" t="s">
        <v>70</v>
      </c>
      <c r="B110" s="358">
        <f>IFERROR(IF(VLOOKUP($A110,TableHandbook[],2,FALSE)=0,"",VLOOKUP($A110,TableHandbook[],2,FALSE)),"")</f>
        <v>1</v>
      </c>
      <c r="C110" s="359" t="str">
        <f>IFERROR(IF(VLOOKUP($A110,TableHandbook[],3,FALSE)=0,"",VLOOKUP($A110,TableHandbook[],3,FALSE)),"")</f>
        <v/>
      </c>
      <c r="D110" s="359" t="str">
        <f>IFERROR(IF(VLOOKUP($A110,TableHandbook[],4,FALSE)=0,"",VLOOKUP($A110,TableHandbook[],4,FALSE)),"")</f>
        <v>Power, Politics and Government</v>
      </c>
      <c r="E110" s="361"/>
      <c r="F110" s="387" t="str">
        <f>IFERROR(IF(VLOOKUP($A110,TableHandbook[],6,FALSE)=0,"",VLOOKUP($A110,TableHandbook[],6,FALSE)),"")</f>
        <v>None</v>
      </c>
      <c r="G110" s="361">
        <f>IFERROR(IF(VLOOKUP($A110,TableHandbook[],5,FALSE)=0,"",VLOOKUP($A110,TableHandbook[],5,FALSE)),"")</f>
        <v>25</v>
      </c>
      <c r="H110" s="363" t="str">
        <f>IFERROR(VLOOKUP($A110,TableHandbook[],H$2,FALSE),"")</f>
        <v>Y</v>
      </c>
      <c r="I110" s="364" t="str">
        <f>IFERROR(VLOOKUP($A110,TableHandbook[],I$2,FALSE),"")</f>
        <v>Y</v>
      </c>
      <c r="J110" s="364" t="str">
        <f>IFERROR(VLOOKUP($A110,TableHandbook[],J$2,FALSE),"")</f>
        <v/>
      </c>
      <c r="K110" s="365" t="str">
        <f>IFERROR(VLOOKUP($A110,TableHandbook[],K$2,FALSE),"")</f>
        <v/>
      </c>
      <c r="L110" s="207"/>
      <c r="M110" s="303"/>
    </row>
    <row r="111" spans="1:13" x14ac:dyDescent="0.25">
      <c r="A111" s="357" t="s">
        <v>71</v>
      </c>
      <c r="B111" s="358">
        <f>IFERROR(IF(VLOOKUP($A111,TableHandbook[],2,FALSE)=0,"",VLOOKUP($A111,TableHandbook[],2,FALSE)),"")</f>
        <v>1</v>
      </c>
      <c r="C111" s="359" t="str">
        <f>IFERROR(IF(VLOOKUP($A111,TableHandbook[],3,FALSE)=0,"",VLOOKUP($A111,TableHandbook[],3,FALSE)),"")</f>
        <v/>
      </c>
      <c r="D111" s="359" t="str">
        <f>IFERROR(IF(VLOOKUP($A111,TableHandbook[],4,FALSE)=0,"",VLOOKUP($A111,TableHandbook[],4,FALSE)),"")</f>
        <v>Foundations to Strategic Studies</v>
      </c>
      <c r="E111" s="361"/>
      <c r="F111" s="387" t="str">
        <f>IFERROR(IF(VLOOKUP($A111,TableHandbook[],6,FALSE)=0,"",VLOOKUP($A111,TableHandbook[],6,FALSE)),"")</f>
        <v>None</v>
      </c>
      <c r="G111" s="361">
        <f>IFERROR(IF(VLOOKUP($A111,TableHandbook[],5,FALSE)=0,"",VLOOKUP($A111,TableHandbook[],5,FALSE)),"")</f>
        <v>25</v>
      </c>
      <c r="H111" s="363" t="str">
        <f>IFERROR(VLOOKUP($A111,TableHandbook[],H$2,FALSE),"")</f>
        <v/>
      </c>
      <c r="I111" s="364" t="str">
        <f>IFERROR(VLOOKUP($A111,TableHandbook[],I$2,FALSE),"")</f>
        <v/>
      </c>
      <c r="J111" s="364" t="str">
        <f>IFERROR(VLOOKUP($A111,TableHandbook[],J$2,FALSE),"")</f>
        <v>Y</v>
      </c>
      <c r="K111" s="365" t="str">
        <f>IFERROR(VLOOKUP($A111,TableHandbook[],K$2,FALSE),"")</f>
        <v>Y</v>
      </c>
      <c r="L111" s="207"/>
      <c r="M111" s="303"/>
    </row>
    <row r="112" spans="1:13" x14ac:dyDescent="0.25">
      <c r="A112" s="357" t="s">
        <v>72</v>
      </c>
      <c r="B112" s="358">
        <f>IFERROR(IF(VLOOKUP($A112,TableHandbook[],2,FALSE)=0,"",VLOOKUP($A112,TableHandbook[],2,FALSE)),"")</f>
        <v>1</v>
      </c>
      <c r="C112" s="359" t="str">
        <f>IFERROR(IF(VLOOKUP($A112,TableHandbook[],3,FALSE)=0,"",VLOOKUP($A112,TableHandbook[],3,FALSE)),"")</f>
        <v/>
      </c>
      <c r="D112" s="359" t="str">
        <f>IFERROR(IF(VLOOKUP($A112,TableHandbook[],4,FALSE)=0,"",VLOOKUP($A112,TableHandbook[],4,FALSE)),"")</f>
        <v>Acting Fundamentals</v>
      </c>
      <c r="E112" s="361"/>
      <c r="F112" s="387" t="str">
        <f>IFERROR(IF(VLOOKUP($A112,TableHandbook[],6,FALSE)=0,"",VLOOKUP($A112,TableHandbook[],6,FALSE)),"")</f>
        <v>None</v>
      </c>
      <c r="G112" s="361">
        <f>IFERROR(IF(VLOOKUP($A112,TableHandbook[],5,FALSE)=0,"",VLOOKUP($A112,TableHandbook[],5,FALSE)),"")</f>
        <v>25</v>
      </c>
      <c r="H112" s="363" t="str">
        <f>IFERROR(VLOOKUP($A112,TableHandbook[],H$2,FALSE),"")</f>
        <v>Y</v>
      </c>
      <c r="I112" s="364" t="str">
        <f>IFERROR(VLOOKUP($A112,TableHandbook[],I$2,FALSE),"")</f>
        <v/>
      </c>
      <c r="J112" s="364" t="str">
        <f>IFERROR(VLOOKUP($A112,TableHandbook[],J$2,FALSE),"")</f>
        <v/>
      </c>
      <c r="K112" s="365" t="str">
        <f>IFERROR(VLOOKUP($A112,TableHandbook[],K$2,FALSE),"")</f>
        <v/>
      </c>
      <c r="L112" s="207"/>
      <c r="M112" s="303"/>
    </row>
    <row r="113" spans="1:13" x14ac:dyDescent="0.25">
      <c r="A113" s="357" t="s">
        <v>73</v>
      </c>
      <c r="B113" s="358">
        <f>IFERROR(IF(VLOOKUP($A113,TableHandbook[],2,FALSE)=0,"",VLOOKUP($A113,TableHandbook[],2,FALSE)),"")</f>
        <v>1</v>
      </c>
      <c r="C113" s="359" t="str">
        <f>IFERROR(IF(VLOOKUP($A113,TableHandbook[],3,FALSE)=0,"",VLOOKUP($A113,TableHandbook[],3,FALSE)),"")</f>
        <v/>
      </c>
      <c r="D113" s="359" t="str">
        <f>IFERROR(IF(VLOOKUP($A113,TableHandbook[],4,FALSE)=0,"",VLOOKUP($A113,TableHandbook[],4,FALSE)),"")</f>
        <v>Devising Fundamentals</v>
      </c>
      <c r="E113" s="361"/>
      <c r="F113" s="387" t="str">
        <f>IFERROR(IF(VLOOKUP($A113,TableHandbook[],6,FALSE)=0,"",VLOOKUP($A113,TableHandbook[],6,FALSE)),"")</f>
        <v>None</v>
      </c>
      <c r="G113" s="361">
        <f>IFERROR(IF(VLOOKUP($A113,TableHandbook[],5,FALSE)=0,"",VLOOKUP($A113,TableHandbook[],5,FALSE)),"")</f>
        <v>25</v>
      </c>
      <c r="H113" s="363" t="str">
        <f>IFERROR(VLOOKUP($A113,TableHandbook[],H$2,FALSE),"")</f>
        <v/>
      </c>
      <c r="I113" s="364" t="str">
        <f>IFERROR(VLOOKUP($A113,TableHandbook[],I$2,FALSE),"")</f>
        <v/>
      </c>
      <c r="J113" s="364" t="str">
        <f>IFERROR(VLOOKUP($A113,TableHandbook[],J$2,FALSE),"")</f>
        <v>Y</v>
      </c>
      <c r="K113" s="365" t="str">
        <f>IFERROR(VLOOKUP($A113,TableHandbook[],K$2,FALSE),"")</f>
        <v/>
      </c>
      <c r="L113" s="207"/>
      <c r="M113" s="303"/>
    </row>
    <row r="114" spans="1:13" x14ac:dyDescent="0.25">
      <c r="A114" s="357" t="s">
        <v>74</v>
      </c>
      <c r="B114" s="358">
        <f>IFERROR(IF(VLOOKUP($A114,TableHandbook[],2,FALSE)=0,"",VLOOKUP($A114,TableHandbook[],2,FALSE)),"")</f>
        <v>2</v>
      </c>
      <c r="C114" s="359" t="str">
        <f>IFERROR(IF(VLOOKUP($A114,TableHandbook[],3,FALSE)=0,"",VLOOKUP($A114,TableHandbook[],3,FALSE)),"")</f>
        <v/>
      </c>
      <c r="D114" s="359" t="str">
        <f>IFERROR(IF(VLOOKUP($A114,TableHandbook[],4,FALSE)=0,"",VLOOKUP($A114,TableHandbook[],4,FALSE)),"")</f>
        <v>Fine Art Studio Methods</v>
      </c>
      <c r="E114" s="361"/>
      <c r="F114" s="387" t="str">
        <f>IFERROR(IF(VLOOKUP($A114,TableHandbook[],6,FALSE)=0,"",VLOOKUP($A114,TableHandbook[],6,FALSE)),"")</f>
        <v>None</v>
      </c>
      <c r="G114" s="361">
        <f>IFERROR(IF(VLOOKUP($A114,TableHandbook[],5,FALSE)=0,"",VLOOKUP($A114,TableHandbook[],5,FALSE)),"")</f>
        <v>25</v>
      </c>
      <c r="H114" s="363" t="str">
        <f>IFERROR(VLOOKUP($A114,TableHandbook[],H$2,FALSE),"")</f>
        <v/>
      </c>
      <c r="I114" s="364" t="str">
        <f>IFERROR(VLOOKUP($A114,TableHandbook[],I$2,FALSE),"")</f>
        <v/>
      </c>
      <c r="J114" s="364" t="str">
        <f>IFERROR(VLOOKUP($A114,TableHandbook[],J$2,FALSE),"")</f>
        <v>Y</v>
      </c>
      <c r="K114" s="365" t="str">
        <f>IFERROR(VLOOKUP($A114,TableHandbook[],K$2,FALSE),"")</f>
        <v/>
      </c>
      <c r="L114" s="207"/>
      <c r="M114" s="303"/>
    </row>
    <row r="115" spans="1:13" ht="15.75" x14ac:dyDescent="0.25">
      <c r="A115" s="357" t="s">
        <v>75</v>
      </c>
      <c r="B115" s="358">
        <f>IFERROR(IF(VLOOKUP($A115,TableHandbook[],2,FALSE)=0,"",VLOOKUP($A115,TableHandbook[],2,FALSE)),"")</f>
        <v>2</v>
      </c>
      <c r="C115" s="359" t="str">
        <f>IFERROR(IF(VLOOKUP($A115,TableHandbook[],3,FALSE)=0,"",VLOOKUP($A115,TableHandbook[],3,FALSE)),"")</f>
        <v/>
      </c>
      <c r="D115" s="359" t="str">
        <f>IFERROR(IF(VLOOKUP($A115,TableHandbook[],4,FALSE)=0,"",VLOOKUP($A115,TableHandbook[],4,FALSE)),"")</f>
        <v>Fine Art Studio Materials</v>
      </c>
      <c r="E115" s="361"/>
      <c r="F115" s="387" t="str">
        <f>IFERROR(IF(VLOOKUP($A115,TableHandbook[],6,FALSE)=0,"",VLOOKUP($A115,TableHandbook[],6,FALSE)),"")</f>
        <v>None</v>
      </c>
      <c r="G115" s="361">
        <f>IFERROR(IF(VLOOKUP($A115,TableHandbook[],5,FALSE)=0,"",VLOOKUP($A115,TableHandbook[],5,FALSE)),"")</f>
        <v>25</v>
      </c>
      <c r="H115" s="363" t="str">
        <f>IFERROR(VLOOKUP($A115,TableHandbook[],H$2,FALSE),"")</f>
        <v>Y</v>
      </c>
      <c r="I115" s="364" t="str">
        <f>IFERROR(VLOOKUP($A115,TableHandbook[],I$2,FALSE),"")</f>
        <v/>
      </c>
      <c r="J115" s="364" t="str">
        <f>IFERROR(VLOOKUP($A115,TableHandbook[],J$2,FALSE),"")</f>
        <v/>
      </c>
      <c r="K115" s="365" t="str">
        <f>IFERROR(VLOOKUP($A115,TableHandbook[],K$2,FALSE),"")</f>
        <v/>
      </c>
      <c r="L115" s="207"/>
      <c r="M115" s="388"/>
    </row>
    <row r="116" spans="1:13" ht="32.25" customHeight="1" x14ac:dyDescent="0.25">
      <c r="A116" s="388"/>
      <c r="B116" s="388"/>
      <c r="C116" s="388"/>
      <c r="D116" s="388"/>
      <c r="E116" s="388"/>
      <c r="F116" s="388"/>
      <c r="G116" s="388"/>
      <c r="H116" s="388"/>
      <c r="I116" s="388"/>
      <c r="J116" s="388"/>
      <c r="K116" s="388"/>
      <c r="L116" s="388"/>
    </row>
    <row r="117" spans="1:13" ht="20.100000000000001" customHeight="1" x14ac:dyDescent="0.25">
      <c r="A117" s="377" t="s">
        <v>34</v>
      </c>
      <c r="B117" s="377"/>
      <c r="C117" s="377"/>
      <c r="D117" s="377"/>
      <c r="E117" s="377"/>
      <c r="F117" s="377"/>
      <c r="G117" s="377"/>
      <c r="H117" s="377"/>
      <c r="I117" s="377"/>
      <c r="J117" s="377"/>
      <c r="K117" s="377"/>
      <c r="L117" s="377"/>
    </row>
    <row r="118" spans="1:13" ht="20.100000000000001" customHeight="1" x14ac:dyDescent="0.25">
      <c r="A118" s="204" t="s">
        <v>76</v>
      </c>
      <c r="B118" s="204"/>
      <c r="C118" s="204"/>
      <c r="D118" s="204"/>
      <c r="E118" s="204"/>
      <c r="F118" s="204"/>
      <c r="G118" s="204"/>
      <c r="H118" s="204"/>
      <c r="I118" s="204"/>
      <c r="J118" s="204"/>
      <c r="K118" s="204"/>
      <c r="L118" s="204"/>
    </row>
    <row r="119" spans="1:13" x14ac:dyDescent="0.25">
      <c r="A119" s="378" t="s">
        <v>35</v>
      </c>
      <c r="B119" s="378"/>
      <c r="C119" s="378"/>
      <c r="D119" s="378"/>
      <c r="E119" s="379"/>
      <c r="F119" s="334"/>
      <c r="G119" s="380"/>
      <c r="H119" s="380"/>
      <c r="I119" s="380"/>
      <c r="J119" s="380"/>
      <c r="K119" s="380"/>
      <c r="L119" s="380" t="s">
        <v>36</v>
      </c>
    </row>
  </sheetData>
  <sheetProtection algorithmName="SHA-512" hashValue="7VT3tLXoVPgq0RH7ZAMUojmWGZMXXkQuntdS0m85gh4uEWDYrOSEJhhtTcj76fH7RtsnmU7pjE56LY0SD1HGrQ==" saltValue="4hilbiolOU3ZNthnUaCjbA==" spinCount="100000" sheet="1" objects="1" scenarios="1" formatCells="0"/>
  <mergeCells count="3">
    <mergeCell ref="A3:D3"/>
    <mergeCell ref="A117:L117"/>
    <mergeCell ref="A79:L79"/>
  </mergeCells>
  <conditionalFormatting sqref="D5:D8">
    <cfRule type="containsText" dxfId="372" priority="7" operator="containsText" text="Choose">
      <formula>NOT(ISERROR(SEARCH("Choose",D5)))</formula>
    </cfRule>
  </conditionalFormatting>
  <conditionalFormatting sqref="A43:L58 A62:L77 A84:L115">
    <cfRule type="expression" dxfId="371" priority="5">
      <formula>$A43=""</formula>
    </cfRule>
    <cfRule type="expression" dxfId="370" priority="6">
      <formula>LEFT($D43,5)="Study"</formula>
    </cfRule>
  </conditionalFormatting>
  <conditionalFormatting sqref="A11:M39">
    <cfRule type="expression" dxfId="369" priority="4">
      <formula>OR($A11="Elective",$A11="OptionY1")</formula>
    </cfRule>
  </conditionalFormatting>
  <conditionalFormatting sqref="H11:K19 H21:K29 H31:K39">
    <cfRule type="expression" dxfId="368" priority="1">
      <formula>$E11=LEFT(H$10,4)</formula>
    </cfRule>
  </conditionalFormatting>
  <dataValidations count="1">
    <dataValidation type="list" allowBlank="1" showInputMessage="1" showErrorMessage="1" sqref="L25 L35 L15"/>
  </dataValidations>
  <hyperlinks>
    <hyperlink ref="A118" r:id="rId1" display="https://students.connect.curtin.edu.au/"/>
    <hyperlink ref="B118" r:id="rId2" display="https://students.connect.curtin.edu.au/"/>
    <hyperlink ref="E118" r:id="rId3" display="https://students.connect.curtin.edu.au/"/>
    <hyperlink ref="F118" r:id="rId4" display="https://students.connect.curtin.edu.au/"/>
    <hyperlink ref="G118" r:id="rId5" display="https://students.connect.curtin.edu.au/"/>
    <hyperlink ref="I118" r:id="rId6" display="https://students.connect.curtin.edu.au/"/>
    <hyperlink ref="K118" r:id="rId7" display="https://students.connect.curtin.edu.au/"/>
  </hyperlinks>
  <printOptions horizontalCentered="1"/>
  <pageMargins left="0.31496062992125984" right="0.31496062992125984" top="0.39370078740157483" bottom="0.39370078740157483" header="0.19685039370078741" footer="0.19685039370078741"/>
  <pageSetup paperSize="9" scale="58" fitToHeight="0" orientation="portrait" r:id="rId8"/>
  <rowBreaks count="1" manualBreakCount="1">
    <brk id="80" max="11" man="1"/>
  </rowBreaks>
  <ignoredErrors>
    <ignoredError sqref="H20" formula="1"/>
  </ignoredErrors>
  <drawing r:id="rId9"/>
  <extLst>
    <ext xmlns:x14="http://schemas.microsoft.com/office/spreadsheetml/2009/9/main" uri="{CCE6A557-97BC-4b89-ADB6-D9C93CAAB3DF}">
      <x14:dataValidations xmlns:xm="http://schemas.microsoft.com/office/excel/2006/main" count="2">
        <x14:dataValidation type="list" showInputMessage="1" showErrorMessage="1">
          <x14:formula1>
            <xm:f>Unitsets!$A$15:$A$29</xm:f>
          </x14:formula1>
          <xm:sqref>D6</xm:sqref>
        </x14:dataValidation>
        <x14:dataValidation type="list" showInputMessage="1" showErrorMessage="1">
          <x14:formula1>
            <xm:f>Unitsets!$A$31:$A$63</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Q126"/>
  <sheetViews>
    <sheetView topLeftCell="A31" zoomScale="85" zoomScaleNormal="85" workbookViewId="0">
      <selection activeCell="G63" sqref="G63"/>
    </sheetView>
  </sheetViews>
  <sheetFormatPr defaultRowHeight="15.75" x14ac:dyDescent="0.25"/>
  <cols>
    <col min="1" max="1" width="50.375" style="15" bestFit="1" customWidth="1"/>
    <col min="2" max="2" width="11.875" style="8" bestFit="1" customWidth="1"/>
    <col min="3" max="3" width="8.875" style="8" bestFit="1" customWidth="1"/>
    <col min="4" max="4" width="19.375" style="8" bestFit="1" customWidth="1"/>
    <col min="5" max="5" width="13.75" style="8" bestFit="1" customWidth="1"/>
    <col min="6" max="6" width="13.125" style="8" bestFit="1" customWidth="1"/>
    <col min="7" max="7" width="22.75" style="8" bestFit="1" customWidth="1"/>
    <col min="8" max="8" width="15.375" style="8" bestFit="1" customWidth="1"/>
    <col min="9" max="9" width="3.625" customWidth="1"/>
    <col min="10" max="10" width="8.125" bestFit="1" customWidth="1"/>
    <col min="11" max="11" width="17.5" bestFit="1" customWidth="1"/>
    <col min="12" max="12" width="8.125" bestFit="1" customWidth="1"/>
    <col min="13" max="13" width="17.75" bestFit="1" customWidth="1"/>
    <col min="14" max="14" width="8.125" bestFit="1" customWidth="1"/>
    <col min="15" max="15" width="10.625" customWidth="1"/>
    <col min="16" max="16" width="8.125" bestFit="1" customWidth="1"/>
    <col min="17" max="17" width="10.625" customWidth="1"/>
    <col min="18" max="18" width="8.125" bestFit="1" customWidth="1"/>
    <col min="19" max="19" width="10.625" customWidth="1"/>
    <col min="20" max="20" width="8.125" bestFit="1" customWidth="1"/>
    <col min="21" max="21" width="10.625" customWidth="1"/>
    <col min="22" max="22" width="8.125" bestFit="1" customWidth="1"/>
    <col min="23" max="23" width="10.625" customWidth="1"/>
    <col min="24" max="24" width="8.125" bestFit="1" customWidth="1"/>
    <col min="25" max="25" width="10.625" customWidth="1"/>
    <col min="26" max="26" width="8.125" bestFit="1" customWidth="1"/>
    <col min="27" max="27" width="10.625" customWidth="1"/>
    <col min="28" max="28" width="8.125" bestFit="1" customWidth="1"/>
    <col min="29" max="29" width="10.625" customWidth="1"/>
    <col min="30" max="30" width="8.125" customWidth="1"/>
    <col min="31" max="31" width="10.625" customWidth="1"/>
    <col min="32" max="32" width="6.625" bestFit="1" customWidth="1"/>
    <col min="33" max="33" width="10.625" customWidth="1"/>
    <col min="34" max="34" width="8.125" customWidth="1"/>
    <col min="35" max="35" width="10.625" customWidth="1"/>
    <col min="36" max="36" width="8.125" bestFit="1" customWidth="1"/>
    <col min="37" max="37" width="10.625" customWidth="1"/>
    <col min="38" max="38" width="8.125" bestFit="1" customWidth="1"/>
    <col min="39" max="41" width="10.625" customWidth="1"/>
    <col min="42" max="42" width="8.125" bestFit="1" customWidth="1"/>
    <col min="43" max="43" width="10.625" customWidth="1"/>
    <col min="44" max="44" width="8.125" bestFit="1" customWidth="1"/>
    <col min="45" max="45" width="10.625" customWidth="1"/>
    <col min="46" max="46" width="8" customWidth="1"/>
    <col min="47" max="47" width="10.625" customWidth="1"/>
    <col min="48" max="48" width="8.125" bestFit="1" customWidth="1"/>
    <col min="49" max="49" width="10.625" customWidth="1"/>
    <col min="50" max="50" width="8.125" bestFit="1" customWidth="1"/>
    <col min="51" max="51" width="11.75" customWidth="1"/>
    <col min="52" max="52" width="8.125" bestFit="1" customWidth="1"/>
    <col min="53" max="53" width="10" customWidth="1"/>
    <col min="54" max="54" width="7.125" customWidth="1"/>
    <col min="55" max="55" width="10" customWidth="1"/>
    <col min="56" max="56" width="6" customWidth="1"/>
    <col min="57" max="57" width="10.375" customWidth="1"/>
    <col min="58" max="58" width="6" customWidth="1"/>
    <col min="59" max="59" width="12.375" customWidth="1"/>
    <col min="60" max="60" width="6" customWidth="1"/>
    <col min="61" max="61" width="9" customWidth="1"/>
    <col min="62" max="62" width="6" customWidth="1"/>
    <col min="63" max="63" width="10.125" customWidth="1"/>
    <col min="64" max="64" width="6" customWidth="1"/>
    <col min="65" max="74" width="9" customWidth="1"/>
    <col min="75" max="75" width="13.625" customWidth="1"/>
    <col min="76" max="76" width="9" customWidth="1"/>
    <col min="77" max="77" width="13.625" customWidth="1"/>
    <col min="78" max="102" width="9" customWidth="1"/>
    <col min="103" max="103" width="11" customWidth="1"/>
    <col min="104" max="104" width="9" customWidth="1"/>
    <col min="105" max="105" width="10.75" customWidth="1"/>
    <col min="106" max="106" width="6.75" bestFit="1" customWidth="1"/>
    <col min="107" max="107" width="11.25" customWidth="1"/>
    <col min="108" max="108" width="6.75" bestFit="1" customWidth="1"/>
    <col min="109" max="109" width="11.375" customWidth="1"/>
    <col min="110" max="110" width="9" customWidth="1"/>
    <col min="111" max="111" width="13.75" customWidth="1"/>
    <col min="112" max="112" width="9" customWidth="1"/>
    <col min="113" max="113" width="13.75" customWidth="1"/>
    <col min="114" max="117" width="9" customWidth="1"/>
    <col min="119" max="119" width="12.5" customWidth="1"/>
    <col min="121" max="121" width="12" customWidth="1"/>
  </cols>
  <sheetData>
    <row r="1" spans="1:54" x14ac:dyDescent="0.25">
      <c r="A1" s="17" t="s">
        <v>10</v>
      </c>
      <c r="B1" s="18"/>
      <c r="C1" s="18"/>
      <c r="D1" s="18"/>
    </row>
    <row r="2" spans="1:54" x14ac:dyDescent="0.25">
      <c r="A2"/>
      <c r="B2"/>
      <c r="C2"/>
      <c r="D2"/>
      <c r="E2"/>
      <c r="F2"/>
      <c r="G2"/>
      <c r="H2"/>
      <c r="J2" s="30"/>
      <c r="K2" s="11"/>
      <c r="L2" s="12"/>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0"/>
      <c r="AW2" s="11"/>
      <c r="AX2" s="25"/>
      <c r="AY2" s="25"/>
    </row>
    <row r="3" spans="1:54" x14ac:dyDescent="0.25">
      <c r="H3" s="141" t="s">
        <v>77</v>
      </c>
      <c r="I3" s="1">
        <v>1</v>
      </c>
      <c r="J3" s="32"/>
      <c r="K3" s="13" t="s">
        <v>78</v>
      </c>
      <c r="L3" s="32"/>
      <c r="M3" s="14" t="s">
        <v>79</v>
      </c>
      <c r="AX3" s="25"/>
      <c r="AY3" s="25"/>
      <c r="AZ3" s="25"/>
      <c r="BA3" s="25"/>
      <c r="BB3" s="25"/>
    </row>
    <row r="4" spans="1:54" x14ac:dyDescent="0.25">
      <c r="I4" s="21">
        <v>2</v>
      </c>
      <c r="J4" s="54" t="s">
        <v>80</v>
      </c>
      <c r="K4" s="55" t="s">
        <v>81</v>
      </c>
      <c r="L4" s="54" t="s">
        <v>82</v>
      </c>
      <c r="M4" s="55" t="s">
        <v>81</v>
      </c>
      <c r="AX4" s="25"/>
      <c r="AY4" s="25"/>
      <c r="AZ4" s="25"/>
      <c r="BA4" s="25"/>
      <c r="BB4" s="25"/>
    </row>
    <row r="5" spans="1:54" x14ac:dyDescent="0.25">
      <c r="I5" s="21">
        <v>3</v>
      </c>
      <c r="J5" s="56" t="s">
        <v>80</v>
      </c>
      <c r="K5" s="96" t="s">
        <v>83</v>
      </c>
      <c r="L5" s="56" t="s">
        <v>82</v>
      </c>
      <c r="M5" s="96" t="s">
        <v>83</v>
      </c>
      <c r="AX5" s="25"/>
      <c r="AY5" s="25"/>
      <c r="AZ5" s="25"/>
      <c r="BA5" s="25"/>
      <c r="BB5" s="25"/>
    </row>
    <row r="6" spans="1:54" x14ac:dyDescent="0.25">
      <c r="A6" s="8" t="s">
        <v>84</v>
      </c>
      <c r="B6" s="15" t="s">
        <v>0</v>
      </c>
      <c r="C6" s="8" t="s">
        <v>85</v>
      </c>
      <c r="D6" s="8" t="s">
        <v>86</v>
      </c>
      <c r="E6" s="8" t="s">
        <v>87</v>
      </c>
      <c r="F6" s="8" t="s">
        <v>88</v>
      </c>
      <c r="G6" s="8" t="s">
        <v>6</v>
      </c>
      <c r="I6" s="21">
        <v>4</v>
      </c>
      <c r="J6" s="56" t="s">
        <v>80</v>
      </c>
      <c r="K6" s="101" t="s">
        <v>89</v>
      </c>
      <c r="L6" s="56" t="s">
        <v>82</v>
      </c>
      <c r="M6" s="101" t="s">
        <v>89</v>
      </c>
      <c r="AX6" s="25"/>
      <c r="AY6" s="25"/>
      <c r="AZ6" s="25"/>
      <c r="BA6" s="25"/>
      <c r="BB6" s="25"/>
    </row>
    <row r="7" spans="1:54" x14ac:dyDescent="0.25">
      <c r="A7" s="15" t="s">
        <v>10</v>
      </c>
      <c r="B7" s="178" t="s">
        <v>90</v>
      </c>
      <c r="C7" s="9" t="s">
        <v>91</v>
      </c>
      <c r="D7" s="9" t="s">
        <v>92</v>
      </c>
      <c r="E7" s="150">
        <v>44927</v>
      </c>
      <c r="F7" s="177">
        <v>45292</v>
      </c>
      <c r="G7" s="9" t="s">
        <v>93</v>
      </c>
      <c r="I7" s="21">
        <v>5</v>
      </c>
      <c r="J7" s="56" t="s">
        <v>80</v>
      </c>
      <c r="K7" s="112" t="s">
        <v>94</v>
      </c>
      <c r="L7" s="56" t="s">
        <v>82</v>
      </c>
      <c r="M7" s="101" t="s">
        <v>95</v>
      </c>
      <c r="AX7" s="5"/>
      <c r="AY7" s="4"/>
      <c r="AZ7" s="5"/>
      <c r="BA7" s="5"/>
    </row>
    <row r="8" spans="1:54" x14ac:dyDescent="0.25">
      <c r="I8" s="21">
        <v>6</v>
      </c>
      <c r="J8" s="56" t="s">
        <v>82</v>
      </c>
      <c r="K8" s="112" t="s">
        <v>96</v>
      </c>
      <c r="L8" s="56" t="s">
        <v>80</v>
      </c>
      <c r="M8" s="112" t="s">
        <v>96</v>
      </c>
      <c r="AX8" s="5"/>
      <c r="AY8" s="4"/>
      <c r="AZ8" s="24"/>
      <c r="BA8" s="5"/>
    </row>
    <row r="9" spans="1:54" x14ac:dyDescent="0.25">
      <c r="I9" s="21">
        <v>7</v>
      </c>
      <c r="J9" s="56" t="s">
        <v>82</v>
      </c>
      <c r="K9" s="96" t="s">
        <v>83</v>
      </c>
      <c r="L9" s="56" t="s">
        <v>80</v>
      </c>
      <c r="M9" s="96" t="s">
        <v>83</v>
      </c>
      <c r="AZ9" s="5"/>
      <c r="BA9" s="5"/>
    </row>
    <row r="10" spans="1:54" x14ac:dyDescent="0.25">
      <c r="A10" s="16" t="s">
        <v>97</v>
      </c>
      <c r="B10" s="19" t="s">
        <v>98</v>
      </c>
      <c r="C10" s="8" t="s">
        <v>99</v>
      </c>
      <c r="I10" s="21">
        <v>8</v>
      </c>
      <c r="J10" s="56" t="s">
        <v>82</v>
      </c>
      <c r="K10" s="101" t="s">
        <v>89</v>
      </c>
      <c r="L10" s="56" t="s">
        <v>80</v>
      </c>
      <c r="M10" s="101" t="s">
        <v>89</v>
      </c>
      <c r="AZ10" s="5"/>
      <c r="BA10" s="5"/>
    </row>
    <row r="11" spans="1:54" x14ac:dyDescent="0.25">
      <c r="A11" s="8" t="s">
        <v>100</v>
      </c>
      <c r="B11" s="9" t="s">
        <v>101</v>
      </c>
      <c r="C11" s="9" t="s">
        <v>102</v>
      </c>
      <c r="I11" s="21">
        <v>9</v>
      </c>
      <c r="J11" s="56" t="s">
        <v>82</v>
      </c>
      <c r="K11" s="101" t="s">
        <v>95</v>
      </c>
      <c r="L11" s="57" t="s">
        <v>80</v>
      </c>
      <c r="M11" s="112" t="s">
        <v>94</v>
      </c>
      <c r="AZ11" s="5"/>
      <c r="BA11" s="5"/>
    </row>
    <row r="12" spans="1:54" x14ac:dyDescent="0.25">
      <c r="A12" s="8" t="s">
        <v>19</v>
      </c>
      <c r="B12" s="9" t="s">
        <v>102</v>
      </c>
      <c r="C12" s="9" t="s">
        <v>101</v>
      </c>
      <c r="I12" s="21">
        <v>10</v>
      </c>
      <c r="J12" s="58" t="s">
        <v>103</v>
      </c>
      <c r="K12" s="97" t="s">
        <v>104</v>
      </c>
      <c r="L12" s="58" t="s">
        <v>105</v>
      </c>
      <c r="M12" s="97" t="s">
        <v>104</v>
      </c>
      <c r="AZ12" s="5"/>
      <c r="BA12" s="5"/>
    </row>
    <row r="13" spans="1:54" x14ac:dyDescent="0.25">
      <c r="E13" s="20"/>
      <c r="I13" s="21">
        <v>11</v>
      </c>
      <c r="J13" s="59" t="s">
        <v>103</v>
      </c>
      <c r="K13" s="96" t="s">
        <v>104</v>
      </c>
      <c r="L13" s="59" t="s">
        <v>105</v>
      </c>
      <c r="M13" s="96" t="s">
        <v>104</v>
      </c>
      <c r="AZ13" s="5"/>
      <c r="BA13" s="5"/>
    </row>
    <row r="14" spans="1:54" x14ac:dyDescent="0.25">
      <c r="I14" s="21">
        <v>12</v>
      </c>
      <c r="J14" s="59" t="s">
        <v>103</v>
      </c>
      <c r="K14" s="101" t="s">
        <v>106</v>
      </c>
      <c r="L14" s="59" t="s">
        <v>105</v>
      </c>
      <c r="M14" s="101" t="s">
        <v>106</v>
      </c>
      <c r="AZ14" s="5"/>
      <c r="BA14" s="5"/>
    </row>
    <row r="15" spans="1:54" x14ac:dyDescent="0.25">
      <c r="A15" s="8" t="s">
        <v>107</v>
      </c>
      <c r="B15" s="15" t="s">
        <v>0</v>
      </c>
      <c r="C15" s="8" t="s">
        <v>85</v>
      </c>
      <c r="D15" s="8" t="s">
        <v>86</v>
      </c>
      <c r="E15" s="8" t="s">
        <v>87</v>
      </c>
      <c r="F15" s="8" t="s">
        <v>88</v>
      </c>
      <c r="G15" s="8" t="s">
        <v>108</v>
      </c>
      <c r="I15" s="21">
        <v>13</v>
      </c>
      <c r="J15" s="59" t="s">
        <v>103</v>
      </c>
      <c r="K15" s="101" t="s">
        <v>106</v>
      </c>
      <c r="L15" s="59" t="s">
        <v>105</v>
      </c>
      <c r="M15" s="101" t="s">
        <v>106</v>
      </c>
      <c r="AZ15" s="5"/>
      <c r="BA15" s="5"/>
    </row>
    <row r="16" spans="1:54" x14ac:dyDescent="0.25">
      <c r="A16" s="8" t="s">
        <v>109</v>
      </c>
      <c r="B16" s="182" t="s">
        <v>110</v>
      </c>
      <c r="C16" s="182" t="s">
        <v>111</v>
      </c>
      <c r="D16" s="5" t="s">
        <v>112</v>
      </c>
      <c r="E16" s="181">
        <v>42736</v>
      </c>
      <c r="F16" s="181">
        <v>42736</v>
      </c>
      <c r="G16" s="233" t="s">
        <v>113</v>
      </c>
      <c r="I16" s="21">
        <v>14</v>
      </c>
      <c r="J16" s="59" t="s">
        <v>105</v>
      </c>
      <c r="K16" s="96" t="s">
        <v>104</v>
      </c>
      <c r="L16" s="59" t="s">
        <v>103</v>
      </c>
      <c r="M16" s="96" t="s">
        <v>104</v>
      </c>
      <c r="AX16" s="5"/>
      <c r="AY16" s="7"/>
      <c r="AZ16" s="5"/>
      <c r="BA16" s="5"/>
    </row>
    <row r="17" spans="1:65" x14ac:dyDescent="0.25">
      <c r="A17" s="8" t="s">
        <v>114</v>
      </c>
      <c r="B17" s="182" t="s">
        <v>115</v>
      </c>
      <c r="C17" s="182" t="s">
        <v>116</v>
      </c>
      <c r="D17" s="5" t="s">
        <v>112</v>
      </c>
      <c r="E17" s="181">
        <v>42005</v>
      </c>
      <c r="F17" s="181">
        <v>42005</v>
      </c>
      <c r="G17" s="233" t="s">
        <v>117</v>
      </c>
      <c r="I17" s="21">
        <v>15</v>
      </c>
      <c r="J17" s="59" t="s">
        <v>105</v>
      </c>
      <c r="K17" s="96" t="s">
        <v>104</v>
      </c>
      <c r="L17" s="59" t="s">
        <v>103</v>
      </c>
      <c r="M17" s="96" t="s">
        <v>104</v>
      </c>
      <c r="AX17" s="5"/>
      <c r="AY17" s="7"/>
      <c r="AZ17" s="5"/>
      <c r="BA17" s="5"/>
    </row>
    <row r="18" spans="1:65" x14ac:dyDescent="0.25">
      <c r="A18" s="8" t="s">
        <v>118</v>
      </c>
      <c r="B18" s="182" t="s">
        <v>119</v>
      </c>
      <c r="C18" s="182" t="s">
        <v>116</v>
      </c>
      <c r="D18" s="5" t="s">
        <v>112</v>
      </c>
      <c r="E18" s="181">
        <v>42005</v>
      </c>
      <c r="F18" s="181">
        <v>43831</v>
      </c>
      <c r="G18" s="233" t="s">
        <v>120</v>
      </c>
      <c r="I18" s="21">
        <v>16</v>
      </c>
      <c r="J18" s="59" t="s">
        <v>105</v>
      </c>
      <c r="K18" s="101" t="s">
        <v>106</v>
      </c>
      <c r="L18" s="59" t="s">
        <v>103</v>
      </c>
      <c r="M18" s="101" t="s">
        <v>106</v>
      </c>
      <c r="AX18" s="5"/>
      <c r="AY18" s="7"/>
      <c r="AZ18" s="5"/>
      <c r="BA18" s="5"/>
    </row>
    <row r="19" spans="1:65" x14ac:dyDescent="0.25">
      <c r="A19" s="4" t="s">
        <v>13</v>
      </c>
      <c r="B19" s="182" t="s">
        <v>121</v>
      </c>
      <c r="C19" s="182" t="s">
        <v>111</v>
      </c>
      <c r="D19" s="5" t="s">
        <v>112</v>
      </c>
      <c r="E19" s="181">
        <v>43831</v>
      </c>
      <c r="F19" s="181">
        <v>43831</v>
      </c>
      <c r="G19" s="233" t="s">
        <v>122</v>
      </c>
      <c r="I19" s="21">
        <v>17</v>
      </c>
      <c r="J19" s="60" t="s">
        <v>105</v>
      </c>
      <c r="K19" s="101" t="s">
        <v>106</v>
      </c>
      <c r="L19" s="60" t="s">
        <v>103</v>
      </c>
      <c r="M19" s="101" t="s">
        <v>106</v>
      </c>
      <c r="AX19" s="5"/>
      <c r="AY19" s="6"/>
      <c r="AZ19" s="5"/>
      <c r="BA19" s="24"/>
    </row>
    <row r="20" spans="1:65" x14ac:dyDescent="0.25">
      <c r="A20" s="4" t="s">
        <v>123</v>
      </c>
      <c r="B20" s="182" t="s">
        <v>124</v>
      </c>
      <c r="C20" s="182" t="s">
        <v>125</v>
      </c>
      <c r="D20" s="5" t="s">
        <v>112</v>
      </c>
      <c r="E20" s="181">
        <v>44562</v>
      </c>
      <c r="F20" s="177">
        <v>45292</v>
      </c>
      <c r="G20" s="233" t="s">
        <v>126</v>
      </c>
      <c r="I20" s="21">
        <v>18</v>
      </c>
      <c r="J20" s="58" t="s">
        <v>127</v>
      </c>
      <c r="K20" s="97" t="s">
        <v>104</v>
      </c>
      <c r="L20" s="58" t="s">
        <v>128</v>
      </c>
      <c r="M20" s="97" t="s">
        <v>104</v>
      </c>
    </row>
    <row r="21" spans="1:65" x14ac:dyDescent="0.25">
      <c r="A21" s="8" t="s">
        <v>129</v>
      </c>
      <c r="B21" s="181" t="s">
        <v>130</v>
      </c>
      <c r="C21" s="177" t="s">
        <v>111</v>
      </c>
      <c r="D21" s="5" t="s">
        <v>112</v>
      </c>
      <c r="E21" s="177">
        <v>45292</v>
      </c>
      <c r="F21" s="162">
        <v>45292</v>
      </c>
      <c r="G21" s="233" t="s">
        <v>131</v>
      </c>
      <c r="I21" s="21">
        <v>19</v>
      </c>
      <c r="J21" s="59" t="s">
        <v>127</v>
      </c>
      <c r="K21" s="96" t="s">
        <v>104</v>
      </c>
      <c r="L21" s="59" t="s">
        <v>128</v>
      </c>
      <c r="M21" s="96" t="s">
        <v>104</v>
      </c>
    </row>
    <row r="22" spans="1:65" x14ac:dyDescent="0.25">
      <c r="A22" s="8" t="s">
        <v>132</v>
      </c>
      <c r="B22" s="181" t="s">
        <v>133</v>
      </c>
      <c r="C22" s="177" t="s">
        <v>111</v>
      </c>
      <c r="D22" s="5" t="s">
        <v>112</v>
      </c>
      <c r="E22" s="162">
        <v>45292</v>
      </c>
      <c r="F22" s="162">
        <v>45292</v>
      </c>
      <c r="G22" s="233" t="s">
        <v>134</v>
      </c>
      <c r="I22" s="21">
        <v>20</v>
      </c>
      <c r="J22" s="59" t="s">
        <v>127</v>
      </c>
      <c r="K22" s="101" t="s">
        <v>106</v>
      </c>
      <c r="L22" s="59" t="s">
        <v>128</v>
      </c>
      <c r="M22" s="101" t="s">
        <v>106</v>
      </c>
    </row>
    <row r="23" spans="1:65" x14ac:dyDescent="0.25">
      <c r="A23" s="169" t="s">
        <v>135</v>
      </c>
      <c r="B23" s="161" t="s">
        <v>136</v>
      </c>
      <c r="C23" s="161" t="s">
        <v>116</v>
      </c>
      <c r="D23" s="5" t="s">
        <v>112</v>
      </c>
      <c r="E23" s="162">
        <v>45292</v>
      </c>
      <c r="F23" s="162">
        <v>45292</v>
      </c>
      <c r="G23" s="4" t="s">
        <v>137</v>
      </c>
      <c r="I23" s="21">
        <v>21</v>
      </c>
      <c r="J23" s="59" t="s">
        <v>127</v>
      </c>
      <c r="K23" s="101" t="s">
        <v>106</v>
      </c>
      <c r="L23" s="59" t="s">
        <v>128</v>
      </c>
      <c r="M23" s="101" t="s">
        <v>106</v>
      </c>
    </row>
    <row r="24" spans="1:65" x14ac:dyDescent="0.25">
      <c r="A24" s="8" t="s">
        <v>138</v>
      </c>
      <c r="B24" s="182" t="s">
        <v>139</v>
      </c>
      <c r="C24" s="161" t="s">
        <v>111</v>
      </c>
      <c r="D24" s="5" t="s">
        <v>112</v>
      </c>
      <c r="E24" s="162">
        <v>45292</v>
      </c>
      <c r="F24" s="162">
        <v>45292</v>
      </c>
      <c r="G24" s="233" t="s">
        <v>140</v>
      </c>
      <c r="I24" s="21">
        <v>22</v>
      </c>
      <c r="J24" s="59" t="s">
        <v>128</v>
      </c>
      <c r="K24" s="96" t="s">
        <v>104</v>
      </c>
      <c r="L24" s="59" t="s">
        <v>127</v>
      </c>
      <c r="M24" s="96" t="s">
        <v>104</v>
      </c>
    </row>
    <row r="25" spans="1:65" x14ac:dyDescent="0.25">
      <c r="A25" s="8" t="s">
        <v>141</v>
      </c>
      <c r="B25" s="182" t="s">
        <v>142</v>
      </c>
      <c r="C25" s="182" t="s">
        <v>116</v>
      </c>
      <c r="D25" s="5" t="s">
        <v>112</v>
      </c>
      <c r="E25" s="181">
        <v>42005</v>
      </c>
      <c r="F25" s="181">
        <v>42005</v>
      </c>
      <c r="G25" s="233" t="s">
        <v>117</v>
      </c>
      <c r="I25" s="21">
        <v>23</v>
      </c>
      <c r="J25" s="59" t="s">
        <v>128</v>
      </c>
      <c r="K25" s="96" t="s">
        <v>104</v>
      </c>
      <c r="L25" s="59" t="s">
        <v>127</v>
      </c>
      <c r="M25" s="96" t="s">
        <v>104</v>
      </c>
    </row>
    <row r="26" spans="1:65" x14ac:dyDescent="0.25">
      <c r="A26" s="8" t="s">
        <v>143</v>
      </c>
      <c r="B26" s="182" t="s">
        <v>144</v>
      </c>
      <c r="C26" s="182" t="s">
        <v>111</v>
      </c>
      <c r="D26" s="5" t="s">
        <v>112</v>
      </c>
      <c r="E26" s="181">
        <v>43101</v>
      </c>
      <c r="F26" s="162">
        <v>45292</v>
      </c>
      <c r="G26" s="233" t="s">
        <v>145</v>
      </c>
      <c r="I26" s="21">
        <v>24</v>
      </c>
      <c r="J26" s="59" t="s">
        <v>128</v>
      </c>
      <c r="K26" s="101" t="s">
        <v>106</v>
      </c>
      <c r="L26" s="59" t="s">
        <v>127</v>
      </c>
      <c r="M26" s="101" t="s">
        <v>106</v>
      </c>
    </row>
    <row r="27" spans="1:65" x14ac:dyDescent="0.25">
      <c r="A27" s="53" t="s">
        <v>146</v>
      </c>
      <c r="B27" s="182" t="s">
        <v>147</v>
      </c>
      <c r="C27" s="182" t="s">
        <v>116</v>
      </c>
      <c r="D27" s="5" t="s">
        <v>112</v>
      </c>
      <c r="E27" s="181">
        <v>44927</v>
      </c>
      <c r="F27" s="181">
        <v>44927</v>
      </c>
      <c r="G27" s="233" t="s">
        <v>148</v>
      </c>
      <c r="I27" s="21">
        <v>25</v>
      </c>
      <c r="J27" s="60" t="s">
        <v>128</v>
      </c>
      <c r="K27" s="102" t="s">
        <v>149</v>
      </c>
      <c r="L27" s="60" t="s">
        <v>127</v>
      </c>
      <c r="M27" s="102" t="s">
        <v>149</v>
      </c>
    </row>
    <row r="28" spans="1:65" x14ac:dyDescent="0.25">
      <c r="A28" s="4" t="s">
        <v>150</v>
      </c>
      <c r="B28" s="182" t="s">
        <v>151</v>
      </c>
      <c r="C28" s="161" t="s">
        <v>111</v>
      </c>
      <c r="D28" s="5" t="s">
        <v>112</v>
      </c>
      <c r="E28" s="162">
        <v>45292</v>
      </c>
      <c r="F28" s="162">
        <v>45292</v>
      </c>
      <c r="G28" s="233" t="s">
        <v>152</v>
      </c>
      <c r="J28" s="31"/>
    </row>
    <row r="29" spans="1:65" x14ac:dyDescent="0.25">
      <c r="A29" s="4" t="s">
        <v>153</v>
      </c>
      <c r="B29" s="182" t="s">
        <v>154</v>
      </c>
      <c r="C29" s="182" t="s">
        <v>116</v>
      </c>
      <c r="D29" s="5" t="s">
        <v>112</v>
      </c>
      <c r="E29" s="181">
        <v>44927</v>
      </c>
      <c r="F29" s="181">
        <v>44927</v>
      </c>
      <c r="G29" s="233" t="s">
        <v>155</v>
      </c>
      <c r="H29"/>
    </row>
    <row r="30" spans="1:65" x14ac:dyDescent="0.25">
      <c r="A30"/>
      <c r="B30"/>
      <c r="C30"/>
      <c r="D30"/>
      <c r="E30"/>
      <c r="F30"/>
      <c r="G30"/>
      <c r="H30"/>
      <c r="AV30" s="99" t="s">
        <v>1025</v>
      </c>
    </row>
    <row r="31" spans="1:65" x14ac:dyDescent="0.25">
      <c r="A31" s="8" t="s">
        <v>156</v>
      </c>
      <c r="B31" s="15" t="s">
        <v>0</v>
      </c>
      <c r="C31" s="8" t="s">
        <v>85</v>
      </c>
      <c r="D31" s="8" t="s">
        <v>86</v>
      </c>
      <c r="E31" s="8" t="s">
        <v>87</v>
      </c>
      <c r="F31" s="8" t="s">
        <v>88</v>
      </c>
      <c r="G31"/>
      <c r="H31"/>
      <c r="J31" s="172"/>
      <c r="K31" s="172"/>
      <c r="L31" s="172"/>
      <c r="M31" s="172"/>
      <c r="N31" s="172"/>
      <c r="O31" s="172"/>
      <c r="P31" s="172"/>
      <c r="Q31" s="172"/>
      <c r="R31" s="172"/>
      <c r="S31" s="172"/>
      <c r="T31" s="172"/>
      <c r="U31" s="172"/>
      <c r="V31" s="172"/>
      <c r="W31" s="172"/>
      <c r="X31" s="172"/>
      <c r="Y31" s="172"/>
      <c r="Z31" s="172"/>
      <c r="AA31" s="172"/>
      <c r="AB31" s="172"/>
      <c r="AC31" s="172"/>
      <c r="AD31" s="140" t="s">
        <v>157</v>
      </c>
      <c r="AE31" s="140"/>
      <c r="AF31" s="140"/>
      <c r="AG31" s="140"/>
      <c r="AH31" s="172"/>
      <c r="AI31" s="172"/>
      <c r="AJ31" s="172"/>
      <c r="AK31" s="172"/>
      <c r="AL31" s="172"/>
      <c r="AM31" s="172"/>
      <c r="AN31" s="172"/>
      <c r="AO31" s="172"/>
      <c r="AP31" s="172"/>
      <c r="AQ31" s="172"/>
      <c r="AR31" s="172"/>
      <c r="AS31" s="172"/>
      <c r="AT31" s="172"/>
      <c r="AU31" s="172"/>
      <c r="AV31" s="223"/>
      <c r="AW31" s="223"/>
      <c r="AX31" s="172"/>
      <c r="AY31" s="172"/>
      <c r="AZ31" s="172"/>
      <c r="BA31" s="172"/>
      <c r="BB31" s="172"/>
      <c r="BC31" s="172"/>
      <c r="BD31" s="172"/>
      <c r="BE31" s="172"/>
      <c r="BF31" s="172"/>
      <c r="BG31" s="172"/>
      <c r="BH31" s="172"/>
      <c r="BI31" s="172"/>
      <c r="BJ31" s="172"/>
      <c r="BK31" s="172"/>
      <c r="BL31" s="172"/>
      <c r="BM31" s="172"/>
    </row>
    <row r="32" spans="1:65" x14ac:dyDescent="0.25">
      <c r="A32" s="4" t="s">
        <v>158</v>
      </c>
      <c r="B32" s="5" t="s">
        <v>159</v>
      </c>
      <c r="C32" s="5"/>
      <c r="D32" s="5" t="s">
        <v>112</v>
      </c>
      <c r="E32" s="154"/>
      <c r="F32" s="154"/>
      <c r="G32"/>
      <c r="H32" s="141" t="s">
        <v>160</v>
      </c>
      <c r="J32" s="89"/>
      <c r="K32" s="90" t="s">
        <v>161</v>
      </c>
      <c r="L32" s="77"/>
      <c r="M32" s="77" t="s">
        <v>162</v>
      </c>
      <c r="N32" s="76"/>
      <c r="O32" s="78" t="s">
        <v>163</v>
      </c>
      <c r="P32" s="76"/>
      <c r="Q32" s="78" t="s">
        <v>164</v>
      </c>
      <c r="R32" s="76"/>
      <c r="S32" s="78" t="s">
        <v>165</v>
      </c>
      <c r="T32" s="76"/>
      <c r="U32" s="78" t="s">
        <v>166</v>
      </c>
      <c r="V32" s="76"/>
      <c r="W32" s="78" t="s">
        <v>167</v>
      </c>
      <c r="X32" s="76"/>
      <c r="Y32" s="78" t="s">
        <v>168</v>
      </c>
      <c r="Z32" s="76"/>
      <c r="AA32" s="78" t="s">
        <v>169</v>
      </c>
      <c r="AB32" s="77"/>
      <c r="AC32" s="77" t="s">
        <v>170</v>
      </c>
      <c r="AD32" s="76"/>
      <c r="AE32" s="78" t="s">
        <v>171</v>
      </c>
      <c r="AF32" s="76"/>
      <c r="AG32" s="78" t="s">
        <v>172</v>
      </c>
      <c r="AH32" s="76"/>
      <c r="AI32" s="78" t="s">
        <v>173</v>
      </c>
      <c r="AJ32" s="77"/>
      <c r="AK32" s="77" t="s">
        <v>174</v>
      </c>
      <c r="AL32" s="76"/>
      <c r="AM32" s="78" t="s">
        <v>175</v>
      </c>
      <c r="AN32" s="77"/>
      <c r="AO32" s="77" t="s">
        <v>176</v>
      </c>
      <c r="AP32" s="76"/>
      <c r="AQ32" s="78" t="s">
        <v>177</v>
      </c>
      <c r="AR32" s="77"/>
      <c r="AS32" s="77" t="s">
        <v>178</v>
      </c>
      <c r="AT32" s="76"/>
      <c r="AU32" s="78" t="s">
        <v>179</v>
      </c>
      <c r="AV32" s="77"/>
      <c r="AW32" s="77" t="s">
        <v>180</v>
      </c>
      <c r="AX32" s="76"/>
      <c r="AY32" s="78" t="s">
        <v>181</v>
      </c>
      <c r="AZ32" s="76"/>
      <c r="BA32" s="78" t="s">
        <v>182</v>
      </c>
      <c r="BB32" s="76"/>
      <c r="BC32" s="78" t="s">
        <v>183</v>
      </c>
      <c r="BD32" s="76"/>
      <c r="BE32" s="78" t="s">
        <v>184</v>
      </c>
      <c r="BF32" s="76"/>
      <c r="BG32" s="78" t="s">
        <v>185</v>
      </c>
      <c r="BH32" s="76"/>
      <c r="BI32" s="78" t="s">
        <v>186</v>
      </c>
      <c r="BJ32" s="76"/>
      <c r="BK32" s="78" t="s">
        <v>187</v>
      </c>
      <c r="BL32" s="76"/>
      <c r="BM32" s="78" t="s">
        <v>188</v>
      </c>
    </row>
    <row r="33" spans="1:65" x14ac:dyDescent="0.25">
      <c r="A33" s="4"/>
      <c r="B33" s="5"/>
      <c r="C33" s="5"/>
      <c r="D33" s="5"/>
      <c r="E33" s="154"/>
      <c r="F33" s="154"/>
      <c r="G33"/>
      <c r="H33"/>
      <c r="I33" s="21">
        <v>2</v>
      </c>
      <c r="J33" s="58" t="s">
        <v>189</v>
      </c>
      <c r="K33" s="142" t="s">
        <v>39</v>
      </c>
      <c r="L33" s="58" t="s">
        <v>190</v>
      </c>
      <c r="M33" s="211" t="s">
        <v>41</v>
      </c>
      <c r="N33" s="58" t="s">
        <v>189</v>
      </c>
      <c r="O33" s="142" t="s">
        <v>43</v>
      </c>
      <c r="P33" s="58" t="s">
        <v>190</v>
      </c>
      <c r="Q33" s="216" t="s">
        <v>44</v>
      </c>
      <c r="R33" s="58" t="s">
        <v>189</v>
      </c>
      <c r="S33" s="142" t="s">
        <v>66</v>
      </c>
      <c r="T33" s="58" t="s">
        <v>190</v>
      </c>
      <c r="U33" s="213" t="s">
        <v>46</v>
      </c>
      <c r="V33" s="58" t="s">
        <v>189</v>
      </c>
      <c r="W33" s="142" t="s">
        <v>49</v>
      </c>
      <c r="X33" s="58" t="s">
        <v>190</v>
      </c>
      <c r="Y33" s="213" t="str">
        <f>W35</f>
        <v>PHGY1000</v>
      </c>
      <c r="Z33" s="58" t="s">
        <v>189</v>
      </c>
      <c r="AA33" s="142" t="s">
        <v>51</v>
      </c>
      <c r="AB33" s="58" t="s">
        <v>190</v>
      </c>
      <c r="AC33" s="213" t="s">
        <v>52</v>
      </c>
      <c r="AD33" s="58" t="s">
        <v>189</v>
      </c>
      <c r="AE33" s="192" t="s">
        <v>191</v>
      </c>
      <c r="AF33" s="58" t="s">
        <v>189</v>
      </c>
      <c r="AG33" s="192" t="s">
        <v>191</v>
      </c>
      <c r="AH33" s="58" t="s">
        <v>189</v>
      </c>
      <c r="AI33" s="145" t="s">
        <v>53</v>
      </c>
      <c r="AJ33" s="58" t="s">
        <v>190</v>
      </c>
      <c r="AK33" s="211" t="s">
        <v>52</v>
      </c>
      <c r="AL33" s="58" t="s">
        <v>189</v>
      </c>
      <c r="AM33" s="142" t="s">
        <v>54</v>
      </c>
      <c r="AN33" s="58" t="s">
        <v>190</v>
      </c>
      <c r="AO33" s="211" t="s">
        <v>55</v>
      </c>
      <c r="AP33" s="58" t="s">
        <v>189</v>
      </c>
      <c r="AQ33" s="220" t="s">
        <v>59</v>
      </c>
      <c r="AR33" s="58" t="s">
        <v>190</v>
      </c>
      <c r="AS33" s="224" t="s">
        <v>59</v>
      </c>
      <c r="AT33" s="58" t="s">
        <v>189</v>
      </c>
      <c r="AU33" s="142" t="s">
        <v>60</v>
      </c>
      <c r="AV33" s="58" t="s">
        <v>190</v>
      </c>
      <c r="AW33" s="198" t="s">
        <v>192</v>
      </c>
      <c r="AX33" s="58" t="s">
        <v>189</v>
      </c>
      <c r="AY33" s="142" t="s">
        <v>62</v>
      </c>
      <c r="AZ33" s="58" t="s">
        <v>190</v>
      </c>
      <c r="BA33" s="213" t="s">
        <v>48</v>
      </c>
      <c r="BB33" s="58" t="s">
        <v>189</v>
      </c>
      <c r="BC33" s="142" t="s">
        <v>64</v>
      </c>
      <c r="BD33" s="58" t="s">
        <v>190</v>
      </c>
      <c r="BE33" s="142" t="s">
        <v>63</v>
      </c>
      <c r="BF33" s="58" t="s">
        <v>189</v>
      </c>
      <c r="BG33" s="142" t="s">
        <v>66</v>
      </c>
      <c r="BH33" s="58" t="s">
        <v>190</v>
      </c>
      <c r="BI33" s="213" t="s">
        <v>67</v>
      </c>
      <c r="BJ33" s="58" t="s">
        <v>189</v>
      </c>
      <c r="BK33" s="142" t="s">
        <v>70</v>
      </c>
      <c r="BL33" s="58" t="s">
        <v>190</v>
      </c>
      <c r="BM33" s="213" t="s">
        <v>71</v>
      </c>
    </row>
    <row r="34" spans="1:65" ht="15.75" customHeight="1" x14ac:dyDescent="0.25">
      <c r="A34" s="95" t="s">
        <v>193</v>
      </c>
      <c r="B34" s="5"/>
      <c r="C34" s="5"/>
      <c r="D34" s="5"/>
      <c r="E34" s="154"/>
      <c r="F34" s="154"/>
      <c r="G34"/>
      <c r="H34"/>
      <c r="I34" s="21">
        <v>3</v>
      </c>
      <c r="J34" s="59"/>
      <c r="K34" s="143"/>
      <c r="L34" s="59"/>
      <c r="M34" s="212"/>
      <c r="N34" s="59"/>
      <c r="O34" s="143"/>
      <c r="P34" s="59"/>
      <c r="Q34" s="214"/>
      <c r="R34" s="59"/>
      <c r="S34" s="143"/>
      <c r="T34" s="59"/>
      <c r="U34" s="214"/>
      <c r="V34" s="59"/>
      <c r="W34" s="143"/>
      <c r="X34" s="59"/>
      <c r="Y34" s="214"/>
      <c r="Z34" s="59"/>
      <c r="AA34" s="143"/>
      <c r="AB34" s="59"/>
      <c r="AC34" s="214"/>
      <c r="AD34" s="59"/>
      <c r="AE34" s="193"/>
      <c r="AF34" s="59"/>
      <c r="AG34" s="193"/>
      <c r="AH34" s="59"/>
      <c r="AI34" s="143"/>
      <c r="AJ34" s="59"/>
      <c r="AK34" s="212"/>
      <c r="AL34" s="59"/>
      <c r="AM34" s="143"/>
      <c r="AN34" s="59"/>
      <c r="AO34" s="212"/>
      <c r="AP34" s="59"/>
      <c r="AQ34" s="143"/>
      <c r="AR34" s="59"/>
      <c r="AS34" s="212"/>
      <c r="AT34" s="59"/>
      <c r="AU34" s="143"/>
      <c r="AV34" s="59"/>
      <c r="AW34" s="93"/>
      <c r="AX34" s="59"/>
      <c r="AY34" s="143"/>
      <c r="AZ34" s="59"/>
      <c r="BA34" s="214"/>
      <c r="BB34" s="59"/>
      <c r="BC34" s="143"/>
      <c r="BD34" s="59"/>
      <c r="BE34" s="143"/>
      <c r="BF34" s="59"/>
      <c r="BG34" s="143"/>
      <c r="BH34" s="59"/>
      <c r="BI34" s="214"/>
      <c r="BJ34" s="59"/>
      <c r="BK34" s="143"/>
      <c r="BL34" s="59"/>
      <c r="BM34" s="214"/>
    </row>
    <row r="35" spans="1:65" x14ac:dyDescent="0.25">
      <c r="A35" s="8" t="s">
        <v>109</v>
      </c>
      <c r="B35" s="182" t="s">
        <v>110</v>
      </c>
      <c r="C35" s="182" t="s">
        <v>111</v>
      </c>
      <c r="D35" s="5" t="s">
        <v>112</v>
      </c>
      <c r="E35" s="181">
        <v>42736</v>
      </c>
      <c r="F35" s="181">
        <v>42736</v>
      </c>
      <c r="G35"/>
      <c r="H35"/>
      <c r="I35" s="21">
        <v>4</v>
      </c>
      <c r="J35" s="59" t="s">
        <v>190</v>
      </c>
      <c r="K35" s="143" t="s">
        <v>41</v>
      </c>
      <c r="L35" s="59" t="s">
        <v>189</v>
      </c>
      <c r="M35" s="212" t="s">
        <v>39</v>
      </c>
      <c r="N35" s="59" t="s">
        <v>190</v>
      </c>
      <c r="O35" s="143" t="s">
        <v>44</v>
      </c>
      <c r="P35" s="59" t="s">
        <v>189</v>
      </c>
      <c r="Q35" s="214" t="s">
        <v>43</v>
      </c>
      <c r="R35" s="59" t="s">
        <v>190</v>
      </c>
      <c r="S35" s="143" t="s">
        <v>46</v>
      </c>
      <c r="T35" s="59" t="s">
        <v>189</v>
      </c>
      <c r="U35" s="214" t="s">
        <v>66</v>
      </c>
      <c r="V35" s="59" t="s">
        <v>190</v>
      </c>
      <c r="W35" s="143" t="s">
        <v>65</v>
      </c>
      <c r="X35" s="59" t="s">
        <v>189</v>
      </c>
      <c r="Y35" s="214" t="str">
        <f>W33</f>
        <v>GEOG1000</v>
      </c>
      <c r="Z35" s="59" t="s">
        <v>190</v>
      </c>
      <c r="AA35" s="143" t="s">
        <v>52</v>
      </c>
      <c r="AB35" s="59" t="s">
        <v>189</v>
      </c>
      <c r="AC35" s="214" t="s">
        <v>51</v>
      </c>
      <c r="AD35" s="59" t="s">
        <v>190</v>
      </c>
      <c r="AE35" s="193" t="s">
        <v>191</v>
      </c>
      <c r="AF35" s="59" t="s">
        <v>190</v>
      </c>
      <c r="AG35" s="193" t="s">
        <v>191</v>
      </c>
      <c r="AH35" s="59" t="s">
        <v>190</v>
      </c>
      <c r="AI35" s="143" t="s">
        <v>52</v>
      </c>
      <c r="AJ35" s="59" t="s">
        <v>189</v>
      </c>
      <c r="AK35" s="214" t="s">
        <v>53</v>
      </c>
      <c r="AL35" s="59" t="s">
        <v>190</v>
      </c>
      <c r="AM35" s="143" t="s">
        <v>55</v>
      </c>
      <c r="AN35" s="59" t="s">
        <v>189</v>
      </c>
      <c r="AO35" s="212" t="s">
        <v>54</v>
      </c>
      <c r="AP35" s="59" t="s">
        <v>190</v>
      </c>
      <c r="AQ35" s="221" t="s">
        <v>58</v>
      </c>
      <c r="AR35" s="59" t="s">
        <v>189</v>
      </c>
      <c r="AS35" s="225" t="s">
        <v>58</v>
      </c>
      <c r="AT35" s="59" t="s">
        <v>190</v>
      </c>
      <c r="AU35" s="143" t="s">
        <v>61</v>
      </c>
      <c r="AV35" s="59" t="s">
        <v>189</v>
      </c>
      <c r="AW35" s="93" t="s">
        <v>192</v>
      </c>
      <c r="AX35" s="59" t="s">
        <v>190</v>
      </c>
      <c r="AY35" s="143" t="s">
        <v>48</v>
      </c>
      <c r="AZ35" s="59" t="s">
        <v>189</v>
      </c>
      <c r="BA35" s="214" t="s">
        <v>62</v>
      </c>
      <c r="BB35" s="59" t="s">
        <v>190</v>
      </c>
      <c r="BC35" s="143" t="s">
        <v>63</v>
      </c>
      <c r="BD35" s="59" t="s">
        <v>189</v>
      </c>
      <c r="BE35" s="143" t="s">
        <v>64</v>
      </c>
      <c r="BF35" s="59" t="s">
        <v>190</v>
      </c>
      <c r="BG35" s="143" t="s">
        <v>67</v>
      </c>
      <c r="BH35" s="59" t="s">
        <v>189</v>
      </c>
      <c r="BI35" s="214" t="s">
        <v>66</v>
      </c>
      <c r="BJ35" s="59" t="s">
        <v>190</v>
      </c>
      <c r="BK35" s="143" t="s">
        <v>71</v>
      </c>
      <c r="BL35" s="59" t="s">
        <v>189</v>
      </c>
      <c r="BM35" s="214" t="s">
        <v>70</v>
      </c>
    </row>
    <row r="36" spans="1:65" ht="15.75" customHeight="1" x14ac:dyDescent="0.25">
      <c r="A36" s="8" t="s">
        <v>114</v>
      </c>
      <c r="B36" s="182" t="s">
        <v>115</v>
      </c>
      <c r="C36" s="182" t="s">
        <v>116</v>
      </c>
      <c r="D36" s="5" t="s">
        <v>112</v>
      </c>
      <c r="E36" s="181">
        <v>42005</v>
      </c>
      <c r="F36" s="181">
        <v>42005</v>
      </c>
      <c r="G36"/>
      <c r="H36"/>
      <c r="I36" s="21">
        <v>5</v>
      </c>
      <c r="J36" s="59"/>
      <c r="K36" s="143"/>
      <c r="L36" s="59"/>
      <c r="M36" s="212"/>
      <c r="N36" s="59"/>
      <c r="O36" s="143"/>
      <c r="P36" s="59"/>
      <c r="Q36" s="214"/>
      <c r="R36" s="59"/>
      <c r="S36" s="143"/>
      <c r="T36" s="59"/>
      <c r="U36" s="214"/>
      <c r="V36" s="59"/>
      <c r="W36" s="143"/>
      <c r="X36" s="59"/>
      <c r="Y36" s="214"/>
      <c r="Z36" s="59"/>
      <c r="AA36" s="143"/>
      <c r="AB36" s="59"/>
      <c r="AC36" s="214"/>
      <c r="AD36" s="59"/>
      <c r="AE36" s="193"/>
      <c r="AF36" s="59"/>
      <c r="AG36" s="193"/>
      <c r="AH36" s="59"/>
      <c r="AI36" s="143"/>
      <c r="AJ36" s="59"/>
      <c r="AK36" s="212"/>
      <c r="AL36" s="59"/>
      <c r="AM36" s="143"/>
      <c r="AN36" s="59"/>
      <c r="AO36" s="212"/>
      <c r="AP36" s="59"/>
      <c r="AQ36" s="143"/>
      <c r="AR36" s="59"/>
      <c r="AS36" s="212"/>
      <c r="AT36" s="59"/>
      <c r="AU36" s="143"/>
      <c r="AV36" s="59"/>
      <c r="AW36" s="93"/>
      <c r="AX36" s="59"/>
      <c r="AY36" s="143"/>
      <c r="AZ36" s="59"/>
      <c r="BA36" s="214"/>
      <c r="BB36" s="59"/>
      <c r="BC36" s="143"/>
      <c r="BD36" s="59"/>
      <c r="BE36" s="143"/>
      <c r="BF36" s="59"/>
      <c r="BG36" s="143"/>
      <c r="BH36" s="59"/>
      <c r="BI36" s="214"/>
      <c r="BJ36" s="59"/>
      <c r="BK36" s="143"/>
      <c r="BL36" s="59"/>
      <c r="BM36" s="214"/>
    </row>
    <row r="37" spans="1:65" ht="15.75" customHeight="1" x14ac:dyDescent="0.25">
      <c r="A37" s="8" t="s">
        <v>118</v>
      </c>
      <c r="B37" s="182" t="s">
        <v>119</v>
      </c>
      <c r="C37" s="182" t="s">
        <v>116</v>
      </c>
      <c r="D37" s="5" t="s">
        <v>112</v>
      </c>
      <c r="E37" s="181">
        <v>42005</v>
      </c>
      <c r="F37" s="181">
        <v>43831</v>
      </c>
      <c r="G37"/>
      <c r="H37"/>
      <c r="I37" s="21">
        <v>6</v>
      </c>
      <c r="J37" s="58" t="s">
        <v>103</v>
      </c>
      <c r="K37" s="145" t="s">
        <v>194</v>
      </c>
      <c r="L37" s="54" t="s">
        <v>105</v>
      </c>
      <c r="M37" s="213" t="s">
        <v>195</v>
      </c>
      <c r="N37" s="86" t="s">
        <v>103</v>
      </c>
      <c r="O37" s="142" t="s">
        <v>196</v>
      </c>
      <c r="P37" s="54" t="s">
        <v>105</v>
      </c>
      <c r="Q37" s="213" t="s">
        <v>197</v>
      </c>
      <c r="R37" s="54" t="s">
        <v>103</v>
      </c>
      <c r="S37" s="142" t="s">
        <v>198</v>
      </c>
      <c r="T37" s="54" t="s">
        <v>105</v>
      </c>
      <c r="U37" s="213" t="s">
        <v>199</v>
      </c>
      <c r="V37" s="54" t="s">
        <v>103</v>
      </c>
      <c r="W37" s="142" t="s">
        <v>200</v>
      </c>
      <c r="X37" s="54" t="s">
        <v>105</v>
      </c>
      <c r="Y37" s="213" t="str">
        <f>W39</f>
        <v>GEOG2000</v>
      </c>
      <c r="Z37" s="54" t="s">
        <v>103</v>
      </c>
      <c r="AA37" s="142" t="s">
        <v>201</v>
      </c>
      <c r="AB37" s="86" t="s">
        <v>105</v>
      </c>
      <c r="AC37" s="211" t="s">
        <v>202</v>
      </c>
      <c r="AD37" s="54" t="s">
        <v>103</v>
      </c>
      <c r="AE37" s="218" t="s">
        <v>203</v>
      </c>
      <c r="AF37" s="54" t="s">
        <v>103</v>
      </c>
      <c r="AG37" s="218" t="s">
        <v>203</v>
      </c>
      <c r="AH37" s="54" t="s">
        <v>103</v>
      </c>
      <c r="AI37" s="142" t="s">
        <v>204</v>
      </c>
      <c r="AJ37" s="86" t="s">
        <v>105</v>
      </c>
      <c r="AK37" s="211" t="s">
        <v>205</v>
      </c>
      <c r="AL37" s="54" t="s">
        <v>103</v>
      </c>
      <c r="AM37" s="142" t="s">
        <v>206</v>
      </c>
      <c r="AN37" s="86" t="s">
        <v>105</v>
      </c>
      <c r="AO37" s="211" t="s">
        <v>57</v>
      </c>
      <c r="AP37" s="54" t="s">
        <v>103</v>
      </c>
      <c r="AQ37" s="142" t="s">
        <v>207</v>
      </c>
      <c r="AR37" s="86" t="s">
        <v>105</v>
      </c>
      <c r="AS37" s="211" t="s">
        <v>208</v>
      </c>
      <c r="AT37" s="54" t="s">
        <v>103</v>
      </c>
      <c r="AU37" s="142" t="s">
        <v>209</v>
      </c>
      <c r="AV37" s="86" t="s">
        <v>105</v>
      </c>
      <c r="AW37" s="198" t="s">
        <v>192</v>
      </c>
      <c r="AX37" s="54" t="s">
        <v>103</v>
      </c>
      <c r="AY37" s="142" t="s">
        <v>210</v>
      </c>
      <c r="AZ37" s="86" t="s">
        <v>105</v>
      </c>
      <c r="BA37" s="213" t="s">
        <v>211</v>
      </c>
      <c r="BB37" s="54" t="s">
        <v>103</v>
      </c>
      <c r="BC37" s="142" t="s">
        <v>212</v>
      </c>
      <c r="BD37" s="86" t="s">
        <v>105</v>
      </c>
      <c r="BE37" s="142" t="s">
        <v>213</v>
      </c>
      <c r="BF37" s="54" t="s">
        <v>103</v>
      </c>
      <c r="BG37" s="142" t="s">
        <v>214</v>
      </c>
      <c r="BH37" s="86" t="s">
        <v>105</v>
      </c>
      <c r="BI37" s="213" t="s">
        <v>215</v>
      </c>
      <c r="BJ37" s="54" t="s">
        <v>103</v>
      </c>
      <c r="BK37" s="142" t="s">
        <v>216</v>
      </c>
      <c r="BL37" s="86" t="s">
        <v>105</v>
      </c>
      <c r="BM37" s="213" t="s">
        <v>217</v>
      </c>
    </row>
    <row r="38" spans="1:65" x14ac:dyDescent="0.25">
      <c r="A38" s="4" t="s">
        <v>13</v>
      </c>
      <c r="B38" s="182" t="s">
        <v>121</v>
      </c>
      <c r="C38" s="182" t="s">
        <v>111</v>
      </c>
      <c r="D38" s="5" t="s">
        <v>112</v>
      </c>
      <c r="E38" s="181">
        <v>43831</v>
      </c>
      <c r="F38" s="181">
        <v>43831</v>
      </c>
      <c r="G38"/>
      <c r="H38"/>
      <c r="I38" s="21">
        <v>7</v>
      </c>
      <c r="J38" s="59" t="s">
        <v>103</v>
      </c>
      <c r="K38" s="146" t="s">
        <v>218</v>
      </c>
      <c r="L38" s="56" t="s">
        <v>105</v>
      </c>
      <c r="M38" s="214" t="s">
        <v>219</v>
      </c>
      <c r="N38" s="1" t="s">
        <v>103</v>
      </c>
      <c r="O38" s="143" t="s">
        <v>220</v>
      </c>
      <c r="P38" s="56" t="s">
        <v>105</v>
      </c>
      <c r="Q38" s="214" t="s">
        <v>221</v>
      </c>
      <c r="R38" s="56" t="s">
        <v>103</v>
      </c>
      <c r="S38" s="143" t="s">
        <v>222</v>
      </c>
      <c r="T38" s="56" t="s">
        <v>105</v>
      </c>
      <c r="U38" s="214" t="s">
        <v>223</v>
      </c>
      <c r="V38" s="56" t="s">
        <v>103</v>
      </c>
      <c r="W38" s="143" t="s">
        <v>224</v>
      </c>
      <c r="X38" s="56" t="s">
        <v>105</v>
      </c>
      <c r="Y38" s="214" t="str">
        <f>W40</f>
        <v>PHGY2000</v>
      </c>
      <c r="Z38" s="56" t="s">
        <v>103</v>
      </c>
      <c r="AA38" s="143" t="s">
        <v>225</v>
      </c>
      <c r="AB38" s="1" t="s">
        <v>105</v>
      </c>
      <c r="AC38" s="212" t="s">
        <v>226</v>
      </c>
      <c r="AD38" s="56" t="s">
        <v>103</v>
      </c>
      <c r="AE38" s="193" t="s">
        <v>227</v>
      </c>
      <c r="AF38" s="56" t="s">
        <v>103</v>
      </c>
      <c r="AG38" s="193" t="s">
        <v>228</v>
      </c>
      <c r="AH38" s="56" t="s">
        <v>103</v>
      </c>
      <c r="AI38" s="143" t="s">
        <v>229</v>
      </c>
      <c r="AJ38" s="1" t="s">
        <v>105</v>
      </c>
      <c r="AK38" s="212" t="s">
        <v>230</v>
      </c>
      <c r="AL38" s="56" t="s">
        <v>103</v>
      </c>
      <c r="AM38" s="143" t="s">
        <v>56</v>
      </c>
      <c r="AN38" s="1" t="s">
        <v>105</v>
      </c>
      <c r="AO38" s="212" t="s">
        <v>231</v>
      </c>
      <c r="AP38" s="56" t="s">
        <v>103</v>
      </c>
      <c r="AQ38" s="143" t="s">
        <v>232</v>
      </c>
      <c r="AR38" s="1" t="s">
        <v>105</v>
      </c>
      <c r="AS38" s="212" t="s">
        <v>233</v>
      </c>
      <c r="AT38" s="56" t="s">
        <v>103</v>
      </c>
      <c r="AU38" s="143" t="s">
        <v>234</v>
      </c>
      <c r="AV38" s="1" t="s">
        <v>105</v>
      </c>
      <c r="AW38" s="93" t="s">
        <v>192</v>
      </c>
      <c r="AX38" s="56" t="s">
        <v>103</v>
      </c>
      <c r="AY38" s="143" t="s">
        <v>235</v>
      </c>
      <c r="AZ38" s="1" t="s">
        <v>105</v>
      </c>
      <c r="BA38" s="214" t="s">
        <v>235</v>
      </c>
      <c r="BB38" s="56" t="s">
        <v>103</v>
      </c>
      <c r="BC38" s="143" t="s">
        <v>236</v>
      </c>
      <c r="BD38" s="1" t="s">
        <v>105</v>
      </c>
      <c r="BE38" s="143" t="s">
        <v>237</v>
      </c>
      <c r="BF38" s="56" t="s">
        <v>103</v>
      </c>
      <c r="BG38" s="143" t="s">
        <v>238</v>
      </c>
      <c r="BH38" s="1" t="s">
        <v>105</v>
      </c>
      <c r="BI38" s="214" t="s">
        <v>239</v>
      </c>
      <c r="BJ38" s="56" t="s">
        <v>103</v>
      </c>
      <c r="BK38" s="143" t="s">
        <v>240</v>
      </c>
      <c r="BL38" s="1" t="s">
        <v>105</v>
      </c>
      <c r="BM38" s="214" t="s">
        <v>241</v>
      </c>
    </row>
    <row r="39" spans="1:65" x14ac:dyDescent="0.25">
      <c r="A39" s="4" t="s">
        <v>123</v>
      </c>
      <c r="B39" s="182" t="s">
        <v>124</v>
      </c>
      <c r="C39" s="182" t="s">
        <v>125</v>
      </c>
      <c r="D39" s="5" t="s">
        <v>112</v>
      </c>
      <c r="E39" s="181">
        <v>44562</v>
      </c>
      <c r="F39" s="177">
        <v>45292</v>
      </c>
      <c r="G39"/>
      <c r="H39"/>
      <c r="I39" s="21">
        <v>8</v>
      </c>
      <c r="J39" s="59" t="s">
        <v>105</v>
      </c>
      <c r="K39" s="146" t="s">
        <v>195</v>
      </c>
      <c r="L39" s="56" t="s">
        <v>103</v>
      </c>
      <c r="M39" s="214" t="s">
        <v>194</v>
      </c>
      <c r="N39" s="1" t="s">
        <v>105</v>
      </c>
      <c r="O39" s="143" t="s">
        <v>197</v>
      </c>
      <c r="P39" s="56" t="s">
        <v>103</v>
      </c>
      <c r="Q39" s="214" t="s">
        <v>196</v>
      </c>
      <c r="R39" s="56" t="s">
        <v>105</v>
      </c>
      <c r="S39" s="143" t="s">
        <v>199</v>
      </c>
      <c r="T39" s="56" t="s">
        <v>103</v>
      </c>
      <c r="U39" s="214" t="s">
        <v>198</v>
      </c>
      <c r="V39" s="56" t="s">
        <v>105</v>
      </c>
      <c r="W39" s="143" t="s">
        <v>242</v>
      </c>
      <c r="X39" s="56" t="s">
        <v>103</v>
      </c>
      <c r="Y39" s="214" t="str">
        <f>W37</f>
        <v>GEOG2001</v>
      </c>
      <c r="Z39" s="56" t="s">
        <v>105</v>
      </c>
      <c r="AA39" s="143" t="s">
        <v>202</v>
      </c>
      <c r="AB39" s="1" t="s">
        <v>103</v>
      </c>
      <c r="AC39" s="212" t="s">
        <v>201</v>
      </c>
      <c r="AD39" s="56" t="s">
        <v>105</v>
      </c>
      <c r="AE39" s="219" t="s">
        <v>243</v>
      </c>
      <c r="AF39" s="56" t="s">
        <v>105</v>
      </c>
      <c r="AG39" s="219" t="s">
        <v>243</v>
      </c>
      <c r="AH39" s="56" t="s">
        <v>105</v>
      </c>
      <c r="AI39" s="143" t="s">
        <v>205</v>
      </c>
      <c r="AJ39" s="1" t="s">
        <v>103</v>
      </c>
      <c r="AK39" s="212" t="s">
        <v>204</v>
      </c>
      <c r="AL39" s="56" t="s">
        <v>105</v>
      </c>
      <c r="AM39" s="143" t="s">
        <v>57</v>
      </c>
      <c r="AN39" s="1" t="s">
        <v>103</v>
      </c>
      <c r="AO39" s="212" t="s">
        <v>206</v>
      </c>
      <c r="AP39" s="56" t="s">
        <v>105</v>
      </c>
      <c r="AQ39" s="143" t="s">
        <v>208</v>
      </c>
      <c r="AR39" s="1" t="s">
        <v>103</v>
      </c>
      <c r="AS39" s="212" t="s">
        <v>207</v>
      </c>
      <c r="AT39" s="56" t="s">
        <v>105</v>
      </c>
      <c r="AU39" s="143" t="s">
        <v>244</v>
      </c>
      <c r="AV39" s="1" t="s">
        <v>103</v>
      </c>
      <c r="AW39" s="93" t="s">
        <v>192</v>
      </c>
      <c r="AX39" s="56" t="s">
        <v>105</v>
      </c>
      <c r="AY39" s="143" t="s">
        <v>211</v>
      </c>
      <c r="AZ39" s="1" t="s">
        <v>103</v>
      </c>
      <c r="BA39" s="214" t="s">
        <v>210</v>
      </c>
      <c r="BB39" s="56" t="s">
        <v>105</v>
      </c>
      <c r="BC39" s="143" t="s">
        <v>213</v>
      </c>
      <c r="BD39" s="1" t="s">
        <v>103</v>
      </c>
      <c r="BE39" s="143" t="s">
        <v>212</v>
      </c>
      <c r="BF39" s="56" t="s">
        <v>105</v>
      </c>
      <c r="BG39" s="143" t="s">
        <v>215</v>
      </c>
      <c r="BH39" s="1" t="s">
        <v>103</v>
      </c>
      <c r="BI39" s="214" t="s">
        <v>214</v>
      </c>
      <c r="BJ39" s="56" t="s">
        <v>105</v>
      </c>
      <c r="BK39" s="143" t="s">
        <v>217</v>
      </c>
      <c r="BL39" s="1" t="s">
        <v>103</v>
      </c>
      <c r="BM39" s="214" t="s">
        <v>216</v>
      </c>
    </row>
    <row r="40" spans="1:65" x14ac:dyDescent="0.25">
      <c r="A40" s="8" t="s">
        <v>129</v>
      </c>
      <c r="B40" s="181" t="s">
        <v>130</v>
      </c>
      <c r="C40" s="177" t="s">
        <v>111</v>
      </c>
      <c r="D40" s="5" t="s">
        <v>112</v>
      </c>
      <c r="E40" s="177">
        <v>45292</v>
      </c>
      <c r="F40" s="162">
        <v>45292</v>
      </c>
      <c r="G40"/>
      <c r="H40"/>
      <c r="I40" s="21">
        <v>9</v>
      </c>
      <c r="J40" s="59" t="s">
        <v>105</v>
      </c>
      <c r="K40" s="146" t="s">
        <v>219</v>
      </c>
      <c r="L40" s="56" t="s">
        <v>103</v>
      </c>
      <c r="M40" s="214" t="s">
        <v>218</v>
      </c>
      <c r="N40" s="1" t="s">
        <v>105</v>
      </c>
      <c r="O40" s="143" t="s">
        <v>221</v>
      </c>
      <c r="P40" s="56" t="s">
        <v>103</v>
      </c>
      <c r="Q40" s="214" t="s">
        <v>220</v>
      </c>
      <c r="R40" s="56" t="s">
        <v>105</v>
      </c>
      <c r="S40" s="143" t="s">
        <v>223</v>
      </c>
      <c r="T40" s="56" t="s">
        <v>103</v>
      </c>
      <c r="U40" s="214" t="s">
        <v>222</v>
      </c>
      <c r="V40" s="56" t="s">
        <v>105</v>
      </c>
      <c r="W40" s="143" t="s">
        <v>245</v>
      </c>
      <c r="X40" s="56" t="s">
        <v>103</v>
      </c>
      <c r="Y40" s="214" t="str">
        <f>W38</f>
        <v>GEOG2002</v>
      </c>
      <c r="Z40" s="56" t="s">
        <v>105</v>
      </c>
      <c r="AA40" s="143" t="s">
        <v>226</v>
      </c>
      <c r="AB40" s="1" t="s">
        <v>103</v>
      </c>
      <c r="AC40" s="212" t="s">
        <v>225</v>
      </c>
      <c r="AD40" s="56" t="s">
        <v>105</v>
      </c>
      <c r="AE40" s="193" t="s">
        <v>228</v>
      </c>
      <c r="AF40" s="56" t="s">
        <v>105</v>
      </c>
      <c r="AG40" s="193" t="s">
        <v>227</v>
      </c>
      <c r="AH40" s="56" t="s">
        <v>105</v>
      </c>
      <c r="AI40" s="143" t="s">
        <v>230</v>
      </c>
      <c r="AJ40" s="1" t="s">
        <v>103</v>
      </c>
      <c r="AK40" s="212" t="s">
        <v>229</v>
      </c>
      <c r="AL40" s="56" t="s">
        <v>105</v>
      </c>
      <c r="AM40" s="143" t="s">
        <v>231</v>
      </c>
      <c r="AN40" s="1" t="s">
        <v>103</v>
      </c>
      <c r="AO40" s="212" t="s">
        <v>56</v>
      </c>
      <c r="AP40" s="56" t="s">
        <v>105</v>
      </c>
      <c r="AQ40" s="143" t="s">
        <v>233</v>
      </c>
      <c r="AR40" s="1" t="s">
        <v>103</v>
      </c>
      <c r="AS40" s="212" t="s">
        <v>232</v>
      </c>
      <c r="AT40" s="56" t="s">
        <v>105</v>
      </c>
      <c r="AU40" s="196" t="s">
        <v>246</v>
      </c>
      <c r="AV40" s="1" t="s">
        <v>103</v>
      </c>
      <c r="AW40" s="93" t="s">
        <v>192</v>
      </c>
      <c r="AX40" s="56" t="s">
        <v>105</v>
      </c>
      <c r="AY40" s="143" t="s">
        <v>235</v>
      </c>
      <c r="AZ40" s="1" t="s">
        <v>103</v>
      </c>
      <c r="BA40" s="214" t="s">
        <v>235</v>
      </c>
      <c r="BB40" s="56" t="s">
        <v>105</v>
      </c>
      <c r="BC40" s="143" t="s">
        <v>237</v>
      </c>
      <c r="BD40" s="1" t="s">
        <v>103</v>
      </c>
      <c r="BE40" s="143" t="s">
        <v>236</v>
      </c>
      <c r="BF40" s="56" t="s">
        <v>105</v>
      </c>
      <c r="BG40" s="143" t="s">
        <v>239</v>
      </c>
      <c r="BH40" s="1" t="s">
        <v>103</v>
      </c>
      <c r="BI40" s="214" t="s">
        <v>238</v>
      </c>
      <c r="BJ40" s="56" t="s">
        <v>105</v>
      </c>
      <c r="BK40" s="143" t="s">
        <v>241</v>
      </c>
      <c r="BL40" s="1" t="s">
        <v>103</v>
      </c>
      <c r="BM40" s="214" t="s">
        <v>240</v>
      </c>
    </row>
    <row r="41" spans="1:65" x14ac:dyDescent="0.25">
      <c r="A41" s="8" t="s">
        <v>132</v>
      </c>
      <c r="B41" s="181" t="s">
        <v>133</v>
      </c>
      <c r="C41" s="177" t="s">
        <v>111</v>
      </c>
      <c r="D41" s="5" t="s">
        <v>112</v>
      </c>
      <c r="E41" s="162">
        <v>45292</v>
      </c>
      <c r="F41" s="162">
        <v>45292</v>
      </c>
      <c r="H41"/>
      <c r="I41" s="21">
        <v>10</v>
      </c>
      <c r="J41" s="56" t="s">
        <v>127</v>
      </c>
      <c r="K41" s="146" t="s">
        <v>247</v>
      </c>
      <c r="L41" s="56" t="s">
        <v>128</v>
      </c>
      <c r="M41" s="214" t="s">
        <v>248</v>
      </c>
      <c r="N41" s="1" t="s">
        <v>127</v>
      </c>
      <c r="O41" s="143" t="s">
        <v>249</v>
      </c>
      <c r="P41" s="56" t="s">
        <v>128</v>
      </c>
      <c r="Q41" s="214" t="s">
        <v>250</v>
      </c>
      <c r="R41" s="56" t="s">
        <v>127</v>
      </c>
      <c r="S41" s="143" t="s">
        <v>251</v>
      </c>
      <c r="T41" s="56" t="s">
        <v>128</v>
      </c>
      <c r="U41" s="214" t="s">
        <v>252</v>
      </c>
      <c r="V41" s="56" t="s">
        <v>127</v>
      </c>
      <c r="W41" s="143" t="s">
        <v>253</v>
      </c>
      <c r="X41" s="56" t="s">
        <v>128</v>
      </c>
      <c r="Y41" s="214" t="str">
        <f>W43</f>
        <v>PHGY3000</v>
      </c>
      <c r="Z41" s="56" t="s">
        <v>127</v>
      </c>
      <c r="AA41" s="143" t="s">
        <v>254</v>
      </c>
      <c r="AB41" s="1" t="s">
        <v>128</v>
      </c>
      <c r="AC41" s="212" t="s">
        <v>255</v>
      </c>
      <c r="AD41" s="56" t="s">
        <v>127</v>
      </c>
      <c r="AE41" s="193" t="s">
        <v>256</v>
      </c>
      <c r="AF41" s="56" t="s">
        <v>127</v>
      </c>
      <c r="AG41" s="193" t="s">
        <v>257</v>
      </c>
      <c r="AH41" s="56" t="s">
        <v>127</v>
      </c>
      <c r="AI41" s="143" t="s">
        <v>258</v>
      </c>
      <c r="AJ41" s="1" t="s">
        <v>128</v>
      </c>
      <c r="AK41" s="212" t="s">
        <v>259</v>
      </c>
      <c r="AL41" s="56" t="s">
        <v>127</v>
      </c>
      <c r="AM41" s="143" t="s">
        <v>260</v>
      </c>
      <c r="AN41" s="1" t="s">
        <v>128</v>
      </c>
      <c r="AO41" s="212" t="s">
        <v>261</v>
      </c>
      <c r="AP41" s="56" t="s">
        <v>127</v>
      </c>
      <c r="AQ41" s="221" t="s">
        <v>262</v>
      </c>
      <c r="AR41" s="1" t="s">
        <v>128</v>
      </c>
      <c r="AS41" s="212" t="s">
        <v>263</v>
      </c>
      <c r="AT41" s="56" t="s">
        <v>127</v>
      </c>
      <c r="AU41" s="143" t="s">
        <v>264</v>
      </c>
      <c r="AV41" s="1" t="s">
        <v>128</v>
      </c>
      <c r="AW41" s="93" t="s">
        <v>192</v>
      </c>
      <c r="AX41" s="56" t="s">
        <v>127</v>
      </c>
      <c r="AY41" s="143" t="s">
        <v>256</v>
      </c>
      <c r="AZ41" s="1" t="s">
        <v>128</v>
      </c>
      <c r="BA41" s="214" t="s">
        <v>265</v>
      </c>
      <c r="BB41" s="56" t="s">
        <v>127</v>
      </c>
      <c r="BC41" s="143" t="s">
        <v>266</v>
      </c>
      <c r="BD41" s="1" t="s">
        <v>128</v>
      </c>
      <c r="BE41" s="143" t="s">
        <v>267</v>
      </c>
      <c r="BF41" s="56" t="s">
        <v>127</v>
      </c>
      <c r="BG41" s="143" t="s">
        <v>268</v>
      </c>
      <c r="BH41" s="1" t="s">
        <v>128</v>
      </c>
      <c r="BI41" s="214" t="s">
        <v>269</v>
      </c>
      <c r="BJ41" s="56" t="s">
        <v>127</v>
      </c>
      <c r="BK41" s="143" t="s">
        <v>270</v>
      </c>
      <c r="BL41" s="1" t="s">
        <v>128</v>
      </c>
      <c r="BM41" s="214" t="s">
        <v>271</v>
      </c>
    </row>
    <row r="42" spans="1:65" x14ac:dyDescent="0.25">
      <c r="A42" s="169" t="s">
        <v>135</v>
      </c>
      <c r="B42" s="161" t="s">
        <v>136</v>
      </c>
      <c r="C42" s="161" t="s">
        <v>116</v>
      </c>
      <c r="D42" s="5" t="s">
        <v>112</v>
      </c>
      <c r="E42" s="162">
        <v>45292</v>
      </c>
      <c r="F42" s="162">
        <v>45292</v>
      </c>
      <c r="H42"/>
      <c r="I42" s="21">
        <v>11</v>
      </c>
      <c r="J42" s="56" t="s">
        <v>127</v>
      </c>
      <c r="K42" s="146" t="s">
        <v>272</v>
      </c>
      <c r="L42" s="56" t="s">
        <v>128</v>
      </c>
      <c r="M42" s="214" t="s">
        <v>273</v>
      </c>
      <c r="N42" s="1" t="s">
        <v>127</v>
      </c>
      <c r="O42" s="143" t="s">
        <v>274</v>
      </c>
      <c r="P42" s="56" t="s">
        <v>128</v>
      </c>
      <c r="Q42" s="214" t="s">
        <v>275</v>
      </c>
      <c r="R42" s="56" t="s">
        <v>127</v>
      </c>
      <c r="S42" s="143" t="s">
        <v>276</v>
      </c>
      <c r="T42" s="56" t="s">
        <v>128</v>
      </c>
      <c r="U42" s="214" t="s">
        <v>277</v>
      </c>
      <c r="V42" s="56" t="s">
        <v>127</v>
      </c>
      <c r="W42" s="143" t="s">
        <v>278</v>
      </c>
      <c r="X42" s="56" t="s">
        <v>128</v>
      </c>
      <c r="Y42" s="214" t="str">
        <f>W44</f>
        <v>GEOG3000</v>
      </c>
      <c r="Z42" s="56" t="s">
        <v>127</v>
      </c>
      <c r="AA42" s="143" t="s">
        <v>279</v>
      </c>
      <c r="AB42" s="1" t="s">
        <v>128</v>
      </c>
      <c r="AC42" s="212" t="s">
        <v>280</v>
      </c>
      <c r="AD42" s="56" t="s">
        <v>127</v>
      </c>
      <c r="AE42" s="193" t="s">
        <v>278</v>
      </c>
      <c r="AF42" s="56" t="s">
        <v>127</v>
      </c>
      <c r="AG42" s="193" t="s">
        <v>281</v>
      </c>
      <c r="AH42" s="56" t="s">
        <v>127</v>
      </c>
      <c r="AI42" s="143" t="s">
        <v>282</v>
      </c>
      <c r="AJ42" s="1" t="s">
        <v>128</v>
      </c>
      <c r="AK42" s="212" t="s">
        <v>283</v>
      </c>
      <c r="AL42" s="56" t="s">
        <v>127</v>
      </c>
      <c r="AM42" s="143" t="s">
        <v>284</v>
      </c>
      <c r="AN42" s="1" t="s">
        <v>128</v>
      </c>
      <c r="AO42" s="212" t="s">
        <v>285</v>
      </c>
      <c r="AP42" s="56" t="s">
        <v>127</v>
      </c>
      <c r="AQ42" s="143" t="s">
        <v>286</v>
      </c>
      <c r="AR42" s="1" t="s">
        <v>128</v>
      </c>
      <c r="AS42" s="225" t="s">
        <v>262</v>
      </c>
      <c r="AT42" s="56" t="s">
        <v>127</v>
      </c>
      <c r="AU42" s="196" t="s">
        <v>287</v>
      </c>
      <c r="AV42" s="1" t="s">
        <v>128</v>
      </c>
      <c r="AW42" s="93" t="s">
        <v>192</v>
      </c>
      <c r="AX42" s="56" t="s">
        <v>127</v>
      </c>
      <c r="AY42" s="143" t="s">
        <v>288</v>
      </c>
      <c r="AZ42" s="1" t="s">
        <v>128</v>
      </c>
      <c r="BA42" s="214" t="s">
        <v>288</v>
      </c>
      <c r="BB42" s="56" t="s">
        <v>127</v>
      </c>
      <c r="BC42" s="143" t="s">
        <v>289</v>
      </c>
      <c r="BD42" s="1" t="s">
        <v>128</v>
      </c>
      <c r="BE42" s="143" t="s">
        <v>290</v>
      </c>
      <c r="BF42" s="56" t="s">
        <v>127</v>
      </c>
      <c r="BG42" s="143" t="s">
        <v>291</v>
      </c>
      <c r="BH42" s="1" t="s">
        <v>128</v>
      </c>
      <c r="BI42" s="214" t="s">
        <v>292</v>
      </c>
      <c r="BJ42" s="56" t="s">
        <v>127</v>
      </c>
      <c r="BK42" s="143" t="s">
        <v>293</v>
      </c>
      <c r="BL42" s="1" t="s">
        <v>128</v>
      </c>
      <c r="BM42" s="214" t="s">
        <v>294</v>
      </c>
    </row>
    <row r="43" spans="1:65" x14ac:dyDescent="0.25">
      <c r="A43" s="8" t="s">
        <v>138</v>
      </c>
      <c r="B43" s="182" t="s">
        <v>139</v>
      </c>
      <c r="C43" s="161" t="s">
        <v>111</v>
      </c>
      <c r="D43" s="5" t="s">
        <v>112</v>
      </c>
      <c r="E43" s="162">
        <v>45292</v>
      </c>
      <c r="F43" s="162">
        <v>45292</v>
      </c>
      <c r="H43"/>
      <c r="I43" s="21">
        <v>12</v>
      </c>
      <c r="J43" s="56" t="s">
        <v>128</v>
      </c>
      <c r="K43" s="146" t="s">
        <v>248</v>
      </c>
      <c r="L43" s="56" t="s">
        <v>127</v>
      </c>
      <c r="M43" s="214" t="s">
        <v>247</v>
      </c>
      <c r="N43" s="1" t="s">
        <v>128</v>
      </c>
      <c r="O43" s="143" t="s">
        <v>250</v>
      </c>
      <c r="P43" s="56" t="s">
        <v>127</v>
      </c>
      <c r="Q43" s="214" t="s">
        <v>249</v>
      </c>
      <c r="R43" s="56" t="s">
        <v>128</v>
      </c>
      <c r="S43" s="143" t="s">
        <v>252</v>
      </c>
      <c r="T43" s="56" t="s">
        <v>127</v>
      </c>
      <c r="U43" s="214" t="s">
        <v>251</v>
      </c>
      <c r="V43" s="56" t="s">
        <v>128</v>
      </c>
      <c r="W43" s="143" t="s">
        <v>295</v>
      </c>
      <c r="X43" s="56" t="s">
        <v>127</v>
      </c>
      <c r="Y43" s="214" t="str">
        <f>W41</f>
        <v>PHGY3002</v>
      </c>
      <c r="Z43" s="56" t="s">
        <v>128</v>
      </c>
      <c r="AA43" s="143" t="s">
        <v>255</v>
      </c>
      <c r="AB43" s="1" t="s">
        <v>127</v>
      </c>
      <c r="AC43" s="212" t="s">
        <v>254</v>
      </c>
      <c r="AD43" s="56" t="s">
        <v>128</v>
      </c>
      <c r="AE43" s="193" t="s">
        <v>257</v>
      </c>
      <c r="AF43" s="56" t="s">
        <v>128</v>
      </c>
      <c r="AG43" s="193" t="s">
        <v>256</v>
      </c>
      <c r="AH43" s="56" t="s">
        <v>128</v>
      </c>
      <c r="AI43" s="143" t="s">
        <v>259</v>
      </c>
      <c r="AJ43" s="1" t="s">
        <v>127</v>
      </c>
      <c r="AK43" s="212" t="s">
        <v>258</v>
      </c>
      <c r="AL43" s="56" t="s">
        <v>128</v>
      </c>
      <c r="AM43" s="143" t="s">
        <v>261</v>
      </c>
      <c r="AN43" s="1" t="s">
        <v>127</v>
      </c>
      <c r="AO43" s="212" t="s">
        <v>260</v>
      </c>
      <c r="AP43" s="56" t="s">
        <v>128</v>
      </c>
      <c r="AQ43" s="143" t="s">
        <v>263</v>
      </c>
      <c r="AR43" s="1" t="s">
        <v>127</v>
      </c>
      <c r="AS43" s="212" t="s">
        <v>286</v>
      </c>
      <c r="AT43" s="56" t="s">
        <v>128</v>
      </c>
      <c r="AU43" s="143" t="s">
        <v>296</v>
      </c>
      <c r="AV43" s="1" t="s">
        <v>127</v>
      </c>
      <c r="AW43" s="93" t="s">
        <v>192</v>
      </c>
      <c r="AX43" s="56" t="s">
        <v>128</v>
      </c>
      <c r="AY43" s="143" t="s">
        <v>265</v>
      </c>
      <c r="AZ43" s="1" t="s">
        <v>127</v>
      </c>
      <c r="BA43" s="214" t="s">
        <v>256</v>
      </c>
      <c r="BB43" s="56" t="s">
        <v>128</v>
      </c>
      <c r="BC43" s="143" t="s">
        <v>267</v>
      </c>
      <c r="BD43" s="1" t="s">
        <v>127</v>
      </c>
      <c r="BE43" s="143" t="s">
        <v>266</v>
      </c>
      <c r="BF43" s="56" t="s">
        <v>128</v>
      </c>
      <c r="BG43" s="143" t="s">
        <v>269</v>
      </c>
      <c r="BH43" s="1" t="s">
        <v>127</v>
      </c>
      <c r="BI43" s="214" t="s">
        <v>268</v>
      </c>
      <c r="BJ43" s="56" t="s">
        <v>128</v>
      </c>
      <c r="BK43" s="143" t="s">
        <v>271</v>
      </c>
      <c r="BL43" s="1" t="s">
        <v>127</v>
      </c>
      <c r="BM43" s="214" t="s">
        <v>270</v>
      </c>
    </row>
    <row r="44" spans="1:65" x14ac:dyDescent="0.25">
      <c r="A44" s="8" t="s">
        <v>141</v>
      </c>
      <c r="B44" s="182" t="s">
        <v>142</v>
      </c>
      <c r="C44" s="182" t="s">
        <v>116</v>
      </c>
      <c r="D44" s="5" t="s">
        <v>112</v>
      </c>
      <c r="E44" s="181">
        <v>42005</v>
      </c>
      <c r="F44" s="181">
        <v>42005</v>
      </c>
      <c r="H44"/>
      <c r="I44" s="21">
        <v>13</v>
      </c>
      <c r="J44" s="57" t="s">
        <v>128</v>
      </c>
      <c r="K44" s="147" t="s">
        <v>273</v>
      </c>
      <c r="L44" s="57" t="s">
        <v>127</v>
      </c>
      <c r="M44" s="215" t="s">
        <v>272</v>
      </c>
      <c r="N44" s="87" t="s">
        <v>128</v>
      </c>
      <c r="O44" s="144" t="s">
        <v>275</v>
      </c>
      <c r="P44" s="57" t="s">
        <v>127</v>
      </c>
      <c r="Q44" s="215" t="s">
        <v>274</v>
      </c>
      <c r="R44" s="57" t="s">
        <v>128</v>
      </c>
      <c r="S44" s="144" t="s">
        <v>277</v>
      </c>
      <c r="T44" s="57" t="s">
        <v>127</v>
      </c>
      <c r="U44" s="215" t="s">
        <v>276</v>
      </c>
      <c r="V44" s="57" t="s">
        <v>128</v>
      </c>
      <c r="W44" s="144" t="s">
        <v>297</v>
      </c>
      <c r="X44" s="57" t="s">
        <v>127</v>
      </c>
      <c r="Y44" s="215" t="str">
        <f>W42</f>
        <v>GEOG3001</v>
      </c>
      <c r="Z44" s="57" t="s">
        <v>128</v>
      </c>
      <c r="AA44" s="144" t="s">
        <v>280</v>
      </c>
      <c r="AB44" s="87" t="s">
        <v>127</v>
      </c>
      <c r="AC44" s="217" t="s">
        <v>279</v>
      </c>
      <c r="AD44" s="57" t="s">
        <v>128</v>
      </c>
      <c r="AE44" s="194" t="s">
        <v>281</v>
      </c>
      <c r="AF44" s="57" t="s">
        <v>128</v>
      </c>
      <c r="AG44" s="194" t="s">
        <v>278</v>
      </c>
      <c r="AH44" s="57" t="s">
        <v>128</v>
      </c>
      <c r="AI44" s="144" t="s">
        <v>283</v>
      </c>
      <c r="AJ44" s="87" t="s">
        <v>127</v>
      </c>
      <c r="AK44" s="217" t="s">
        <v>282</v>
      </c>
      <c r="AL44" s="57" t="s">
        <v>128</v>
      </c>
      <c r="AM44" s="144" t="s">
        <v>285</v>
      </c>
      <c r="AN44" s="87" t="s">
        <v>127</v>
      </c>
      <c r="AO44" s="217" t="s">
        <v>284</v>
      </c>
      <c r="AP44" s="57" t="s">
        <v>128</v>
      </c>
      <c r="AQ44" s="222" t="s">
        <v>286</v>
      </c>
      <c r="AR44" s="87" t="s">
        <v>127</v>
      </c>
      <c r="AS44" s="226" t="s">
        <v>286</v>
      </c>
      <c r="AT44" s="57" t="s">
        <v>128</v>
      </c>
      <c r="AU44" s="144" t="s">
        <v>298</v>
      </c>
      <c r="AV44" s="87" t="s">
        <v>127</v>
      </c>
      <c r="AW44" s="94" t="s">
        <v>192</v>
      </c>
      <c r="AX44" s="57" t="s">
        <v>128</v>
      </c>
      <c r="AY44" s="144" t="s">
        <v>288</v>
      </c>
      <c r="AZ44" s="87" t="s">
        <v>127</v>
      </c>
      <c r="BA44" s="215" t="s">
        <v>288</v>
      </c>
      <c r="BB44" s="57" t="s">
        <v>128</v>
      </c>
      <c r="BC44" s="144" t="s">
        <v>290</v>
      </c>
      <c r="BD44" s="87" t="s">
        <v>127</v>
      </c>
      <c r="BE44" s="144" t="s">
        <v>289</v>
      </c>
      <c r="BF44" s="57" t="s">
        <v>128</v>
      </c>
      <c r="BG44" s="144" t="s">
        <v>292</v>
      </c>
      <c r="BH44" s="87" t="s">
        <v>127</v>
      </c>
      <c r="BI44" s="215" t="s">
        <v>291</v>
      </c>
      <c r="BJ44" s="57" t="s">
        <v>128</v>
      </c>
      <c r="BK44" s="144" t="s">
        <v>294</v>
      </c>
      <c r="BL44" s="87" t="s">
        <v>127</v>
      </c>
      <c r="BM44" s="215" t="s">
        <v>293</v>
      </c>
    </row>
    <row r="45" spans="1:65" x14ac:dyDescent="0.25">
      <c r="A45" s="8" t="s">
        <v>143</v>
      </c>
      <c r="B45" s="182" t="s">
        <v>144</v>
      </c>
      <c r="C45" s="182" t="s">
        <v>111</v>
      </c>
      <c r="D45" s="5" t="s">
        <v>112</v>
      </c>
      <c r="E45" s="181">
        <v>43101</v>
      </c>
      <c r="F45" s="162">
        <v>45292</v>
      </c>
      <c r="H45"/>
      <c r="I45" s="21">
        <v>14</v>
      </c>
      <c r="J45" s="58"/>
      <c r="K45" s="75" t="s">
        <v>299</v>
      </c>
      <c r="L45" s="91"/>
      <c r="M45" s="91" t="s">
        <v>299</v>
      </c>
      <c r="N45" s="54"/>
      <c r="O45" s="62" t="s">
        <v>299</v>
      </c>
      <c r="P45" s="54"/>
      <c r="Q45" s="75" t="s">
        <v>299</v>
      </c>
      <c r="R45" s="54"/>
      <c r="S45" s="142" t="s">
        <v>276</v>
      </c>
      <c r="T45" s="54"/>
      <c r="U45" s="213" t="s">
        <v>276</v>
      </c>
      <c r="V45" s="54"/>
      <c r="W45" s="62" t="s">
        <v>299</v>
      </c>
      <c r="X45" s="54"/>
      <c r="Y45" s="62" t="s">
        <v>299</v>
      </c>
      <c r="Z45" s="54"/>
      <c r="AA45" s="62" t="s">
        <v>299</v>
      </c>
      <c r="AB45" s="86"/>
      <c r="AC45" s="88" t="s">
        <v>299</v>
      </c>
      <c r="AD45" s="54"/>
      <c r="AE45" s="62" t="s">
        <v>299</v>
      </c>
      <c r="AF45" s="54"/>
      <c r="AG45" s="62" t="s">
        <v>299</v>
      </c>
      <c r="AH45" s="54"/>
      <c r="AI45" s="142" t="s">
        <v>299</v>
      </c>
      <c r="AJ45" s="86"/>
      <c r="AK45" s="88" t="s">
        <v>299</v>
      </c>
      <c r="AL45" s="54"/>
      <c r="AM45" s="62" t="s">
        <v>299</v>
      </c>
      <c r="AN45" s="86"/>
      <c r="AO45" s="86" t="s">
        <v>299</v>
      </c>
      <c r="AP45" s="54"/>
      <c r="AQ45" s="142" t="s">
        <v>286</v>
      </c>
      <c r="AR45" s="86"/>
      <c r="AS45" s="211" t="s">
        <v>286</v>
      </c>
      <c r="AT45" s="54"/>
      <c r="AU45" s="195" t="s">
        <v>246</v>
      </c>
      <c r="AV45" s="86"/>
      <c r="AW45" s="198" t="s">
        <v>192</v>
      </c>
      <c r="AX45" s="54"/>
      <c r="AY45" s="143" t="s">
        <v>235</v>
      </c>
      <c r="AZ45" s="54"/>
      <c r="BA45" s="214" t="s">
        <v>235</v>
      </c>
      <c r="BB45" s="54"/>
      <c r="BC45" s="142" t="s">
        <v>289</v>
      </c>
      <c r="BD45" s="54"/>
      <c r="BE45" s="142" t="s">
        <v>289</v>
      </c>
      <c r="BF45" s="54"/>
      <c r="BG45" s="148" t="s">
        <v>299</v>
      </c>
      <c r="BH45" s="54"/>
      <c r="BI45" s="75" t="s">
        <v>299</v>
      </c>
      <c r="BJ45" s="54"/>
      <c r="BK45" s="148" t="s">
        <v>299</v>
      </c>
      <c r="BL45" s="54"/>
      <c r="BM45" s="148" t="s">
        <v>299</v>
      </c>
    </row>
    <row r="46" spans="1:65" x14ac:dyDescent="0.25">
      <c r="A46" s="53" t="s">
        <v>146</v>
      </c>
      <c r="B46" s="182" t="s">
        <v>147</v>
      </c>
      <c r="C46" s="182" t="s">
        <v>116</v>
      </c>
      <c r="D46" s="5" t="s">
        <v>112</v>
      </c>
      <c r="E46" s="181">
        <v>44927</v>
      </c>
      <c r="F46" s="181">
        <v>44927</v>
      </c>
      <c r="H46"/>
      <c r="I46" s="21">
        <v>15</v>
      </c>
      <c r="J46" s="59"/>
      <c r="K46" s="63"/>
      <c r="L46" s="1"/>
      <c r="M46" s="1"/>
      <c r="N46" s="56"/>
      <c r="O46" s="63"/>
      <c r="P46" s="56"/>
      <c r="Q46" s="63"/>
      <c r="R46" s="56"/>
      <c r="S46" s="143" t="s">
        <v>300</v>
      </c>
      <c r="T46" s="56"/>
      <c r="U46" s="214" t="s">
        <v>300</v>
      </c>
      <c r="V46" s="56"/>
      <c r="W46" s="63"/>
      <c r="X46" s="1"/>
      <c r="Y46" s="1"/>
      <c r="Z46" s="56"/>
      <c r="AA46" s="63"/>
      <c r="AB46" s="1"/>
      <c r="AC46" s="1"/>
      <c r="AD46" s="56"/>
      <c r="AE46" s="63"/>
      <c r="AF46" s="56"/>
      <c r="AG46" s="63"/>
      <c r="AH46" s="56"/>
      <c r="AI46" s="63"/>
      <c r="AJ46" s="1"/>
      <c r="AK46" s="1"/>
      <c r="AL46" s="56"/>
      <c r="AM46" s="63"/>
      <c r="AN46" s="1"/>
      <c r="AO46" s="1"/>
      <c r="AP46" s="56"/>
      <c r="AQ46" s="143" t="s">
        <v>301</v>
      </c>
      <c r="AR46" s="1"/>
      <c r="AS46" s="212" t="s">
        <v>301</v>
      </c>
      <c r="AT46" s="56"/>
      <c r="AU46" s="196" t="s">
        <v>302</v>
      </c>
      <c r="AV46" s="1"/>
      <c r="AW46" s="93"/>
      <c r="AX46" s="56"/>
      <c r="AY46" s="143" t="s">
        <v>219</v>
      </c>
      <c r="AZ46" s="56"/>
      <c r="BA46" s="214" t="s">
        <v>219</v>
      </c>
      <c r="BB46" s="56"/>
      <c r="BC46" s="143" t="s">
        <v>303</v>
      </c>
      <c r="BD46" s="56"/>
      <c r="BE46" s="143" t="s">
        <v>303</v>
      </c>
      <c r="BF46" s="56"/>
      <c r="BG46" s="63"/>
      <c r="BH46" s="56"/>
      <c r="BI46" s="63"/>
      <c r="BJ46" s="56"/>
      <c r="BK46" s="63"/>
      <c r="BL46" s="56"/>
      <c r="BM46" s="63"/>
    </row>
    <row r="47" spans="1:65" x14ac:dyDescent="0.25">
      <c r="A47" s="4" t="s">
        <v>150</v>
      </c>
      <c r="B47" s="182" t="s">
        <v>151</v>
      </c>
      <c r="C47" s="161" t="s">
        <v>111</v>
      </c>
      <c r="D47" s="5" t="s">
        <v>112</v>
      </c>
      <c r="E47" s="162">
        <v>45292</v>
      </c>
      <c r="F47" s="162">
        <v>45292</v>
      </c>
      <c r="H47"/>
      <c r="I47" s="21">
        <v>16</v>
      </c>
      <c r="J47" s="59"/>
      <c r="K47" s="63"/>
      <c r="L47" s="1"/>
      <c r="M47" s="1"/>
      <c r="N47" s="56"/>
      <c r="O47" s="63"/>
      <c r="P47" s="56"/>
      <c r="Q47" s="63"/>
      <c r="R47" s="56"/>
      <c r="S47" s="143" t="s">
        <v>304</v>
      </c>
      <c r="T47" s="56"/>
      <c r="U47" s="214" t="s">
        <v>304</v>
      </c>
      <c r="V47" s="56"/>
      <c r="W47" s="63"/>
      <c r="X47" s="1"/>
      <c r="Y47" s="1"/>
      <c r="Z47" s="56"/>
      <c r="AA47" s="63"/>
      <c r="AB47" s="1"/>
      <c r="AC47" s="1"/>
      <c r="AD47" s="56"/>
      <c r="AE47" s="193"/>
      <c r="AF47" s="56"/>
      <c r="AG47" s="63"/>
      <c r="AH47" s="56"/>
      <c r="AI47" s="63"/>
      <c r="AJ47" s="1"/>
      <c r="AK47" s="1"/>
      <c r="AL47" s="56"/>
      <c r="AM47" s="63"/>
      <c r="AN47" s="1"/>
      <c r="AO47" s="63"/>
      <c r="AP47" s="56"/>
      <c r="AQ47" s="143" t="s">
        <v>305</v>
      </c>
      <c r="AR47" s="1"/>
      <c r="AS47" s="212" t="s">
        <v>305</v>
      </c>
      <c r="AT47" s="56"/>
      <c r="AU47" s="196" t="s">
        <v>204</v>
      </c>
      <c r="AV47" s="1"/>
      <c r="AW47" s="93"/>
      <c r="AX47" s="56"/>
      <c r="AY47" s="143" t="s">
        <v>194</v>
      </c>
      <c r="AZ47" s="56"/>
      <c r="BA47" s="214" t="s">
        <v>194</v>
      </c>
      <c r="BB47" s="56"/>
      <c r="BC47" s="143" t="s">
        <v>306</v>
      </c>
      <c r="BD47" s="56"/>
      <c r="BE47" s="143" t="s">
        <v>306</v>
      </c>
      <c r="BF47" s="56"/>
      <c r="BG47" s="63"/>
      <c r="BH47" s="56"/>
      <c r="BI47" s="63"/>
      <c r="BJ47" s="56"/>
      <c r="BK47" s="63"/>
      <c r="BL47" s="56"/>
      <c r="BM47" s="63"/>
    </row>
    <row r="48" spans="1:65" x14ac:dyDescent="0.25">
      <c r="A48" s="4" t="s">
        <v>153</v>
      </c>
      <c r="B48" s="182" t="s">
        <v>154</v>
      </c>
      <c r="C48" s="182" t="s">
        <v>116</v>
      </c>
      <c r="D48" s="5" t="s">
        <v>112</v>
      </c>
      <c r="E48" s="181">
        <v>44927</v>
      </c>
      <c r="F48" s="181">
        <v>44927</v>
      </c>
      <c r="H48"/>
      <c r="I48" s="21">
        <v>17</v>
      </c>
      <c r="J48" s="59"/>
      <c r="K48" s="63"/>
      <c r="L48" s="1"/>
      <c r="M48" s="1"/>
      <c r="N48" s="56"/>
      <c r="O48" s="63"/>
      <c r="P48" s="56"/>
      <c r="Q48" s="63"/>
      <c r="R48" s="56"/>
      <c r="S48" s="63"/>
      <c r="T48" s="1"/>
      <c r="U48" s="1"/>
      <c r="V48" s="56"/>
      <c r="W48" s="63"/>
      <c r="X48" s="1"/>
      <c r="Y48" s="1"/>
      <c r="Z48" s="56"/>
      <c r="AA48" s="63"/>
      <c r="AB48" s="1"/>
      <c r="AC48" s="1"/>
      <c r="AD48" s="56"/>
      <c r="AE48" s="193"/>
      <c r="AF48" s="56"/>
      <c r="AG48" s="63"/>
      <c r="AH48" s="56"/>
      <c r="AI48" s="63"/>
      <c r="AJ48" s="1"/>
      <c r="AK48" s="1"/>
      <c r="AL48" s="56"/>
      <c r="AM48" s="63"/>
      <c r="AN48" s="1"/>
      <c r="AO48" s="63"/>
      <c r="AP48" s="56"/>
      <c r="AQ48" s="143" t="s">
        <v>307</v>
      </c>
      <c r="AR48" s="1"/>
      <c r="AS48" s="212" t="s">
        <v>307</v>
      </c>
      <c r="AT48" s="56"/>
      <c r="AU48" s="63"/>
      <c r="AV48" s="1"/>
      <c r="AW48" s="1"/>
      <c r="AX48" s="56"/>
      <c r="AY48" s="143" t="s">
        <v>308</v>
      </c>
      <c r="AZ48" s="56"/>
      <c r="BA48" s="214" t="s">
        <v>308</v>
      </c>
      <c r="BB48" s="56"/>
      <c r="BC48" s="63"/>
      <c r="BD48" s="56"/>
      <c r="BE48" s="63"/>
      <c r="BF48" s="56"/>
      <c r="BG48" s="63"/>
      <c r="BH48" s="1"/>
      <c r="BI48" s="63"/>
      <c r="BJ48" s="56"/>
      <c r="BK48" s="63"/>
      <c r="BL48" s="56"/>
      <c r="BM48" s="63"/>
    </row>
    <row r="49" spans="1:121" x14ac:dyDescent="0.25">
      <c r="A49" s="53"/>
      <c r="B49" s="5"/>
      <c r="C49" s="5"/>
      <c r="D49" s="5"/>
      <c r="E49" s="154"/>
      <c r="F49" s="154"/>
      <c r="H49"/>
      <c r="I49" s="21">
        <v>18</v>
      </c>
      <c r="J49" s="56"/>
      <c r="K49" s="63"/>
      <c r="L49" s="1"/>
      <c r="M49" s="1"/>
      <c r="N49" s="56"/>
      <c r="O49" s="63"/>
      <c r="P49" s="56"/>
      <c r="Q49" s="63"/>
      <c r="R49" s="56"/>
      <c r="S49" s="63"/>
      <c r="T49" s="1"/>
      <c r="U49" s="1"/>
      <c r="V49" s="56"/>
      <c r="W49" s="63"/>
      <c r="X49" s="1"/>
      <c r="Y49" s="1"/>
      <c r="Z49" s="56"/>
      <c r="AA49" s="63"/>
      <c r="AB49" s="1"/>
      <c r="AC49" s="1"/>
      <c r="AD49" s="56"/>
      <c r="AE49" s="63"/>
      <c r="AF49" s="56"/>
      <c r="AG49" s="63"/>
      <c r="AH49" s="56"/>
      <c r="AI49" s="63"/>
      <c r="AJ49" s="1"/>
      <c r="AK49" s="1"/>
      <c r="AL49" s="56"/>
      <c r="AM49" s="63"/>
      <c r="AN49" s="1"/>
      <c r="AO49" s="63"/>
      <c r="AP49" s="56"/>
      <c r="AQ49" s="143" t="s">
        <v>309</v>
      </c>
      <c r="AR49" s="1"/>
      <c r="AS49" s="212" t="s">
        <v>309</v>
      </c>
      <c r="AT49" s="56"/>
      <c r="AU49" s="63"/>
      <c r="AV49" s="1"/>
      <c r="AW49" s="1"/>
      <c r="AX49" s="56"/>
      <c r="AY49" s="143" t="s">
        <v>302</v>
      </c>
      <c r="AZ49" s="56"/>
      <c r="BA49" s="214" t="s">
        <v>302</v>
      </c>
      <c r="BB49" s="56"/>
      <c r="BC49" s="63"/>
      <c r="BD49" s="56"/>
      <c r="BE49" s="63"/>
      <c r="BF49" s="56"/>
      <c r="BG49" s="63"/>
      <c r="BH49" s="1"/>
      <c r="BI49" s="1"/>
      <c r="BJ49" s="56"/>
      <c r="BK49" s="63"/>
      <c r="BL49" s="56"/>
      <c r="BM49" s="63"/>
    </row>
    <row r="50" spans="1:121" x14ac:dyDescent="0.25">
      <c r="A50" s="4" t="s">
        <v>310</v>
      </c>
      <c r="B50" s="5"/>
      <c r="C50" s="5"/>
      <c r="D50" s="5"/>
      <c r="E50" s="154"/>
      <c r="F50" s="154"/>
      <c r="H50"/>
      <c r="I50" s="21">
        <v>19</v>
      </c>
      <c r="J50" s="56"/>
      <c r="K50" s="63"/>
      <c r="L50" s="1"/>
      <c r="M50" s="1"/>
      <c r="N50" s="56"/>
      <c r="O50" s="63"/>
      <c r="P50" s="56"/>
      <c r="Q50" s="63"/>
      <c r="R50" s="56"/>
      <c r="S50" s="63"/>
      <c r="T50" s="1"/>
      <c r="U50" s="1"/>
      <c r="V50" s="56"/>
      <c r="W50" s="63"/>
      <c r="X50" s="1"/>
      <c r="Y50" s="1"/>
      <c r="Z50" s="56"/>
      <c r="AA50" s="63"/>
      <c r="AB50" s="1"/>
      <c r="AC50" s="1"/>
      <c r="AD50" s="56"/>
      <c r="AE50" s="63"/>
      <c r="AF50" s="56"/>
      <c r="AG50" s="63"/>
      <c r="AH50" s="56"/>
      <c r="AI50" s="63"/>
      <c r="AJ50" s="1"/>
      <c r="AK50" s="1"/>
      <c r="AL50" s="56"/>
      <c r="AM50" s="63"/>
      <c r="AN50" s="1"/>
      <c r="AO50" s="63"/>
      <c r="AP50" s="56"/>
      <c r="AQ50" s="143" t="s">
        <v>311</v>
      </c>
      <c r="AR50" s="1"/>
      <c r="AS50" s="212" t="s">
        <v>311</v>
      </c>
      <c r="AT50" s="56"/>
      <c r="AU50" s="63"/>
      <c r="AV50" s="1"/>
      <c r="AW50" s="1"/>
      <c r="AX50" s="56"/>
      <c r="AY50" s="143" t="s">
        <v>198</v>
      </c>
      <c r="AZ50" s="56"/>
      <c r="BA50" s="214" t="s">
        <v>198</v>
      </c>
      <c r="BB50" s="56"/>
      <c r="BC50" s="63"/>
      <c r="BD50" s="56"/>
      <c r="BE50" s="63"/>
      <c r="BF50" s="56"/>
      <c r="BG50" s="63"/>
      <c r="BH50" s="1"/>
      <c r="BI50" s="1"/>
      <c r="BJ50" s="56"/>
      <c r="BK50" s="63"/>
      <c r="BL50" s="56"/>
      <c r="BM50" s="63"/>
    </row>
    <row r="51" spans="1:121" x14ac:dyDescent="0.25">
      <c r="A51" s="170" t="s">
        <v>312</v>
      </c>
      <c r="B51" s="184" t="s">
        <v>313</v>
      </c>
      <c r="C51" s="161" t="s">
        <v>111</v>
      </c>
      <c r="D51" s="5" t="s">
        <v>112</v>
      </c>
      <c r="E51" s="162">
        <v>45292</v>
      </c>
      <c r="F51" s="162">
        <v>45292</v>
      </c>
      <c r="H51"/>
      <c r="I51" s="21">
        <v>20</v>
      </c>
      <c r="J51" s="56"/>
      <c r="K51" s="63"/>
      <c r="L51" s="1"/>
      <c r="M51" s="1"/>
      <c r="N51" s="56"/>
      <c r="O51" s="63"/>
      <c r="P51" s="56"/>
      <c r="Q51" s="63"/>
      <c r="R51" s="56"/>
      <c r="S51" s="63"/>
      <c r="T51" s="1"/>
      <c r="U51" s="1"/>
      <c r="V51" s="56"/>
      <c r="W51" s="63"/>
      <c r="X51" s="1"/>
      <c r="Y51" s="1"/>
      <c r="Z51" s="56"/>
      <c r="AA51" s="63"/>
      <c r="AB51" s="1"/>
      <c r="AC51" s="1"/>
      <c r="AD51" s="56"/>
      <c r="AE51" s="63"/>
      <c r="AF51" s="56"/>
      <c r="AG51" s="63"/>
      <c r="AH51" s="56"/>
      <c r="AI51" s="63"/>
      <c r="AJ51" s="1"/>
      <c r="AK51" s="1"/>
      <c r="AL51" s="56"/>
      <c r="AM51" s="63"/>
      <c r="AN51" s="1"/>
      <c r="AO51" s="1"/>
      <c r="AP51" s="56"/>
      <c r="AQ51" s="63"/>
      <c r="AR51" s="1"/>
      <c r="AS51" s="1"/>
      <c r="AT51" s="56"/>
      <c r="AU51" s="63"/>
      <c r="AV51" s="1"/>
      <c r="AW51" s="1"/>
      <c r="AX51" s="56"/>
      <c r="AY51" s="143" t="s">
        <v>222</v>
      </c>
      <c r="AZ51" s="56"/>
      <c r="BA51" s="214" t="s">
        <v>222</v>
      </c>
      <c r="BB51" s="56"/>
      <c r="BC51" s="63"/>
      <c r="BD51" s="56"/>
      <c r="BE51" s="63"/>
      <c r="BF51" s="56"/>
      <c r="BG51" s="63"/>
      <c r="BH51" s="1"/>
      <c r="BI51" s="1"/>
      <c r="BJ51" s="56"/>
      <c r="BK51" s="63"/>
      <c r="BL51" s="56"/>
      <c r="BM51" s="63"/>
    </row>
    <row r="52" spans="1:121" x14ac:dyDescent="0.25">
      <c r="A52" s="170" t="s">
        <v>314</v>
      </c>
      <c r="B52" s="184" t="s">
        <v>315</v>
      </c>
      <c r="C52" s="161" t="s">
        <v>111</v>
      </c>
      <c r="D52" s="5" t="s">
        <v>112</v>
      </c>
      <c r="E52" s="162">
        <v>45292</v>
      </c>
      <c r="F52" s="162">
        <v>45292</v>
      </c>
      <c r="H52"/>
      <c r="I52" s="21">
        <v>21</v>
      </c>
      <c r="J52" s="56"/>
      <c r="K52" s="63"/>
      <c r="L52" s="1"/>
      <c r="M52" s="1"/>
      <c r="N52" s="56"/>
      <c r="O52" s="63"/>
      <c r="P52" s="56"/>
      <c r="Q52" s="63"/>
      <c r="R52" s="56"/>
      <c r="S52" s="63"/>
      <c r="T52" s="1"/>
      <c r="U52" s="1"/>
      <c r="V52" s="56"/>
      <c r="W52" s="63"/>
      <c r="X52" s="1"/>
      <c r="Y52" s="1"/>
      <c r="Z52" s="56"/>
      <c r="AA52" s="63"/>
      <c r="AB52" s="1"/>
      <c r="AC52" s="1"/>
      <c r="AD52" s="56"/>
      <c r="AE52" s="63"/>
      <c r="AF52" s="56"/>
      <c r="AG52" s="63"/>
      <c r="AH52" s="56"/>
      <c r="AI52" s="63"/>
      <c r="AJ52" s="1"/>
      <c r="AK52" s="1"/>
      <c r="AL52" s="56"/>
      <c r="AM52" s="63"/>
      <c r="AN52" s="1"/>
      <c r="AO52" s="1"/>
      <c r="AP52" s="56"/>
      <c r="AQ52" s="63"/>
      <c r="AR52" s="1"/>
      <c r="AS52" s="1"/>
      <c r="AT52" s="56"/>
      <c r="AU52" s="63"/>
      <c r="AV52" s="1"/>
      <c r="AW52" s="1"/>
      <c r="AX52" s="56"/>
      <c r="AY52" s="143" t="s">
        <v>223</v>
      </c>
      <c r="AZ52" s="56"/>
      <c r="BA52" s="214" t="s">
        <v>223</v>
      </c>
      <c r="BB52" s="56"/>
      <c r="BC52" s="63"/>
      <c r="BD52" s="56"/>
      <c r="BE52" s="63"/>
      <c r="BF52" s="56"/>
      <c r="BG52" s="63"/>
      <c r="BH52" s="1"/>
      <c r="BI52" s="1"/>
      <c r="BJ52" s="56"/>
      <c r="BK52" s="63"/>
      <c r="BL52" s="56"/>
      <c r="BM52" s="63"/>
    </row>
    <row r="53" spans="1:121" x14ac:dyDescent="0.25">
      <c r="A53" s="170" t="s">
        <v>316</v>
      </c>
      <c r="B53" s="184" t="s">
        <v>317</v>
      </c>
      <c r="C53" s="161" t="s">
        <v>111</v>
      </c>
      <c r="D53" s="5" t="s">
        <v>112</v>
      </c>
      <c r="E53" s="162">
        <v>45292</v>
      </c>
      <c r="F53" s="162">
        <v>45292</v>
      </c>
      <c r="G53" s="7" t="s">
        <v>318</v>
      </c>
      <c r="H53"/>
      <c r="I53" s="21">
        <v>22</v>
      </c>
      <c r="J53" s="56"/>
      <c r="K53" s="63"/>
      <c r="L53" s="1"/>
      <c r="M53" s="1"/>
      <c r="N53" s="56"/>
      <c r="O53" s="63"/>
      <c r="P53" s="56"/>
      <c r="Q53" s="63"/>
      <c r="R53" s="56"/>
      <c r="S53" s="63"/>
      <c r="T53" s="1"/>
      <c r="U53" s="1"/>
      <c r="V53" s="56"/>
      <c r="W53" s="63"/>
      <c r="X53" s="1"/>
      <c r="Y53" s="1"/>
      <c r="Z53" s="56"/>
      <c r="AA53" s="63"/>
      <c r="AB53" s="1"/>
      <c r="AC53" s="1"/>
      <c r="AD53" s="56"/>
      <c r="AE53" s="63"/>
      <c r="AF53" s="56"/>
      <c r="AG53" s="63"/>
      <c r="AH53" s="56"/>
      <c r="AI53" s="63"/>
      <c r="AJ53" s="1"/>
      <c r="AK53" s="1"/>
      <c r="AL53" s="56"/>
      <c r="AM53" s="63"/>
      <c r="AN53" s="1"/>
      <c r="AO53" s="1"/>
      <c r="AP53" s="56"/>
      <c r="AQ53" s="63"/>
      <c r="AR53" s="1"/>
      <c r="AS53" s="1"/>
      <c r="AT53" s="56"/>
      <c r="AU53" s="63"/>
      <c r="AV53" s="1"/>
      <c r="AW53" s="1"/>
      <c r="AX53" s="56"/>
      <c r="AY53" s="143" t="s">
        <v>238</v>
      </c>
      <c r="AZ53" s="56"/>
      <c r="BA53" s="214" t="s">
        <v>238</v>
      </c>
      <c r="BB53" s="56"/>
      <c r="BC53" s="63"/>
      <c r="BD53" s="56"/>
      <c r="BE53" s="63"/>
      <c r="BF53" s="56"/>
      <c r="BG53" s="63"/>
      <c r="BH53" s="1"/>
      <c r="BI53" s="1"/>
      <c r="BJ53" s="56"/>
      <c r="BK53" s="63"/>
      <c r="BL53" s="56"/>
      <c r="BM53" s="63"/>
    </row>
    <row r="54" spans="1:121" x14ac:dyDescent="0.25">
      <c r="A54" s="6" t="s">
        <v>346</v>
      </c>
      <c r="B54" s="182" t="s">
        <v>347</v>
      </c>
      <c r="C54" s="182" t="s">
        <v>116</v>
      </c>
      <c r="D54" s="5" t="s">
        <v>112</v>
      </c>
      <c r="E54" s="181">
        <v>43831</v>
      </c>
      <c r="F54" s="162">
        <v>45292</v>
      </c>
      <c r="G54" s="8" t="s">
        <v>348</v>
      </c>
      <c r="H54"/>
      <c r="I54" s="21">
        <v>23</v>
      </c>
      <c r="J54" s="56"/>
      <c r="K54" s="63"/>
      <c r="L54" s="1"/>
      <c r="M54" s="1"/>
      <c r="N54" s="56"/>
      <c r="O54" s="63"/>
      <c r="P54" s="56"/>
      <c r="Q54" s="63"/>
      <c r="R54" s="56"/>
      <c r="S54" s="63"/>
      <c r="T54" s="1"/>
      <c r="U54" s="1"/>
      <c r="V54" s="56"/>
      <c r="W54" s="63"/>
      <c r="X54" s="1"/>
      <c r="Y54" s="1"/>
      <c r="Z54" s="56"/>
      <c r="AA54" s="63"/>
      <c r="AB54" s="1"/>
      <c r="AC54" s="1"/>
      <c r="AD54" s="56"/>
      <c r="AE54" s="63"/>
      <c r="AF54" s="56"/>
      <c r="AG54" s="63"/>
      <c r="AH54" s="56"/>
      <c r="AI54" s="63"/>
      <c r="AJ54" s="1"/>
      <c r="AK54" s="1"/>
      <c r="AL54" s="56"/>
      <c r="AM54" s="63"/>
      <c r="AN54" s="1"/>
      <c r="AO54" s="1"/>
      <c r="AP54" s="56"/>
      <c r="AQ54" s="63"/>
      <c r="AR54" s="1"/>
      <c r="AS54" s="1"/>
      <c r="AT54" s="56"/>
      <c r="AU54" s="63"/>
      <c r="AV54" s="1"/>
      <c r="AW54" s="1"/>
      <c r="AX54" s="56"/>
      <c r="AY54" s="143" t="s">
        <v>239</v>
      </c>
      <c r="AZ54" s="56"/>
      <c r="BA54" s="214" t="s">
        <v>239</v>
      </c>
      <c r="BB54" s="56"/>
      <c r="BC54" s="63"/>
      <c r="BD54" s="56"/>
      <c r="BE54" s="63"/>
      <c r="BF54" s="56"/>
      <c r="BG54" s="63"/>
      <c r="BH54" s="1"/>
      <c r="BI54" s="1"/>
      <c r="BJ54" s="56"/>
      <c r="BK54" s="63"/>
      <c r="BL54" s="56"/>
      <c r="BM54" s="63"/>
    </row>
    <row r="55" spans="1:121" x14ac:dyDescent="0.25">
      <c r="A55" s="4" t="s">
        <v>319</v>
      </c>
      <c r="B55" s="182" t="s">
        <v>320</v>
      </c>
      <c r="C55" s="182" t="s">
        <v>116</v>
      </c>
      <c r="D55" s="5" t="s">
        <v>112</v>
      </c>
      <c r="E55" s="181">
        <v>42005</v>
      </c>
      <c r="F55" s="181">
        <v>44562</v>
      </c>
      <c r="H55"/>
      <c r="I55" s="21">
        <v>24</v>
      </c>
      <c r="J55" s="56"/>
      <c r="K55" s="63"/>
      <c r="L55" s="1"/>
      <c r="M55" s="1"/>
      <c r="N55" s="56"/>
      <c r="O55" s="63"/>
      <c r="P55" s="56"/>
      <c r="Q55" s="63"/>
      <c r="R55" s="56"/>
      <c r="S55" s="63"/>
      <c r="T55" s="1"/>
      <c r="U55" s="1"/>
      <c r="V55" s="56"/>
      <c r="W55" s="63"/>
      <c r="X55" s="1"/>
      <c r="Y55" s="1"/>
      <c r="Z55" s="56"/>
      <c r="AA55" s="63"/>
      <c r="AB55" s="1"/>
      <c r="AC55" s="1"/>
      <c r="AD55" s="56"/>
      <c r="AE55" s="63"/>
      <c r="AF55" s="56"/>
      <c r="AG55" s="63"/>
      <c r="AH55" s="56"/>
      <c r="AI55" s="63"/>
      <c r="AJ55" s="1"/>
      <c r="AK55" s="1"/>
      <c r="AL55" s="56"/>
      <c r="AM55" s="63"/>
      <c r="AN55" s="1"/>
      <c r="AO55" s="1"/>
      <c r="AP55" s="56"/>
      <c r="AQ55" s="63"/>
      <c r="AR55" s="1"/>
      <c r="AS55" s="1"/>
      <c r="AT55" s="56"/>
      <c r="AU55" s="63"/>
      <c r="AV55" s="1"/>
      <c r="AW55" s="1"/>
      <c r="AX55" s="56"/>
      <c r="AY55" s="143" t="s">
        <v>288</v>
      </c>
      <c r="AZ55" s="56"/>
      <c r="BA55" s="214" t="s">
        <v>288</v>
      </c>
      <c r="BB55" s="56"/>
      <c r="BC55" s="63"/>
      <c r="BD55" s="56"/>
      <c r="BE55" s="63"/>
      <c r="BF55" s="56"/>
      <c r="BG55" s="63"/>
      <c r="BH55" s="1"/>
      <c r="BI55" s="1"/>
      <c r="BJ55" s="56"/>
      <c r="BK55" s="63"/>
      <c r="BL55" s="56"/>
      <c r="BM55" s="63"/>
    </row>
    <row r="56" spans="1:121" x14ac:dyDescent="0.25">
      <c r="A56" s="169" t="s">
        <v>321</v>
      </c>
      <c r="B56" s="161" t="s">
        <v>322</v>
      </c>
      <c r="C56" s="161" t="s">
        <v>111</v>
      </c>
      <c r="D56" s="5" t="s">
        <v>112</v>
      </c>
      <c r="E56" s="162">
        <v>45292</v>
      </c>
      <c r="F56" s="162">
        <v>45292</v>
      </c>
      <c r="H56"/>
      <c r="I56" s="21">
        <v>25</v>
      </c>
      <c r="J56" s="56"/>
      <c r="K56" s="63"/>
      <c r="L56" s="1"/>
      <c r="M56" s="1"/>
      <c r="N56" s="56"/>
      <c r="O56" s="63"/>
      <c r="P56" s="56"/>
      <c r="Q56" s="63"/>
      <c r="R56" s="56"/>
      <c r="S56" s="63"/>
      <c r="T56" s="1"/>
      <c r="U56" s="1"/>
      <c r="V56" s="56"/>
      <c r="W56" s="63"/>
      <c r="X56" s="1"/>
      <c r="Y56" s="1"/>
      <c r="Z56" s="56"/>
      <c r="AA56" s="63"/>
      <c r="AB56" s="1"/>
      <c r="AC56" s="1"/>
      <c r="AD56" s="56"/>
      <c r="AE56" s="63"/>
      <c r="AF56" s="56"/>
      <c r="AG56" s="63"/>
      <c r="AH56" s="56"/>
      <c r="AI56" s="63"/>
      <c r="AJ56" s="1"/>
      <c r="AK56" s="1"/>
      <c r="AL56" s="56"/>
      <c r="AM56" s="63"/>
      <c r="AN56" s="1"/>
      <c r="AO56" s="1"/>
      <c r="AP56" s="56"/>
      <c r="AQ56" s="63"/>
      <c r="AR56" s="1"/>
      <c r="AS56" s="1"/>
      <c r="AT56" s="56"/>
      <c r="AU56" s="63"/>
      <c r="AV56" s="1"/>
      <c r="AW56" s="1"/>
      <c r="AX56" s="56"/>
      <c r="AY56" s="143" t="s">
        <v>300</v>
      </c>
      <c r="AZ56" s="56"/>
      <c r="BA56" s="214" t="s">
        <v>300</v>
      </c>
      <c r="BB56" s="56"/>
      <c r="BC56" s="63"/>
      <c r="BD56" s="56"/>
      <c r="BE56" s="63"/>
      <c r="BF56" s="56"/>
      <c r="BG56" s="63"/>
      <c r="BH56" s="1"/>
      <c r="BI56" s="1"/>
      <c r="BJ56" s="56"/>
      <c r="BK56" s="63"/>
      <c r="BL56" s="56"/>
      <c r="BM56" s="63"/>
    </row>
    <row r="57" spans="1:121" x14ac:dyDescent="0.25">
      <c r="A57" s="169" t="s">
        <v>323</v>
      </c>
      <c r="B57" s="161" t="s">
        <v>324</v>
      </c>
      <c r="C57" s="161" t="s">
        <v>325</v>
      </c>
      <c r="D57" s="5" t="s">
        <v>112</v>
      </c>
      <c r="E57" s="162">
        <v>45292</v>
      </c>
      <c r="F57" s="162">
        <v>45292</v>
      </c>
      <c r="H57"/>
      <c r="I57" s="21">
        <v>26</v>
      </c>
      <c r="J57" s="56"/>
      <c r="K57" s="63"/>
      <c r="L57" s="1"/>
      <c r="M57" s="1"/>
      <c r="N57" s="56"/>
      <c r="O57" s="63"/>
      <c r="P57" s="56"/>
      <c r="Q57" s="63"/>
      <c r="R57" s="56"/>
      <c r="S57" s="63"/>
      <c r="T57" s="1"/>
      <c r="U57" s="1"/>
      <c r="V57" s="56"/>
      <c r="W57" s="63"/>
      <c r="X57" s="1"/>
      <c r="Y57" s="1"/>
      <c r="Z57" s="56"/>
      <c r="AA57" s="63"/>
      <c r="AB57" s="1"/>
      <c r="AC57" s="1"/>
      <c r="AD57" s="56"/>
      <c r="AE57" s="63"/>
      <c r="AF57" s="56"/>
      <c r="AG57" s="63"/>
      <c r="AH57" s="56"/>
      <c r="AI57" s="63"/>
      <c r="AJ57" s="1"/>
      <c r="AK57" s="1"/>
      <c r="AL57" s="56"/>
      <c r="AM57" s="63"/>
      <c r="AN57" s="1"/>
      <c r="AO57" s="1"/>
      <c r="AP57" s="56"/>
      <c r="AQ57" s="63"/>
      <c r="AR57" s="1"/>
      <c r="AS57" s="1"/>
      <c r="AT57" s="56"/>
      <c r="AU57" s="63"/>
      <c r="AV57" s="1"/>
      <c r="AW57" s="1"/>
      <c r="AX57" s="56"/>
      <c r="AY57" s="143" t="s">
        <v>304</v>
      </c>
      <c r="AZ57" s="56"/>
      <c r="BA57" s="214" t="s">
        <v>304</v>
      </c>
      <c r="BB57" s="56"/>
      <c r="BC57" s="63"/>
      <c r="BD57" s="56"/>
      <c r="BE57" s="63"/>
      <c r="BF57" s="56"/>
      <c r="BG57" s="63"/>
      <c r="BH57" s="1"/>
      <c r="BI57" s="1"/>
      <c r="BJ57" s="56"/>
      <c r="BK57" s="63"/>
      <c r="BL57" s="56"/>
      <c r="BM57" s="63"/>
    </row>
    <row r="58" spans="1:121" x14ac:dyDescent="0.25">
      <c r="A58" s="4" t="s">
        <v>326</v>
      </c>
      <c r="B58" s="182" t="s">
        <v>327</v>
      </c>
      <c r="C58" s="182" t="s">
        <v>116</v>
      </c>
      <c r="D58" s="5" t="s">
        <v>112</v>
      </c>
      <c r="E58" s="181">
        <v>42005</v>
      </c>
      <c r="F58" s="181">
        <v>44562</v>
      </c>
      <c r="H58"/>
      <c r="I58" s="21">
        <v>27</v>
      </c>
      <c r="J58" s="56"/>
      <c r="K58" s="63"/>
      <c r="L58" s="1"/>
      <c r="M58" s="1"/>
      <c r="N58" s="56"/>
      <c r="O58" s="63"/>
      <c r="P58" s="56"/>
      <c r="Q58" s="63"/>
      <c r="R58" s="56"/>
      <c r="S58" s="63"/>
      <c r="T58" s="1"/>
      <c r="U58" s="1"/>
      <c r="V58" s="56"/>
      <c r="W58" s="63"/>
      <c r="X58" s="1"/>
      <c r="Y58" s="1"/>
      <c r="Z58" s="56"/>
      <c r="AA58" s="63"/>
      <c r="AB58" s="1"/>
      <c r="AC58" s="1"/>
      <c r="AD58" s="56"/>
      <c r="AE58" s="63"/>
      <c r="AF58" s="56"/>
      <c r="AG58" s="63"/>
      <c r="AH58" s="56"/>
      <c r="AI58" s="63"/>
      <c r="AJ58" s="1"/>
      <c r="AK58" s="1"/>
      <c r="AL58" s="56"/>
      <c r="AM58" s="63"/>
      <c r="AN58" s="1"/>
      <c r="AO58" s="1"/>
      <c r="AP58" s="56"/>
      <c r="AQ58" s="63"/>
      <c r="AR58" s="1"/>
      <c r="AS58" s="1"/>
      <c r="AT58" s="56"/>
      <c r="AU58" s="63"/>
      <c r="AV58" s="1"/>
      <c r="AW58" s="1"/>
      <c r="AX58" s="56"/>
      <c r="AY58" s="143" t="s">
        <v>268</v>
      </c>
      <c r="AZ58" s="56"/>
      <c r="BA58" s="214" t="s">
        <v>268</v>
      </c>
      <c r="BB58" s="56"/>
      <c r="BC58" s="63"/>
      <c r="BD58" s="56"/>
      <c r="BE58" s="63"/>
      <c r="BF58" s="56"/>
      <c r="BG58" s="63"/>
      <c r="BH58" s="1"/>
      <c r="BI58" s="1"/>
      <c r="BJ58" s="56"/>
      <c r="BK58" s="63"/>
      <c r="BL58" s="56"/>
      <c r="BM58" s="63"/>
    </row>
    <row r="59" spans="1:121" x14ac:dyDescent="0.25">
      <c r="A59" s="169" t="s">
        <v>328</v>
      </c>
      <c r="B59" s="161" t="s">
        <v>329</v>
      </c>
      <c r="C59" s="161" t="s">
        <v>111</v>
      </c>
      <c r="D59" s="5" t="s">
        <v>112</v>
      </c>
      <c r="E59" s="162">
        <v>45292</v>
      </c>
      <c r="F59" s="162">
        <v>45292</v>
      </c>
      <c r="H59"/>
      <c r="I59" s="21">
        <v>28</v>
      </c>
      <c r="J59" s="56"/>
      <c r="K59" s="63"/>
      <c r="L59" s="1"/>
      <c r="M59" s="1"/>
      <c r="N59" s="56"/>
      <c r="O59" s="63"/>
      <c r="P59" s="56"/>
      <c r="Q59" s="63"/>
      <c r="R59" s="56"/>
      <c r="S59" s="63"/>
      <c r="T59" s="1"/>
      <c r="U59" s="1"/>
      <c r="V59" s="56"/>
      <c r="W59" s="63"/>
      <c r="X59" s="1"/>
      <c r="Y59" s="1"/>
      <c r="Z59" s="56"/>
      <c r="AA59" s="63"/>
      <c r="AB59" s="1"/>
      <c r="AC59" s="1"/>
      <c r="AD59" s="56"/>
      <c r="AE59" s="63"/>
      <c r="AF59" s="56"/>
      <c r="AG59" s="63"/>
      <c r="AH59" s="56"/>
      <c r="AI59" s="63"/>
      <c r="AJ59" s="1"/>
      <c r="AK59" s="1"/>
      <c r="AL59" s="56"/>
      <c r="AM59" s="63"/>
      <c r="AN59" s="1"/>
      <c r="AO59" s="1"/>
      <c r="AP59" s="56"/>
      <c r="AQ59" s="63"/>
      <c r="AR59" s="1"/>
      <c r="AS59" s="1"/>
      <c r="AT59" s="56"/>
      <c r="AU59" s="63"/>
      <c r="AV59" s="1"/>
      <c r="AW59" s="1"/>
      <c r="AX59" s="56"/>
      <c r="AY59" s="143" t="s">
        <v>292</v>
      </c>
      <c r="AZ59" s="56"/>
      <c r="BA59" s="214" t="s">
        <v>292</v>
      </c>
      <c r="BB59" s="56"/>
      <c r="BC59" s="63"/>
      <c r="BD59" s="56"/>
      <c r="BE59" s="63"/>
      <c r="BF59" s="56"/>
      <c r="BG59" s="63"/>
      <c r="BH59" s="1"/>
      <c r="BI59" s="1"/>
      <c r="BJ59" s="56"/>
      <c r="BK59" s="63"/>
      <c r="BL59" s="56"/>
      <c r="BM59" s="63"/>
    </row>
    <row r="60" spans="1:121" x14ac:dyDescent="0.25">
      <c r="A60" s="169" t="s">
        <v>330</v>
      </c>
      <c r="B60" s="161" t="s">
        <v>331</v>
      </c>
      <c r="C60" s="161" t="s">
        <v>325</v>
      </c>
      <c r="D60" s="5" t="s">
        <v>112</v>
      </c>
      <c r="E60" s="162">
        <v>45292</v>
      </c>
      <c r="F60" s="162">
        <v>45292</v>
      </c>
      <c r="H60"/>
      <c r="I60" s="21">
        <v>29</v>
      </c>
      <c r="J60" s="57"/>
      <c r="K60" s="61"/>
      <c r="L60" s="87"/>
      <c r="M60" s="87"/>
      <c r="N60" s="57"/>
      <c r="O60" s="61"/>
      <c r="P60" s="57"/>
      <c r="Q60" s="61"/>
      <c r="R60" s="57"/>
      <c r="S60" s="61"/>
      <c r="T60" s="87"/>
      <c r="U60" s="87"/>
      <c r="V60" s="57"/>
      <c r="W60" s="61"/>
      <c r="X60" s="87"/>
      <c r="Y60" s="87"/>
      <c r="Z60" s="57"/>
      <c r="AA60" s="61"/>
      <c r="AB60" s="87"/>
      <c r="AC60" s="87"/>
      <c r="AD60" s="57"/>
      <c r="AE60" s="61"/>
      <c r="AF60" s="57"/>
      <c r="AG60" s="61"/>
      <c r="AH60" s="57"/>
      <c r="AI60" s="61"/>
      <c r="AJ60" s="87"/>
      <c r="AK60" s="87"/>
      <c r="AL60" s="57"/>
      <c r="AM60" s="61"/>
      <c r="AN60" s="87"/>
      <c r="AO60" s="87"/>
      <c r="AP60" s="57"/>
      <c r="AQ60" s="61"/>
      <c r="AR60" s="87"/>
      <c r="AS60" s="87"/>
      <c r="AT60" s="57"/>
      <c r="AU60" s="61"/>
      <c r="AV60" s="87"/>
      <c r="AW60" s="87"/>
      <c r="AX60" s="57"/>
      <c r="AY60" s="144" t="s">
        <v>335</v>
      </c>
      <c r="AZ60" s="57"/>
      <c r="BA60" s="215" t="s">
        <v>335</v>
      </c>
      <c r="BB60" s="57"/>
      <c r="BC60" s="61"/>
      <c r="BD60" s="57"/>
      <c r="BE60" s="61"/>
      <c r="BF60" s="57"/>
      <c r="BG60" s="61"/>
      <c r="BH60" s="87"/>
      <c r="BI60" s="87"/>
      <c r="BJ60" s="57"/>
      <c r="BK60" s="61"/>
      <c r="BL60" s="57"/>
      <c r="BM60" s="61"/>
    </row>
    <row r="61" spans="1:121" ht="33.75" x14ac:dyDescent="0.25">
      <c r="A61" s="4" t="s">
        <v>332</v>
      </c>
      <c r="B61" s="182" t="s">
        <v>333</v>
      </c>
      <c r="C61" s="182" t="s">
        <v>116</v>
      </c>
      <c r="D61" s="5" t="s">
        <v>112</v>
      </c>
      <c r="E61" s="181">
        <v>43831</v>
      </c>
      <c r="F61" s="181">
        <v>44197</v>
      </c>
      <c r="G61" s="8" t="s">
        <v>334</v>
      </c>
      <c r="AQ61" s="173"/>
      <c r="AS61" s="173"/>
      <c r="AU61" s="232" t="s">
        <v>339</v>
      </c>
      <c r="AW61" s="231" t="s">
        <v>340</v>
      </c>
      <c r="AY61" s="173"/>
      <c r="BA61" s="173"/>
      <c r="BI61" s="92"/>
      <c r="BZ61" s="153" t="s">
        <v>341</v>
      </c>
    </row>
    <row r="62" spans="1:121" x14ac:dyDescent="0.25">
      <c r="A62" s="53" t="s">
        <v>336</v>
      </c>
      <c r="B62" s="182" t="s">
        <v>337</v>
      </c>
      <c r="C62" s="182" t="s">
        <v>116</v>
      </c>
      <c r="D62" s="5" t="s">
        <v>112</v>
      </c>
      <c r="E62" s="181">
        <v>43831</v>
      </c>
      <c r="F62" s="181">
        <v>43831</v>
      </c>
      <c r="G62" s="8" t="s">
        <v>338</v>
      </c>
      <c r="BN62" s="172"/>
      <c r="BO62" s="172"/>
      <c r="BP62" s="172"/>
      <c r="BQ62" s="172"/>
      <c r="BR62" s="172"/>
      <c r="BS62" s="172"/>
      <c r="BT62" s="172"/>
      <c r="BU62" s="172"/>
      <c r="BV62" s="172"/>
      <c r="BW62" s="172"/>
      <c r="BX62" s="172"/>
      <c r="BY62" s="172"/>
      <c r="BZ62" s="153" t="s">
        <v>344</v>
      </c>
      <c r="CD62" s="172"/>
      <c r="CE62" s="172"/>
      <c r="CF62" s="172"/>
      <c r="CG62" s="172"/>
      <c r="CH62" s="172"/>
      <c r="CI62" s="172"/>
      <c r="CJ62" s="172"/>
      <c r="CK62" s="172"/>
      <c r="CL62" s="172"/>
      <c r="CM62" s="172"/>
      <c r="CN62" s="172"/>
      <c r="CO62" s="172"/>
      <c r="CP62" s="201" t="s">
        <v>345</v>
      </c>
      <c r="CQ62" s="140"/>
      <c r="CR62" s="140"/>
      <c r="CS62" s="140"/>
      <c r="CT62" s="172"/>
      <c r="CU62" s="172"/>
      <c r="CV62" s="172"/>
      <c r="CW62" s="172"/>
      <c r="CX62" s="172"/>
      <c r="CY62" s="172"/>
      <c r="CZ62" s="172"/>
      <c r="DA62" s="172"/>
      <c r="DB62" s="172"/>
      <c r="DC62" s="172"/>
      <c r="DD62" s="172"/>
      <c r="DE62" s="172"/>
      <c r="DF62" s="172"/>
      <c r="DG62" s="172"/>
      <c r="DH62" s="172"/>
      <c r="DI62" s="172"/>
      <c r="DJ62" s="172"/>
      <c r="DK62" s="172"/>
      <c r="DL62" s="172"/>
      <c r="DM62" s="172"/>
      <c r="DN62" s="172"/>
      <c r="DO62" s="172"/>
      <c r="DP62" s="172"/>
      <c r="DQ62" s="172"/>
    </row>
    <row r="63" spans="1:121" x14ac:dyDescent="0.25">
      <c r="A63" s="53" t="s">
        <v>16</v>
      </c>
      <c r="B63" s="161" t="s">
        <v>342</v>
      </c>
      <c r="C63" s="161" t="s">
        <v>111</v>
      </c>
      <c r="D63" s="5" t="s">
        <v>112</v>
      </c>
      <c r="E63" s="162">
        <v>45292</v>
      </c>
      <c r="F63" s="162">
        <v>45292</v>
      </c>
      <c r="G63" s="7" t="s">
        <v>343</v>
      </c>
      <c r="H63" s="72" t="s">
        <v>349</v>
      </c>
      <c r="J63" s="125"/>
      <c r="K63" s="126" t="str">
        <f>K32</f>
        <v>MJRU-ANTSOSem1</v>
      </c>
      <c r="L63" s="127"/>
      <c r="M63" s="127" t="str">
        <f>M32</f>
        <v>MJRU-ANTSOSem2</v>
      </c>
      <c r="N63" s="128"/>
      <c r="O63" s="129" t="str">
        <f>O32</f>
        <v>MJRU-CHNSESem1</v>
      </c>
      <c r="P63" s="128"/>
      <c r="Q63" s="129" t="str">
        <f>Q32</f>
        <v>MJRU-CHNSESem2</v>
      </c>
      <c r="R63" s="128"/>
      <c r="S63" s="129" t="str">
        <f>S32</f>
        <v>MJRU-CRWRISem1</v>
      </c>
      <c r="T63" s="128"/>
      <c r="U63" s="129" t="str">
        <f>U32</f>
        <v>MJRU-CRWRISem2</v>
      </c>
      <c r="V63" s="128"/>
      <c r="W63" s="129" t="str">
        <f t="shared" ref="W63:W75" si="0">W32</f>
        <v>MJRU-GEOGRSem1</v>
      </c>
      <c r="X63" s="128"/>
      <c r="Y63" s="129" t="str">
        <f t="shared" ref="Y63" si="1">Y32</f>
        <v>MJRU-GEOGRSem2</v>
      </c>
      <c r="Z63" s="128"/>
      <c r="AA63" s="129" t="str">
        <f t="shared" ref="AA63" si="2">AA32</f>
        <v>MJRU-HISTRSem1</v>
      </c>
      <c r="AB63" s="127"/>
      <c r="AC63" s="127" t="str">
        <f t="shared" ref="AC63" si="3">AC32</f>
        <v>MJRU-HISTRSem2</v>
      </c>
      <c r="AD63" s="128"/>
      <c r="AE63" s="129" t="str">
        <f t="shared" ref="AE63:AE64" si="4">AE32</f>
        <v>MJRU-INAUCSem1</v>
      </c>
      <c r="AF63" s="127"/>
      <c r="AG63" s="127" t="str">
        <f t="shared" ref="AG63:AG64" si="5">AG32</f>
        <v>MJRU-INAUCSem2</v>
      </c>
      <c r="AH63" s="128"/>
      <c r="AI63" s="129" t="str">
        <f t="shared" ref="AI63" si="6">AI32</f>
        <v>MJRU-INTRLSem1</v>
      </c>
      <c r="AJ63" s="127"/>
      <c r="AK63" s="127" t="str">
        <f t="shared" ref="AK63" si="7">AK32</f>
        <v>MJRU-INTRLSem2</v>
      </c>
      <c r="AL63" s="128"/>
      <c r="AM63" s="129" t="str">
        <f t="shared" ref="AM63" si="8">AM32</f>
        <v>MJRU-JAPANSem1</v>
      </c>
      <c r="AN63" s="127"/>
      <c r="AO63" s="127" t="str">
        <f t="shared" ref="AO63:AQ75" si="9">AO32</f>
        <v>MJRU-JAPANSem2</v>
      </c>
      <c r="AP63" s="128"/>
      <c r="AQ63" s="129" t="str">
        <f t="shared" si="9"/>
        <v>MJRU-JOURNSem1</v>
      </c>
      <c r="AR63" s="127"/>
      <c r="AS63" s="127" t="str">
        <f t="shared" ref="AS63:AU75" si="10">AS32</f>
        <v>MJRU-JOURNSem2</v>
      </c>
      <c r="AT63" s="128"/>
      <c r="AU63" s="129" t="str">
        <f t="shared" si="10"/>
        <v>MJRU-KORESSem1</v>
      </c>
      <c r="AV63" s="127"/>
      <c r="AW63" s="127" t="str">
        <f t="shared" ref="AW63:AY75" si="11">AW32</f>
        <v>MJRU-KORESSem2</v>
      </c>
      <c r="AX63" s="128"/>
      <c r="AY63" s="129" t="str">
        <f t="shared" si="11"/>
        <v>MJRU-LITCUSem1</v>
      </c>
      <c r="AZ63" s="128"/>
      <c r="BA63" s="129" t="str">
        <f t="shared" ref="BA63" si="12">BA32</f>
        <v>MJRU-LITCUSem2</v>
      </c>
      <c r="BB63" s="128"/>
      <c r="BC63" s="129" t="str">
        <f t="shared" ref="BC63:BC64" si="13">BC32</f>
        <v>MJRU-NETCMSem1</v>
      </c>
      <c r="BD63" s="128"/>
      <c r="BE63" s="129" t="str">
        <f t="shared" ref="BE63:BE64" si="14">BE32</f>
        <v>MJRU-NETCMSem2</v>
      </c>
      <c r="BF63" s="128"/>
      <c r="BG63" s="129" t="str">
        <f t="shared" ref="BG63:BG64" si="15">BG32</f>
        <v>MJRU-PRWRPSem1</v>
      </c>
      <c r="BH63" s="128"/>
      <c r="BI63" s="129" t="str">
        <f t="shared" ref="BI63:BK75" si="16">BI32</f>
        <v>MJRU-PRWRPSem2</v>
      </c>
      <c r="BJ63" s="128"/>
      <c r="BK63" s="129" t="str">
        <f t="shared" si="16"/>
        <v>MJRU-SCSTRSem1</v>
      </c>
      <c r="BL63" s="128"/>
      <c r="BM63" s="130" t="str">
        <f t="shared" ref="BM63" si="17">BM32</f>
        <v>MJRU-SCSTRSem2</v>
      </c>
      <c r="BN63" s="135"/>
      <c r="BO63" s="104" t="s">
        <v>350</v>
      </c>
      <c r="BP63" s="103"/>
      <c r="BQ63" s="104" t="s">
        <v>351</v>
      </c>
      <c r="BR63" s="79"/>
      <c r="BS63" s="81" t="s">
        <v>352</v>
      </c>
      <c r="BT63" s="80"/>
      <c r="BU63" s="80" t="s">
        <v>353</v>
      </c>
      <c r="BV63" s="79"/>
      <c r="BW63" s="81" t="s">
        <v>354</v>
      </c>
      <c r="BX63" s="79"/>
      <c r="BY63" s="81" t="s">
        <v>355</v>
      </c>
      <c r="BZ63" s="79"/>
      <c r="CA63" s="81" t="s">
        <v>356</v>
      </c>
      <c r="CB63" s="80"/>
      <c r="CC63" s="80" t="s">
        <v>357</v>
      </c>
      <c r="CD63" s="79"/>
      <c r="CE63" s="81" t="s">
        <v>358</v>
      </c>
      <c r="CF63" s="79"/>
      <c r="CG63" s="81" t="s">
        <v>359</v>
      </c>
      <c r="CH63" s="79"/>
      <c r="CI63" s="81" t="s">
        <v>360</v>
      </c>
      <c r="CJ63" s="79"/>
      <c r="CK63" s="81" t="s">
        <v>361</v>
      </c>
      <c r="CL63" s="79"/>
      <c r="CM63" s="81" t="s">
        <v>362</v>
      </c>
      <c r="CN63" s="79"/>
      <c r="CO63" s="81" t="s">
        <v>363</v>
      </c>
      <c r="CP63" s="79"/>
      <c r="CQ63" s="81" t="s">
        <v>364</v>
      </c>
      <c r="CR63" s="80"/>
      <c r="CS63" s="80" t="s">
        <v>365</v>
      </c>
      <c r="CT63" s="109"/>
      <c r="CU63" s="110" t="s">
        <v>366</v>
      </c>
      <c r="CV63" s="109"/>
      <c r="CW63" s="110" t="s">
        <v>367</v>
      </c>
      <c r="CX63" s="79"/>
      <c r="CY63" s="81" t="s">
        <v>368</v>
      </c>
      <c r="CZ63" s="79"/>
      <c r="DA63" s="80" t="s">
        <v>369</v>
      </c>
      <c r="DB63" s="79"/>
      <c r="DC63" s="81" t="s">
        <v>370</v>
      </c>
      <c r="DD63" s="79"/>
      <c r="DE63" s="81" t="s">
        <v>371</v>
      </c>
      <c r="DF63" s="79"/>
      <c r="DG63" s="81" t="s">
        <v>372</v>
      </c>
      <c r="DH63" s="79"/>
      <c r="DI63" s="81" t="s">
        <v>373</v>
      </c>
      <c r="DJ63" s="79"/>
      <c r="DK63" s="81" t="s">
        <v>374</v>
      </c>
      <c r="DL63" s="79"/>
      <c r="DM63" s="81" t="s">
        <v>375</v>
      </c>
      <c r="DN63" s="79"/>
      <c r="DO63" s="81" t="s">
        <v>376</v>
      </c>
      <c r="DP63" s="79"/>
      <c r="DQ63" s="81" t="s">
        <v>377</v>
      </c>
    </row>
    <row r="64" spans="1:121" x14ac:dyDescent="0.25">
      <c r="H64"/>
      <c r="I64" s="21">
        <v>2</v>
      </c>
      <c r="J64" s="113" t="s">
        <v>189</v>
      </c>
      <c r="K64" s="114" t="str">
        <f>K33</f>
        <v>ANTH1000</v>
      </c>
      <c r="L64" s="113" t="s">
        <v>190</v>
      </c>
      <c r="M64" s="115" t="str">
        <f>M33</f>
        <v>ANTH1001</v>
      </c>
      <c r="N64" s="113" t="s">
        <v>189</v>
      </c>
      <c r="O64" s="114" t="str">
        <f t="shared" ref="O64:Q75" si="18">O33</f>
        <v>CHIN1000</v>
      </c>
      <c r="P64" s="113" t="s">
        <v>190</v>
      </c>
      <c r="Q64" s="114" t="str">
        <f t="shared" si="18"/>
        <v>CHIN1001</v>
      </c>
      <c r="R64" s="113" t="s">
        <v>189</v>
      </c>
      <c r="S64" s="114" t="str">
        <f t="shared" ref="S64:U64" si="19">S33</f>
        <v>PWRP1000</v>
      </c>
      <c r="T64" s="113" t="s">
        <v>190</v>
      </c>
      <c r="U64" s="114" t="str">
        <f t="shared" si="19"/>
        <v>CWRI1000</v>
      </c>
      <c r="V64" s="113" t="s">
        <v>189</v>
      </c>
      <c r="W64" s="114" t="str">
        <f t="shared" si="0"/>
        <v>GEOG1000</v>
      </c>
      <c r="X64" s="113" t="s">
        <v>190</v>
      </c>
      <c r="Y64" s="114" t="str">
        <f t="shared" ref="Y64" si="20">Y33</f>
        <v>PHGY1000</v>
      </c>
      <c r="Z64" s="113" t="s">
        <v>189</v>
      </c>
      <c r="AA64" s="114" t="str">
        <f t="shared" ref="AA64" si="21">AA33</f>
        <v>HIST1000</v>
      </c>
      <c r="AB64" s="113" t="s">
        <v>190</v>
      </c>
      <c r="AC64" s="115" t="str">
        <f t="shared" ref="AC64" si="22">AC33</f>
        <v>INTR1001</v>
      </c>
      <c r="AD64" s="113" t="s">
        <v>189</v>
      </c>
      <c r="AE64" s="114" t="str">
        <f t="shared" si="4"/>
        <v>OptionY1</v>
      </c>
      <c r="AF64" s="113" t="s">
        <v>190</v>
      </c>
      <c r="AG64" s="115" t="str">
        <f t="shared" si="5"/>
        <v>OptionY1</v>
      </c>
      <c r="AH64" s="113" t="s">
        <v>189</v>
      </c>
      <c r="AI64" s="114" t="str">
        <f t="shared" ref="AI64" si="23">AI33</f>
        <v>INTR1002</v>
      </c>
      <c r="AJ64" s="113" t="s">
        <v>190</v>
      </c>
      <c r="AK64" s="115" t="str">
        <f t="shared" ref="AK64" si="24">AK33</f>
        <v>INTR1001</v>
      </c>
      <c r="AL64" s="113" t="s">
        <v>189</v>
      </c>
      <c r="AM64" s="114" t="str">
        <f t="shared" ref="AM64" si="25">AM33</f>
        <v>JAPN1000</v>
      </c>
      <c r="AN64" s="113" t="s">
        <v>190</v>
      </c>
      <c r="AO64" s="115" t="str">
        <f t="shared" ref="AO64" si="26">AO33</f>
        <v>JAPN1001</v>
      </c>
      <c r="AP64" s="113" t="s">
        <v>189</v>
      </c>
      <c r="AQ64" s="114" t="str">
        <f t="shared" si="9"/>
        <v>JOUR1001</v>
      </c>
      <c r="AR64" s="113" t="s">
        <v>190</v>
      </c>
      <c r="AS64" s="115" t="str">
        <f t="shared" ref="AS64" si="27">AS33</f>
        <v>JOUR1001</v>
      </c>
      <c r="AT64" s="113" t="s">
        <v>189</v>
      </c>
      <c r="AU64" s="114" t="str">
        <f t="shared" si="10"/>
        <v>KORE1000</v>
      </c>
      <c r="AV64" s="113" t="s">
        <v>190</v>
      </c>
      <c r="AW64" s="115" t="str">
        <f t="shared" ref="AW64" si="28">AW33</f>
        <v>-KSM-</v>
      </c>
      <c r="AX64" s="113" t="s">
        <v>189</v>
      </c>
      <c r="AY64" s="114" t="str">
        <f t="shared" si="11"/>
        <v>LCST1004</v>
      </c>
      <c r="AZ64" s="113" t="s">
        <v>190</v>
      </c>
      <c r="BA64" s="114" t="str">
        <f t="shared" ref="BA64" si="29">BA33</f>
        <v>CWRI1003</v>
      </c>
      <c r="BB64" s="113" t="s">
        <v>189</v>
      </c>
      <c r="BC64" s="114" t="str">
        <f t="shared" si="13"/>
        <v>NETS1001</v>
      </c>
      <c r="BD64" s="113" t="s">
        <v>190</v>
      </c>
      <c r="BE64" s="114" t="str">
        <f t="shared" si="14"/>
        <v>NETS1000</v>
      </c>
      <c r="BF64" s="113" t="s">
        <v>189</v>
      </c>
      <c r="BG64" s="114" t="str">
        <f t="shared" si="15"/>
        <v>PWRP1000</v>
      </c>
      <c r="BH64" s="113" t="s">
        <v>190</v>
      </c>
      <c r="BI64" s="114" t="str">
        <f t="shared" si="16"/>
        <v>PWRP1003</v>
      </c>
      <c r="BJ64" s="113" t="s">
        <v>189</v>
      </c>
      <c r="BK64" s="114" t="str">
        <f t="shared" si="16"/>
        <v>STRD1000</v>
      </c>
      <c r="BL64" s="113" t="s">
        <v>190</v>
      </c>
      <c r="BM64" s="131" t="str">
        <f t="shared" ref="BM64" si="30">BM33</f>
        <v>STRD1001</v>
      </c>
      <c r="BN64" s="136" t="s">
        <v>189</v>
      </c>
      <c r="BO64" s="142" t="s">
        <v>191</v>
      </c>
      <c r="BP64" s="58" t="s">
        <v>190</v>
      </c>
      <c r="BQ64" s="142" t="s">
        <v>191</v>
      </c>
      <c r="BR64" s="58" t="s">
        <v>189</v>
      </c>
      <c r="BS64" s="142" t="s">
        <v>191</v>
      </c>
      <c r="BT64" s="58" t="s">
        <v>190</v>
      </c>
      <c r="BU64" s="211" t="s">
        <v>191</v>
      </c>
      <c r="BV64" s="58" t="s">
        <v>189</v>
      </c>
      <c r="BW64" s="142" t="s">
        <v>191</v>
      </c>
      <c r="BX64" s="58" t="s">
        <v>190</v>
      </c>
      <c r="BY64" s="213" t="s">
        <v>191</v>
      </c>
      <c r="BZ64" s="58" t="s">
        <v>189</v>
      </c>
      <c r="CA64" s="62" t="s">
        <v>75</v>
      </c>
      <c r="CB64" s="58" t="s">
        <v>190</v>
      </c>
      <c r="CC64" s="198" t="s">
        <v>912</v>
      </c>
      <c r="CD64" s="58" t="s">
        <v>189</v>
      </c>
      <c r="CE64" s="142" t="s">
        <v>191</v>
      </c>
      <c r="CF64" s="58" t="s">
        <v>190</v>
      </c>
      <c r="CG64" s="213" t="s">
        <v>191</v>
      </c>
      <c r="CH64" s="58" t="s">
        <v>189</v>
      </c>
      <c r="CI64" s="142" t="s">
        <v>191</v>
      </c>
      <c r="CJ64" s="58" t="s">
        <v>190</v>
      </c>
      <c r="CK64" s="213" t="s">
        <v>191</v>
      </c>
      <c r="CL64" s="58" t="s">
        <v>189</v>
      </c>
      <c r="CM64" s="142" t="s">
        <v>191</v>
      </c>
      <c r="CN64" s="58" t="s">
        <v>190</v>
      </c>
      <c r="CO64" s="213" t="s">
        <v>191</v>
      </c>
      <c r="CP64" s="58" t="s">
        <v>189</v>
      </c>
      <c r="CQ64" s="142" t="s">
        <v>191</v>
      </c>
      <c r="CR64" s="58" t="s">
        <v>190</v>
      </c>
      <c r="CS64" s="211" t="s">
        <v>191</v>
      </c>
      <c r="CT64" s="58" t="s">
        <v>189</v>
      </c>
      <c r="CU64" s="142" t="s">
        <v>191</v>
      </c>
      <c r="CV64" s="58" t="s">
        <v>190</v>
      </c>
      <c r="CW64" s="213" t="s">
        <v>191</v>
      </c>
      <c r="CX64" s="58" t="s">
        <v>189</v>
      </c>
      <c r="CY64" s="142" t="s">
        <v>191</v>
      </c>
      <c r="CZ64" s="58" t="s">
        <v>190</v>
      </c>
      <c r="DA64" s="211" t="s">
        <v>191</v>
      </c>
      <c r="DB64" s="58" t="s">
        <v>189</v>
      </c>
      <c r="DC64" s="142" t="s">
        <v>191</v>
      </c>
      <c r="DD64" s="58" t="s">
        <v>190</v>
      </c>
      <c r="DE64" s="213" t="s">
        <v>191</v>
      </c>
      <c r="DF64" s="58" t="s">
        <v>189</v>
      </c>
      <c r="DG64" s="220" t="s">
        <v>69</v>
      </c>
      <c r="DH64" s="58" t="s">
        <v>190</v>
      </c>
      <c r="DI64" s="229" t="s">
        <v>69</v>
      </c>
      <c r="DJ64" s="58" t="s">
        <v>189</v>
      </c>
      <c r="DK64" s="142" t="s">
        <v>72</v>
      </c>
      <c r="DL64" s="58" t="s">
        <v>190</v>
      </c>
      <c r="DM64" s="213" t="s">
        <v>73</v>
      </c>
      <c r="DN64" s="58" t="s">
        <v>189</v>
      </c>
      <c r="DO64" s="142" t="s">
        <v>191</v>
      </c>
      <c r="DP64" s="58" t="s">
        <v>190</v>
      </c>
      <c r="DQ64" s="213" t="s">
        <v>191</v>
      </c>
    </row>
    <row r="65" spans="1:121" x14ac:dyDescent="0.25">
      <c r="A65" s="191"/>
      <c r="H65"/>
      <c r="I65" s="21">
        <v>3</v>
      </c>
      <c r="J65" s="116" t="s">
        <v>378</v>
      </c>
      <c r="K65" s="117" t="s">
        <v>94</v>
      </c>
      <c r="L65" s="116" t="s">
        <v>379</v>
      </c>
      <c r="M65" s="118" t="s">
        <v>94</v>
      </c>
      <c r="N65" s="116" t="s">
        <v>378</v>
      </c>
      <c r="O65" s="118" t="s">
        <v>94</v>
      </c>
      <c r="P65" s="116" t="s">
        <v>379</v>
      </c>
      <c r="Q65" s="118" t="s">
        <v>94</v>
      </c>
      <c r="R65" s="116" t="s">
        <v>378</v>
      </c>
      <c r="S65" s="117" t="s">
        <v>94</v>
      </c>
      <c r="T65" s="116" t="s">
        <v>379</v>
      </c>
      <c r="U65" s="117" t="s">
        <v>94</v>
      </c>
      <c r="V65" s="116" t="s">
        <v>378</v>
      </c>
      <c r="W65" s="117" t="s">
        <v>94</v>
      </c>
      <c r="X65" s="116" t="s">
        <v>379</v>
      </c>
      <c r="Y65" s="117" t="s">
        <v>94</v>
      </c>
      <c r="Z65" s="116" t="s">
        <v>378</v>
      </c>
      <c r="AA65" s="117" t="s">
        <v>94</v>
      </c>
      <c r="AB65" s="116" t="s">
        <v>379</v>
      </c>
      <c r="AC65" s="118" t="s">
        <v>94</v>
      </c>
      <c r="AD65" s="116" t="s">
        <v>378</v>
      </c>
      <c r="AE65" s="117" t="s">
        <v>94</v>
      </c>
      <c r="AF65" s="116" t="s">
        <v>379</v>
      </c>
      <c r="AG65" s="118" t="s">
        <v>94</v>
      </c>
      <c r="AH65" s="116" t="s">
        <v>378</v>
      </c>
      <c r="AI65" s="117" t="s">
        <v>94</v>
      </c>
      <c r="AJ65" s="116" t="s">
        <v>379</v>
      </c>
      <c r="AK65" s="118" t="s">
        <v>94</v>
      </c>
      <c r="AL65" s="116" t="s">
        <v>378</v>
      </c>
      <c r="AM65" s="117" t="s">
        <v>94</v>
      </c>
      <c r="AN65" s="116" t="s">
        <v>379</v>
      </c>
      <c r="AO65" s="118" t="s">
        <v>94</v>
      </c>
      <c r="AP65" s="116" t="s">
        <v>378</v>
      </c>
      <c r="AQ65" s="117" t="s">
        <v>94</v>
      </c>
      <c r="AR65" s="116" t="s">
        <v>379</v>
      </c>
      <c r="AS65" s="118" t="s">
        <v>94</v>
      </c>
      <c r="AT65" s="116" t="s">
        <v>378</v>
      </c>
      <c r="AU65" s="117" t="s">
        <v>94</v>
      </c>
      <c r="AV65" s="116" t="s">
        <v>379</v>
      </c>
      <c r="AW65" s="118" t="s">
        <v>94</v>
      </c>
      <c r="AX65" s="116" t="s">
        <v>378</v>
      </c>
      <c r="AY65" s="117" t="s">
        <v>94</v>
      </c>
      <c r="AZ65" s="116" t="s">
        <v>379</v>
      </c>
      <c r="BA65" s="117" t="s">
        <v>94</v>
      </c>
      <c r="BB65" s="116" t="s">
        <v>378</v>
      </c>
      <c r="BC65" s="117" t="s">
        <v>94</v>
      </c>
      <c r="BD65" s="116" t="s">
        <v>379</v>
      </c>
      <c r="BE65" s="117" t="s">
        <v>94</v>
      </c>
      <c r="BF65" s="116" t="s">
        <v>378</v>
      </c>
      <c r="BG65" s="117" t="s">
        <v>94</v>
      </c>
      <c r="BH65" s="116" t="s">
        <v>379</v>
      </c>
      <c r="BI65" s="117" t="s">
        <v>94</v>
      </c>
      <c r="BJ65" s="116" t="s">
        <v>378</v>
      </c>
      <c r="BK65" s="117" t="s">
        <v>94</v>
      </c>
      <c r="BL65" s="116" t="s">
        <v>379</v>
      </c>
      <c r="BM65" s="132" t="s">
        <v>94</v>
      </c>
      <c r="BN65" s="137" t="s">
        <v>378</v>
      </c>
      <c r="BO65" s="143" t="s">
        <v>94</v>
      </c>
      <c r="BP65" s="59" t="s">
        <v>379</v>
      </c>
      <c r="BQ65" s="143" t="s">
        <v>94</v>
      </c>
      <c r="BR65" s="59" t="s">
        <v>378</v>
      </c>
      <c r="BS65" s="143" t="s">
        <v>94</v>
      </c>
      <c r="BT65" s="59" t="s">
        <v>379</v>
      </c>
      <c r="BU65" s="212" t="s">
        <v>380</v>
      </c>
      <c r="BV65" s="59" t="s">
        <v>378</v>
      </c>
      <c r="BW65" s="143" t="s">
        <v>94</v>
      </c>
      <c r="BX65" s="59" t="s">
        <v>379</v>
      </c>
      <c r="BY65" s="214" t="s">
        <v>94</v>
      </c>
      <c r="BZ65" s="59" t="s">
        <v>378</v>
      </c>
      <c r="CA65" s="63" t="s">
        <v>94</v>
      </c>
      <c r="CB65" s="59" t="s">
        <v>379</v>
      </c>
      <c r="CC65" s="196" t="s">
        <v>912</v>
      </c>
      <c r="CD65" s="59" t="s">
        <v>378</v>
      </c>
      <c r="CE65" s="143" t="s">
        <v>94</v>
      </c>
      <c r="CF65" s="59" t="s">
        <v>379</v>
      </c>
      <c r="CG65" s="214" t="s">
        <v>94</v>
      </c>
      <c r="CH65" s="59" t="s">
        <v>378</v>
      </c>
      <c r="CI65" s="143" t="s">
        <v>94</v>
      </c>
      <c r="CJ65" s="59" t="s">
        <v>379</v>
      </c>
      <c r="CK65" s="214" t="s">
        <v>94</v>
      </c>
      <c r="CL65" s="59" t="s">
        <v>378</v>
      </c>
      <c r="CM65" s="143" t="s">
        <v>94</v>
      </c>
      <c r="CN65" s="59" t="s">
        <v>379</v>
      </c>
      <c r="CO65" s="214" t="s">
        <v>94</v>
      </c>
      <c r="CP65" s="59" t="s">
        <v>378</v>
      </c>
      <c r="CQ65" s="143" t="s">
        <v>94</v>
      </c>
      <c r="CR65" s="59" t="s">
        <v>379</v>
      </c>
      <c r="CS65" s="212" t="s">
        <v>94</v>
      </c>
      <c r="CT65" s="59" t="s">
        <v>378</v>
      </c>
      <c r="CU65" s="143" t="s">
        <v>94</v>
      </c>
      <c r="CV65" s="59" t="s">
        <v>379</v>
      </c>
      <c r="CW65" s="214" t="s">
        <v>94</v>
      </c>
      <c r="CX65" s="59" t="s">
        <v>378</v>
      </c>
      <c r="CY65" s="143" t="s">
        <v>94</v>
      </c>
      <c r="CZ65" s="59" t="s">
        <v>379</v>
      </c>
      <c r="DA65" s="212" t="s">
        <v>94</v>
      </c>
      <c r="DB65" s="59" t="s">
        <v>378</v>
      </c>
      <c r="DC65" s="143" t="s">
        <v>94</v>
      </c>
      <c r="DD65" s="59" t="s">
        <v>379</v>
      </c>
      <c r="DE65" s="214" t="s">
        <v>94</v>
      </c>
      <c r="DF65" s="59" t="s">
        <v>378</v>
      </c>
      <c r="DG65" s="143" t="s">
        <v>94</v>
      </c>
      <c r="DH65" s="59" t="s">
        <v>379</v>
      </c>
      <c r="DI65" s="214" t="s">
        <v>94</v>
      </c>
      <c r="DJ65" s="59" t="s">
        <v>378</v>
      </c>
      <c r="DK65" s="143" t="s">
        <v>94</v>
      </c>
      <c r="DL65" s="59" t="s">
        <v>379</v>
      </c>
      <c r="DM65" s="214" t="s">
        <v>94</v>
      </c>
      <c r="DN65" s="59" t="s">
        <v>378</v>
      </c>
      <c r="DO65" s="143" t="s">
        <v>94</v>
      </c>
      <c r="DP65" s="59" t="s">
        <v>379</v>
      </c>
      <c r="DQ65" s="214" t="s">
        <v>94</v>
      </c>
    </row>
    <row r="66" spans="1:121" x14ac:dyDescent="0.25">
      <c r="A66" s="191"/>
      <c r="H66"/>
      <c r="I66" s="21">
        <v>4</v>
      </c>
      <c r="J66" s="116" t="s">
        <v>190</v>
      </c>
      <c r="K66" s="117" t="str">
        <f>K35</f>
        <v>ANTH1001</v>
      </c>
      <c r="L66" s="116" t="s">
        <v>189</v>
      </c>
      <c r="M66" s="118" t="str">
        <f>M35</f>
        <v>ANTH1000</v>
      </c>
      <c r="N66" s="116" t="s">
        <v>190</v>
      </c>
      <c r="O66" s="117" t="str">
        <f t="shared" si="18"/>
        <v>CHIN1001</v>
      </c>
      <c r="P66" s="116" t="s">
        <v>189</v>
      </c>
      <c r="Q66" s="117" t="str">
        <f t="shared" si="18"/>
        <v>CHIN1000</v>
      </c>
      <c r="R66" s="116" t="s">
        <v>190</v>
      </c>
      <c r="S66" s="117" t="str">
        <f t="shared" ref="S66:U66" si="31">S35</f>
        <v>CWRI1000</v>
      </c>
      <c r="T66" s="116" t="s">
        <v>189</v>
      </c>
      <c r="U66" s="117" t="str">
        <f t="shared" si="31"/>
        <v>PWRP1000</v>
      </c>
      <c r="V66" s="116" t="s">
        <v>190</v>
      </c>
      <c r="W66" s="117" t="str">
        <f t="shared" si="0"/>
        <v>PHGY1000</v>
      </c>
      <c r="X66" s="116" t="s">
        <v>189</v>
      </c>
      <c r="Y66" s="117" t="str">
        <f t="shared" ref="Y66" si="32">Y35</f>
        <v>GEOG1000</v>
      </c>
      <c r="Z66" s="116" t="s">
        <v>190</v>
      </c>
      <c r="AA66" s="117" t="str">
        <f t="shared" ref="AA66" si="33">AA35</f>
        <v>INTR1001</v>
      </c>
      <c r="AB66" s="116" t="s">
        <v>189</v>
      </c>
      <c r="AC66" s="118" t="str">
        <f t="shared" ref="AC66" si="34">AC35</f>
        <v>HIST1000</v>
      </c>
      <c r="AD66" s="116" t="s">
        <v>190</v>
      </c>
      <c r="AE66" s="117" t="str">
        <f t="shared" ref="AE66" si="35">AE35</f>
        <v>OptionY1</v>
      </c>
      <c r="AF66" s="116" t="s">
        <v>189</v>
      </c>
      <c r="AG66" s="118" t="str">
        <f t="shared" ref="AG66" si="36">AG35</f>
        <v>OptionY1</v>
      </c>
      <c r="AH66" s="116" t="s">
        <v>190</v>
      </c>
      <c r="AI66" s="117" t="str">
        <f t="shared" ref="AI66" si="37">AI35</f>
        <v>INTR1001</v>
      </c>
      <c r="AJ66" s="116" t="s">
        <v>189</v>
      </c>
      <c r="AK66" s="118" t="str">
        <f t="shared" ref="AK66" si="38">AK35</f>
        <v>INTR1002</v>
      </c>
      <c r="AL66" s="116" t="s">
        <v>190</v>
      </c>
      <c r="AM66" s="117" t="str">
        <f t="shared" ref="AM66" si="39">AM35</f>
        <v>JAPN1001</v>
      </c>
      <c r="AN66" s="116" t="s">
        <v>189</v>
      </c>
      <c r="AO66" s="118" t="str">
        <f t="shared" ref="AO66" si="40">AO35</f>
        <v>JAPN1000</v>
      </c>
      <c r="AP66" s="116" t="s">
        <v>190</v>
      </c>
      <c r="AQ66" s="117" t="str">
        <f t="shared" si="9"/>
        <v>JOUR1000</v>
      </c>
      <c r="AR66" s="116" t="s">
        <v>189</v>
      </c>
      <c r="AS66" s="118" t="str">
        <f t="shared" ref="AS66" si="41">AS35</f>
        <v>JOUR1000</v>
      </c>
      <c r="AT66" s="116" t="s">
        <v>190</v>
      </c>
      <c r="AU66" s="117" t="str">
        <f t="shared" si="10"/>
        <v>KORE1001</v>
      </c>
      <c r="AV66" s="116" t="s">
        <v>189</v>
      </c>
      <c r="AW66" s="118" t="str">
        <f t="shared" ref="AW66" si="42">AW35</f>
        <v>-KSM-</v>
      </c>
      <c r="AX66" s="116" t="s">
        <v>190</v>
      </c>
      <c r="AY66" s="117" t="str">
        <f t="shared" si="11"/>
        <v>CWRI1003</v>
      </c>
      <c r="AZ66" s="116" t="s">
        <v>189</v>
      </c>
      <c r="BA66" s="117" t="str">
        <f t="shared" ref="BA66" si="43">BA35</f>
        <v>LCST1004</v>
      </c>
      <c r="BB66" s="116" t="s">
        <v>190</v>
      </c>
      <c r="BC66" s="117" t="str">
        <f t="shared" ref="BC66" si="44">BC35</f>
        <v>NETS1000</v>
      </c>
      <c r="BD66" s="116" t="s">
        <v>189</v>
      </c>
      <c r="BE66" s="117" t="str">
        <f t="shared" ref="BE66" si="45">BE35</f>
        <v>NETS1001</v>
      </c>
      <c r="BF66" s="116" t="s">
        <v>190</v>
      </c>
      <c r="BG66" s="117" t="str">
        <f t="shared" ref="BG66" si="46">BG35</f>
        <v>PWRP1003</v>
      </c>
      <c r="BH66" s="116" t="s">
        <v>189</v>
      </c>
      <c r="BI66" s="117" t="str">
        <f t="shared" ref="BI66" si="47">BI35</f>
        <v>PWRP1000</v>
      </c>
      <c r="BJ66" s="116" t="s">
        <v>190</v>
      </c>
      <c r="BK66" s="117" t="str">
        <f t="shared" si="16"/>
        <v>STRD1001</v>
      </c>
      <c r="BL66" s="116" t="s">
        <v>189</v>
      </c>
      <c r="BM66" s="132" t="str">
        <f t="shared" ref="BM66" si="48">BM35</f>
        <v>STRD1000</v>
      </c>
      <c r="BN66" s="137" t="s">
        <v>190</v>
      </c>
      <c r="BO66" s="143" t="s">
        <v>191</v>
      </c>
      <c r="BP66" s="59" t="s">
        <v>189</v>
      </c>
      <c r="BQ66" s="143" t="s">
        <v>191</v>
      </c>
      <c r="BR66" s="59" t="s">
        <v>190</v>
      </c>
      <c r="BS66" s="143" t="s">
        <v>191</v>
      </c>
      <c r="BT66" s="59" t="s">
        <v>189</v>
      </c>
      <c r="BU66" s="212" t="s">
        <v>191</v>
      </c>
      <c r="BV66" s="59" t="s">
        <v>190</v>
      </c>
      <c r="BW66" s="143" t="s">
        <v>191</v>
      </c>
      <c r="BX66" s="59" t="s">
        <v>189</v>
      </c>
      <c r="BY66" s="214" t="s">
        <v>191</v>
      </c>
      <c r="BZ66" s="59" t="s">
        <v>190</v>
      </c>
      <c r="CA66" s="63" t="s">
        <v>74</v>
      </c>
      <c r="CB66" s="59" t="s">
        <v>189</v>
      </c>
      <c r="CC66" s="93" t="s">
        <v>912</v>
      </c>
      <c r="CD66" s="59" t="s">
        <v>190</v>
      </c>
      <c r="CE66" s="143" t="s">
        <v>191</v>
      </c>
      <c r="CF66" s="59" t="s">
        <v>189</v>
      </c>
      <c r="CG66" s="214" t="s">
        <v>191</v>
      </c>
      <c r="CH66" s="59" t="s">
        <v>190</v>
      </c>
      <c r="CI66" s="143" t="s">
        <v>191</v>
      </c>
      <c r="CJ66" s="59" t="s">
        <v>189</v>
      </c>
      <c r="CK66" s="214" t="s">
        <v>191</v>
      </c>
      <c r="CL66" s="59" t="s">
        <v>190</v>
      </c>
      <c r="CM66" s="143" t="s">
        <v>191</v>
      </c>
      <c r="CN66" s="59" t="s">
        <v>189</v>
      </c>
      <c r="CO66" s="214" t="s">
        <v>191</v>
      </c>
      <c r="CP66" s="59" t="s">
        <v>190</v>
      </c>
      <c r="CQ66" s="143" t="s">
        <v>191</v>
      </c>
      <c r="CR66" s="59" t="s">
        <v>189</v>
      </c>
      <c r="CS66" s="212" t="s">
        <v>191</v>
      </c>
      <c r="CT66" s="59" t="s">
        <v>190</v>
      </c>
      <c r="CU66" s="143" t="s">
        <v>191</v>
      </c>
      <c r="CV66" s="59" t="s">
        <v>189</v>
      </c>
      <c r="CW66" s="214" t="s">
        <v>191</v>
      </c>
      <c r="CX66" s="59" t="s">
        <v>190</v>
      </c>
      <c r="CY66" s="143" t="s">
        <v>191</v>
      </c>
      <c r="CZ66" s="59" t="s">
        <v>189</v>
      </c>
      <c r="DA66" s="212" t="s">
        <v>191</v>
      </c>
      <c r="DB66" s="59" t="s">
        <v>190</v>
      </c>
      <c r="DC66" s="143" t="s">
        <v>191</v>
      </c>
      <c r="DD66" s="59" t="s">
        <v>189</v>
      </c>
      <c r="DE66" s="214" t="s">
        <v>191</v>
      </c>
      <c r="DF66" s="59" t="s">
        <v>190</v>
      </c>
      <c r="DG66" s="221" t="s">
        <v>68</v>
      </c>
      <c r="DH66" s="59" t="s">
        <v>189</v>
      </c>
      <c r="DI66" s="227" t="s">
        <v>68</v>
      </c>
      <c r="DJ66" s="59" t="s">
        <v>190</v>
      </c>
      <c r="DK66" s="143" t="s">
        <v>73</v>
      </c>
      <c r="DL66" s="59" t="s">
        <v>189</v>
      </c>
      <c r="DM66" s="214" t="s">
        <v>72</v>
      </c>
      <c r="DN66" s="59" t="s">
        <v>190</v>
      </c>
      <c r="DO66" s="143" t="s">
        <v>191</v>
      </c>
      <c r="DP66" s="59" t="s">
        <v>189</v>
      </c>
      <c r="DQ66" s="214" t="s">
        <v>191</v>
      </c>
    </row>
    <row r="67" spans="1:121" x14ac:dyDescent="0.25">
      <c r="A67" s="191"/>
      <c r="F67"/>
      <c r="G67"/>
      <c r="H67"/>
      <c r="I67" s="21">
        <v>5</v>
      </c>
      <c r="J67" s="116" t="s">
        <v>379</v>
      </c>
      <c r="K67" s="117" t="s">
        <v>94</v>
      </c>
      <c r="L67" s="116" t="s">
        <v>378</v>
      </c>
      <c r="M67" s="118" t="s">
        <v>94</v>
      </c>
      <c r="N67" s="116" t="s">
        <v>379</v>
      </c>
      <c r="O67" s="118" t="s">
        <v>94</v>
      </c>
      <c r="P67" s="116" t="s">
        <v>378</v>
      </c>
      <c r="Q67" s="118" t="s">
        <v>94</v>
      </c>
      <c r="R67" s="116" t="s">
        <v>379</v>
      </c>
      <c r="S67" s="117" t="s">
        <v>94</v>
      </c>
      <c r="T67" s="116" t="s">
        <v>378</v>
      </c>
      <c r="U67" s="117" t="s">
        <v>94</v>
      </c>
      <c r="V67" s="116" t="s">
        <v>379</v>
      </c>
      <c r="W67" s="117" t="s">
        <v>94</v>
      </c>
      <c r="X67" s="116" t="s">
        <v>378</v>
      </c>
      <c r="Y67" s="117" t="s">
        <v>94</v>
      </c>
      <c r="Z67" s="116" t="s">
        <v>379</v>
      </c>
      <c r="AA67" s="117" t="s">
        <v>94</v>
      </c>
      <c r="AB67" s="116" t="s">
        <v>378</v>
      </c>
      <c r="AC67" s="118" t="s">
        <v>94</v>
      </c>
      <c r="AD67" s="116" t="s">
        <v>379</v>
      </c>
      <c r="AE67" s="117" t="s">
        <v>94</v>
      </c>
      <c r="AF67" s="116" t="s">
        <v>378</v>
      </c>
      <c r="AG67" s="118" t="s">
        <v>94</v>
      </c>
      <c r="AH67" s="116" t="s">
        <v>379</v>
      </c>
      <c r="AI67" s="117" t="s">
        <v>94</v>
      </c>
      <c r="AJ67" s="116" t="s">
        <v>378</v>
      </c>
      <c r="AK67" s="118" t="s">
        <v>94</v>
      </c>
      <c r="AL67" s="116" t="s">
        <v>379</v>
      </c>
      <c r="AM67" s="117" t="s">
        <v>94</v>
      </c>
      <c r="AN67" s="116" t="s">
        <v>378</v>
      </c>
      <c r="AO67" s="118" t="s">
        <v>94</v>
      </c>
      <c r="AP67" s="116" t="s">
        <v>379</v>
      </c>
      <c r="AQ67" s="117" t="s">
        <v>94</v>
      </c>
      <c r="AR67" s="116" t="s">
        <v>378</v>
      </c>
      <c r="AS67" s="118" t="s">
        <v>94</v>
      </c>
      <c r="AT67" s="116" t="s">
        <v>379</v>
      </c>
      <c r="AU67" s="117" t="s">
        <v>94</v>
      </c>
      <c r="AV67" s="116" t="s">
        <v>378</v>
      </c>
      <c r="AW67" s="118" t="s">
        <v>94</v>
      </c>
      <c r="AX67" s="116" t="s">
        <v>379</v>
      </c>
      <c r="AY67" s="117" t="s">
        <v>94</v>
      </c>
      <c r="AZ67" s="116" t="s">
        <v>378</v>
      </c>
      <c r="BA67" s="117" t="s">
        <v>94</v>
      </c>
      <c r="BB67" s="116" t="s">
        <v>379</v>
      </c>
      <c r="BC67" s="117" t="s">
        <v>94</v>
      </c>
      <c r="BD67" s="116" t="s">
        <v>378</v>
      </c>
      <c r="BE67" s="117" t="s">
        <v>94</v>
      </c>
      <c r="BF67" s="116" t="s">
        <v>379</v>
      </c>
      <c r="BG67" s="117" t="s">
        <v>94</v>
      </c>
      <c r="BH67" s="116" t="s">
        <v>378</v>
      </c>
      <c r="BI67" s="117" t="s">
        <v>94</v>
      </c>
      <c r="BJ67" s="116" t="s">
        <v>379</v>
      </c>
      <c r="BK67" s="117" t="s">
        <v>94</v>
      </c>
      <c r="BL67" s="116" t="s">
        <v>378</v>
      </c>
      <c r="BM67" s="132" t="s">
        <v>94</v>
      </c>
      <c r="BN67" s="137" t="s">
        <v>379</v>
      </c>
      <c r="BO67" s="143" t="s">
        <v>94</v>
      </c>
      <c r="BP67" s="59" t="s">
        <v>378</v>
      </c>
      <c r="BQ67" s="143" t="s">
        <v>94</v>
      </c>
      <c r="BR67" s="59" t="s">
        <v>379</v>
      </c>
      <c r="BS67" s="143" t="s">
        <v>380</v>
      </c>
      <c r="BT67" s="59" t="s">
        <v>378</v>
      </c>
      <c r="BU67" s="212" t="s">
        <v>94</v>
      </c>
      <c r="BV67" s="59" t="s">
        <v>379</v>
      </c>
      <c r="BW67" s="221" t="s">
        <v>381</v>
      </c>
      <c r="BX67" s="59" t="s">
        <v>378</v>
      </c>
      <c r="BY67" s="227" t="s">
        <v>381</v>
      </c>
      <c r="BZ67" s="59" t="s">
        <v>379</v>
      </c>
      <c r="CA67" s="63" t="s">
        <v>94</v>
      </c>
      <c r="CB67" s="59" t="s">
        <v>378</v>
      </c>
      <c r="CC67" s="196" t="s">
        <v>912</v>
      </c>
      <c r="CD67" s="59" t="s">
        <v>379</v>
      </c>
      <c r="CE67" s="221" t="s">
        <v>382</v>
      </c>
      <c r="CF67" s="59" t="s">
        <v>378</v>
      </c>
      <c r="CG67" s="227" t="s">
        <v>382</v>
      </c>
      <c r="CH67" s="59" t="s">
        <v>379</v>
      </c>
      <c r="CI67" s="221" t="s">
        <v>383</v>
      </c>
      <c r="CJ67" s="59" t="s">
        <v>378</v>
      </c>
      <c r="CK67" s="227" t="s">
        <v>383</v>
      </c>
      <c r="CL67" s="59" t="s">
        <v>379</v>
      </c>
      <c r="CM67" s="221" t="s">
        <v>384</v>
      </c>
      <c r="CN67" s="59" t="s">
        <v>378</v>
      </c>
      <c r="CO67" s="227" t="s">
        <v>384</v>
      </c>
      <c r="CP67" s="59" t="s">
        <v>379</v>
      </c>
      <c r="CQ67" s="221" t="s">
        <v>385</v>
      </c>
      <c r="CR67" s="59" t="s">
        <v>378</v>
      </c>
      <c r="CS67" s="225" t="s">
        <v>385</v>
      </c>
      <c r="CT67" s="59" t="s">
        <v>379</v>
      </c>
      <c r="CU67" s="221" t="s">
        <v>386</v>
      </c>
      <c r="CV67" s="59" t="s">
        <v>378</v>
      </c>
      <c r="CW67" s="227" t="s">
        <v>386</v>
      </c>
      <c r="CX67" s="59" t="s">
        <v>379</v>
      </c>
      <c r="CY67" s="221" t="s">
        <v>387</v>
      </c>
      <c r="CZ67" s="59" t="s">
        <v>378</v>
      </c>
      <c r="DA67" s="225" t="s">
        <v>387</v>
      </c>
      <c r="DB67" s="59" t="s">
        <v>379</v>
      </c>
      <c r="DC67" s="221" t="s">
        <v>388</v>
      </c>
      <c r="DD67" s="59" t="s">
        <v>378</v>
      </c>
      <c r="DE67" s="227" t="s">
        <v>388</v>
      </c>
      <c r="DF67" s="59" t="s">
        <v>379</v>
      </c>
      <c r="DG67" s="143" t="s">
        <v>94</v>
      </c>
      <c r="DH67" s="59" t="s">
        <v>378</v>
      </c>
      <c r="DI67" s="214" t="s">
        <v>94</v>
      </c>
      <c r="DJ67" s="59" t="s">
        <v>379</v>
      </c>
      <c r="DK67" s="143" t="s">
        <v>94</v>
      </c>
      <c r="DL67" s="59" t="s">
        <v>378</v>
      </c>
      <c r="DM67" s="214" t="s">
        <v>94</v>
      </c>
      <c r="DN67" s="59" t="s">
        <v>379</v>
      </c>
      <c r="DO67" s="221" t="s">
        <v>389</v>
      </c>
      <c r="DP67" s="59" t="s">
        <v>378</v>
      </c>
      <c r="DQ67" s="227" t="s">
        <v>389</v>
      </c>
    </row>
    <row r="68" spans="1:121" x14ac:dyDescent="0.25">
      <c r="A68" s="191"/>
      <c r="F68"/>
      <c r="G68"/>
      <c r="H68"/>
      <c r="I68" s="21">
        <v>6</v>
      </c>
      <c r="J68" s="113" t="s">
        <v>103</v>
      </c>
      <c r="K68" s="115" t="str">
        <f>K37</f>
        <v>ANTH2003</v>
      </c>
      <c r="L68" s="113" t="s">
        <v>105</v>
      </c>
      <c r="M68" s="114" t="str">
        <f>M37</f>
        <v>ANTH2000</v>
      </c>
      <c r="N68" s="115" t="s">
        <v>103</v>
      </c>
      <c r="O68" s="114" t="str">
        <f t="shared" si="18"/>
        <v>CHIN2000</v>
      </c>
      <c r="P68" s="113" t="s">
        <v>105</v>
      </c>
      <c r="Q68" s="114" t="str">
        <f t="shared" si="18"/>
        <v>CHIN2003</v>
      </c>
      <c r="R68" s="113" t="s">
        <v>103</v>
      </c>
      <c r="S68" s="114" t="str">
        <f t="shared" ref="S68:U68" si="49">S37</f>
        <v>CWRI2001</v>
      </c>
      <c r="T68" s="113" t="s">
        <v>105</v>
      </c>
      <c r="U68" s="114" t="str">
        <f t="shared" si="49"/>
        <v>CWRI2007</v>
      </c>
      <c r="V68" s="113" t="s">
        <v>103</v>
      </c>
      <c r="W68" s="114" t="str">
        <f t="shared" si="0"/>
        <v>GEOG2001</v>
      </c>
      <c r="X68" s="113" t="s">
        <v>105</v>
      </c>
      <c r="Y68" s="114" t="str">
        <f t="shared" ref="Y68" si="50">Y37</f>
        <v>GEOG2000</v>
      </c>
      <c r="Z68" s="113" t="s">
        <v>103</v>
      </c>
      <c r="AA68" s="114" t="str">
        <f t="shared" ref="AA68" si="51">AA37</f>
        <v>HIST2001</v>
      </c>
      <c r="AB68" s="115" t="s">
        <v>105</v>
      </c>
      <c r="AC68" s="115" t="str">
        <f t="shared" ref="AC68" si="52">AC37</f>
        <v>HIST2003</v>
      </c>
      <c r="AD68" s="113" t="s">
        <v>103</v>
      </c>
      <c r="AE68" s="114" t="str">
        <f t="shared" ref="AE68:AE75" si="53">AE37</f>
        <v>INDS1000</v>
      </c>
      <c r="AF68" s="115" t="s">
        <v>105</v>
      </c>
      <c r="AG68" s="115" t="str">
        <f t="shared" ref="AG68:AG75" si="54">AG37</f>
        <v>INDS1000</v>
      </c>
      <c r="AH68" s="113" t="s">
        <v>103</v>
      </c>
      <c r="AI68" s="114" t="str">
        <f t="shared" ref="AI68" si="55">AI37</f>
        <v>INTR2002</v>
      </c>
      <c r="AJ68" s="115" t="s">
        <v>105</v>
      </c>
      <c r="AK68" s="115" t="str">
        <f t="shared" ref="AK68" si="56">AK37</f>
        <v>POLS2000</v>
      </c>
      <c r="AL68" s="113" t="s">
        <v>103</v>
      </c>
      <c r="AM68" s="114" t="str">
        <f t="shared" ref="AM68" si="57">AM37</f>
        <v>JAPN2000</v>
      </c>
      <c r="AN68" s="115" t="s">
        <v>105</v>
      </c>
      <c r="AO68" s="115" t="str">
        <f t="shared" ref="AO68" si="58">AO37</f>
        <v>JAPN2002</v>
      </c>
      <c r="AP68" s="113" t="s">
        <v>103</v>
      </c>
      <c r="AQ68" s="114" t="str">
        <f t="shared" si="9"/>
        <v>JOUR2005</v>
      </c>
      <c r="AR68" s="115" t="s">
        <v>105</v>
      </c>
      <c r="AS68" s="115" t="str">
        <f t="shared" ref="AS68" si="59">AS37</f>
        <v>JOUR2003</v>
      </c>
      <c r="AT68" s="113" t="s">
        <v>103</v>
      </c>
      <c r="AU68" s="114" t="str">
        <f t="shared" si="10"/>
        <v>KORE2000</v>
      </c>
      <c r="AV68" s="115" t="s">
        <v>105</v>
      </c>
      <c r="AW68" s="115" t="str">
        <f t="shared" ref="AW68" si="60">AW37</f>
        <v>-KSM-</v>
      </c>
      <c r="AX68" s="113" t="s">
        <v>103</v>
      </c>
      <c r="AY68" s="114" t="str">
        <f t="shared" si="11"/>
        <v>LCST2006</v>
      </c>
      <c r="AZ68" s="115" t="s">
        <v>105</v>
      </c>
      <c r="BA68" s="114" t="str">
        <f t="shared" ref="BA68" si="61">BA37</f>
        <v>LCST2007</v>
      </c>
      <c r="BB68" s="113" t="s">
        <v>103</v>
      </c>
      <c r="BC68" s="114" t="str">
        <f t="shared" ref="BC68:BC75" si="62">BC37</f>
        <v>NETS2000</v>
      </c>
      <c r="BD68" s="115" t="s">
        <v>105</v>
      </c>
      <c r="BE68" s="114" t="str">
        <f t="shared" ref="BE68:BE75" si="63">BE37</f>
        <v>NETS2001</v>
      </c>
      <c r="BF68" s="113" t="s">
        <v>103</v>
      </c>
      <c r="BG68" s="114" t="str">
        <f t="shared" ref="BG68:BG75" si="64">BG37</f>
        <v>PWRP2001</v>
      </c>
      <c r="BH68" s="115" t="s">
        <v>105</v>
      </c>
      <c r="BI68" s="114" t="str">
        <f t="shared" ref="BI68:BI75" si="65">BI37</f>
        <v>PWRP2008</v>
      </c>
      <c r="BJ68" s="113" t="s">
        <v>103</v>
      </c>
      <c r="BK68" s="114" t="str">
        <f t="shared" si="16"/>
        <v>STRD2001</v>
      </c>
      <c r="BL68" s="115" t="s">
        <v>105</v>
      </c>
      <c r="BM68" s="131" t="str">
        <f t="shared" ref="BM68" si="66">BM37</f>
        <v>STRD2000</v>
      </c>
      <c r="BN68" s="136" t="s">
        <v>103</v>
      </c>
      <c r="BO68" s="142" t="s">
        <v>390</v>
      </c>
      <c r="BP68" s="58" t="str">
        <f>BN70</f>
        <v>Y2Sem2</v>
      </c>
      <c r="BQ68" s="142" t="s">
        <v>390</v>
      </c>
      <c r="BR68" s="54" t="s">
        <v>103</v>
      </c>
      <c r="BS68" s="142" t="s">
        <v>391</v>
      </c>
      <c r="BT68" s="86" t="s">
        <v>105</v>
      </c>
      <c r="BU68" s="211" t="s">
        <v>392</v>
      </c>
      <c r="BV68" s="54" t="s">
        <v>103</v>
      </c>
      <c r="BW68" s="142" t="s">
        <v>393</v>
      </c>
      <c r="BX68" s="86" t="s">
        <v>105</v>
      </c>
      <c r="BY68" s="213" t="s">
        <v>394</v>
      </c>
      <c r="BZ68" s="54" t="s">
        <v>103</v>
      </c>
      <c r="CA68" s="62" t="s">
        <v>395</v>
      </c>
      <c r="CB68" s="86" t="str">
        <f>BZ70</f>
        <v>Y2Sem2</v>
      </c>
      <c r="CC68" s="92" t="s">
        <v>912</v>
      </c>
      <c r="CD68" s="54" t="s">
        <v>103</v>
      </c>
      <c r="CE68" s="142" t="s">
        <v>396</v>
      </c>
      <c r="CF68" s="86" t="str">
        <f>CD70</f>
        <v>Y2Sem2</v>
      </c>
      <c r="CG68" s="213" t="s">
        <v>397</v>
      </c>
      <c r="CH68" s="54" t="s">
        <v>103</v>
      </c>
      <c r="CI68" s="220" t="s">
        <v>398</v>
      </c>
      <c r="CJ68" s="86" t="str">
        <f>CH70</f>
        <v>Y2Sem2</v>
      </c>
      <c r="CK68" s="229" t="s">
        <v>398</v>
      </c>
      <c r="CL68" s="54" t="s">
        <v>103</v>
      </c>
      <c r="CM68" s="142" t="s">
        <v>386</v>
      </c>
      <c r="CN68" s="86" t="str">
        <f>CL70</f>
        <v>Y2Sem2</v>
      </c>
      <c r="CO68" s="213" t="s">
        <v>385</v>
      </c>
      <c r="CP68" s="54" t="s">
        <v>103</v>
      </c>
      <c r="CQ68" s="142" t="s">
        <v>399</v>
      </c>
      <c r="CR68" s="86" t="str">
        <f>CP70</f>
        <v>Y2Sem2</v>
      </c>
      <c r="CS68" s="211" t="s">
        <v>400</v>
      </c>
      <c r="CT68" s="54" t="s">
        <v>103</v>
      </c>
      <c r="CU68" s="142" t="s">
        <v>401</v>
      </c>
      <c r="CV68" s="86" t="str">
        <f>CT70</f>
        <v>Y2Sem2</v>
      </c>
      <c r="CW68" s="213" t="s">
        <v>402</v>
      </c>
      <c r="CX68" s="54" t="s">
        <v>103</v>
      </c>
      <c r="CY68" s="142" t="s">
        <v>403</v>
      </c>
      <c r="CZ68" s="86" t="str">
        <f>CX70</f>
        <v>Y2Sem2</v>
      </c>
      <c r="DA68" s="211" t="s">
        <v>404</v>
      </c>
      <c r="DB68" s="54" t="s">
        <v>103</v>
      </c>
      <c r="DC68" s="142" t="s">
        <v>405</v>
      </c>
      <c r="DD68" s="54" t="str">
        <f>DB70</f>
        <v>Y2Sem2</v>
      </c>
      <c r="DE68" s="213" t="s">
        <v>406</v>
      </c>
      <c r="DF68" s="54" t="s">
        <v>103</v>
      </c>
      <c r="DG68" s="142" t="s">
        <v>407</v>
      </c>
      <c r="DH68" s="54" t="str">
        <f>DF70</f>
        <v>Y2Sem2</v>
      </c>
      <c r="DI68" s="213" t="s">
        <v>408</v>
      </c>
      <c r="DJ68" s="54" t="s">
        <v>103</v>
      </c>
      <c r="DK68" s="142" t="s">
        <v>409</v>
      </c>
      <c r="DL68" s="54" t="s">
        <v>105</v>
      </c>
      <c r="DM68" s="213" t="s">
        <v>410</v>
      </c>
      <c r="DN68" s="54" t="s">
        <v>103</v>
      </c>
      <c r="DO68" s="142" t="s">
        <v>411</v>
      </c>
      <c r="DP68" s="54" t="s">
        <v>105</v>
      </c>
      <c r="DQ68" s="213" t="s">
        <v>412</v>
      </c>
    </row>
    <row r="69" spans="1:121" x14ac:dyDescent="0.25">
      <c r="A69" s="191"/>
      <c r="F69"/>
      <c r="G69"/>
      <c r="H69"/>
      <c r="I69" s="21">
        <v>7</v>
      </c>
      <c r="J69" s="116" t="s">
        <v>103</v>
      </c>
      <c r="K69" s="118" t="str">
        <f t="shared" ref="K69:M75" si="67">K38</f>
        <v>SUST2000</v>
      </c>
      <c r="L69" s="116" t="s">
        <v>105</v>
      </c>
      <c r="M69" s="117" t="str">
        <f t="shared" si="67"/>
        <v>ANTH2002</v>
      </c>
      <c r="N69" s="118" t="s">
        <v>103</v>
      </c>
      <c r="O69" s="117" t="str">
        <f t="shared" si="18"/>
        <v>CHIN2001</v>
      </c>
      <c r="P69" s="116" t="s">
        <v>105</v>
      </c>
      <c r="Q69" s="117" t="str">
        <f t="shared" si="18"/>
        <v>CHIN2002</v>
      </c>
      <c r="R69" s="116" t="s">
        <v>103</v>
      </c>
      <c r="S69" s="117" t="str">
        <f t="shared" ref="S69:U69" si="68">S38</f>
        <v>CWRI2002</v>
      </c>
      <c r="T69" s="116" t="s">
        <v>105</v>
      </c>
      <c r="U69" s="117" t="str">
        <f t="shared" si="68"/>
        <v>CWRI2016</v>
      </c>
      <c r="V69" s="116" t="s">
        <v>103</v>
      </c>
      <c r="W69" s="117" t="str">
        <f t="shared" si="0"/>
        <v>GEOG2002</v>
      </c>
      <c r="X69" s="116" t="s">
        <v>105</v>
      </c>
      <c r="Y69" s="117" t="str">
        <f t="shared" ref="Y69" si="69">Y38</f>
        <v>PHGY2000</v>
      </c>
      <c r="Z69" s="116" t="s">
        <v>103</v>
      </c>
      <c r="AA69" s="117" t="str">
        <f t="shared" ref="AA69" si="70">AA38</f>
        <v>HIST2002</v>
      </c>
      <c r="AB69" s="118" t="s">
        <v>105</v>
      </c>
      <c r="AC69" s="118" t="str">
        <f t="shared" ref="AC69" si="71">AC38</f>
        <v>HIST2000</v>
      </c>
      <c r="AD69" s="116" t="s">
        <v>103</v>
      </c>
      <c r="AE69" s="117" t="str">
        <f t="shared" si="53"/>
        <v>INDS2004</v>
      </c>
      <c r="AF69" s="118" t="s">
        <v>105</v>
      </c>
      <c r="AG69" s="118" t="str">
        <f t="shared" si="54"/>
        <v>INDS2002</v>
      </c>
      <c r="AH69" s="116" t="s">
        <v>103</v>
      </c>
      <c r="AI69" s="117" t="str">
        <f t="shared" ref="AI69" si="72">AI38</f>
        <v>INTR2000</v>
      </c>
      <c r="AJ69" s="118" t="s">
        <v>105</v>
      </c>
      <c r="AK69" s="118" t="str">
        <f t="shared" ref="AK69" si="73">AK38</f>
        <v>INTR2003</v>
      </c>
      <c r="AL69" s="116" t="s">
        <v>103</v>
      </c>
      <c r="AM69" s="117" t="str">
        <f t="shared" ref="AM69" si="74">AM38</f>
        <v>JAPN2001</v>
      </c>
      <c r="AN69" s="118" t="s">
        <v>105</v>
      </c>
      <c r="AO69" s="118" t="str">
        <f t="shared" ref="AO69" si="75">AO38</f>
        <v>JAPN2003</v>
      </c>
      <c r="AP69" s="116" t="s">
        <v>103</v>
      </c>
      <c r="AQ69" s="117" t="str">
        <f t="shared" si="9"/>
        <v>JOUR2000</v>
      </c>
      <c r="AR69" s="118" t="s">
        <v>105</v>
      </c>
      <c r="AS69" s="118" t="str">
        <f t="shared" ref="AS69" si="76">AS38</f>
        <v>JOUR2002</v>
      </c>
      <c r="AT69" s="116" t="s">
        <v>103</v>
      </c>
      <c r="AU69" s="117" t="str">
        <f t="shared" si="10"/>
        <v>KORE2002</v>
      </c>
      <c r="AV69" s="118" t="s">
        <v>105</v>
      </c>
      <c r="AW69" s="118" t="str">
        <f t="shared" ref="AW69" si="77">AW38</f>
        <v>-KSM-</v>
      </c>
      <c r="AX69" s="116" t="s">
        <v>103</v>
      </c>
      <c r="AY69" s="117" t="str">
        <f t="shared" si="11"/>
        <v>Opt-LITCUY2</v>
      </c>
      <c r="AZ69" s="118" t="s">
        <v>105</v>
      </c>
      <c r="BA69" s="117" t="str">
        <f t="shared" ref="BA69" si="78">BA38</f>
        <v>Opt-LITCUY2</v>
      </c>
      <c r="BB69" s="116" t="s">
        <v>103</v>
      </c>
      <c r="BC69" s="117" t="str">
        <f t="shared" si="62"/>
        <v>NETS2002</v>
      </c>
      <c r="BD69" s="118" t="s">
        <v>105</v>
      </c>
      <c r="BE69" s="117" t="str">
        <f t="shared" si="63"/>
        <v>NETS2003</v>
      </c>
      <c r="BF69" s="116" t="s">
        <v>103</v>
      </c>
      <c r="BG69" s="117" t="str">
        <f t="shared" si="64"/>
        <v>PWRP2007</v>
      </c>
      <c r="BH69" s="118" t="s">
        <v>105</v>
      </c>
      <c r="BI69" s="117" t="str">
        <f t="shared" si="65"/>
        <v>PWRP2010</v>
      </c>
      <c r="BJ69" s="116" t="s">
        <v>103</v>
      </c>
      <c r="BK69" s="117" t="str">
        <f t="shared" si="16"/>
        <v>STRD2002</v>
      </c>
      <c r="BL69" s="118" t="s">
        <v>105</v>
      </c>
      <c r="BM69" s="132" t="str">
        <f t="shared" ref="BM69" si="79">BM38</f>
        <v>STRD2003</v>
      </c>
      <c r="BN69" s="137" t="s">
        <v>103</v>
      </c>
      <c r="BO69" s="143" t="s">
        <v>390</v>
      </c>
      <c r="BP69" s="59" t="str">
        <f>BN71</f>
        <v>Y2Sem2</v>
      </c>
      <c r="BQ69" s="143" t="s">
        <v>390</v>
      </c>
      <c r="BR69" s="56" t="s">
        <v>103</v>
      </c>
      <c r="BS69" s="143" t="s">
        <v>413</v>
      </c>
      <c r="BT69" s="1" t="s">
        <v>105</v>
      </c>
      <c r="BU69" s="212" t="s">
        <v>414</v>
      </c>
      <c r="BV69" s="56" t="s">
        <v>103</v>
      </c>
      <c r="BW69" s="221" t="s">
        <v>415</v>
      </c>
      <c r="BX69" s="1" t="s">
        <v>105</v>
      </c>
      <c r="BY69" s="227" t="s">
        <v>415</v>
      </c>
      <c r="BZ69" s="56" t="s">
        <v>103</v>
      </c>
      <c r="CA69" s="63" t="s">
        <v>416</v>
      </c>
      <c r="CB69" s="1" t="str">
        <f>BZ71</f>
        <v>Y2Sem2</v>
      </c>
      <c r="CC69" s="93" t="s">
        <v>912</v>
      </c>
      <c r="CD69" s="56" t="s">
        <v>103</v>
      </c>
      <c r="CE69" s="143" t="s">
        <v>417</v>
      </c>
      <c r="CF69" s="1" t="str">
        <f>CD71</f>
        <v>Y2Sem2</v>
      </c>
      <c r="CG69" s="214" t="s">
        <v>418</v>
      </c>
      <c r="CH69" s="56" t="s">
        <v>103</v>
      </c>
      <c r="CI69" s="221" t="s">
        <v>419</v>
      </c>
      <c r="CJ69" s="1" t="str">
        <f>CH71</f>
        <v>Y2Sem2</v>
      </c>
      <c r="CK69" s="227" t="s">
        <v>419</v>
      </c>
      <c r="CL69" s="56" t="s">
        <v>103</v>
      </c>
      <c r="CM69" s="143" t="s">
        <v>420</v>
      </c>
      <c r="CN69" s="1" t="str">
        <f>CL71</f>
        <v>Y2Sem2</v>
      </c>
      <c r="CO69" s="214" t="s">
        <v>421</v>
      </c>
      <c r="CP69" s="56" t="s">
        <v>103</v>
      </c>
      <c r="CQ69" s="143" t="s">
        <v>422</v>
      </c>
      <c r="CR69" s="1" t="str">
        <f>CP71</f>
        <v>Y2Sem2</v>
      </c>
      <c r="CS69" s="93" t="s">
        <v>423</v>
      </c>
      <c r="CT69" s="56" t="s">
        <v>103</v>
      </c>
      <c r="CU69" s="143" t="s">
        <v>424</v>
      </c>
      <c r="CV69" s="1" t="str">
        <f>CT71</f>
        <v>Y2Sem2</v>
      </c>
      <c r="CW69" s="214" t="s">
        <v>425</v>
      </c>
      <c r="CX69" s="56" t="s">
        <v>103</v>
      </c>
      <c r="CY69" s="143" t="s">
        <v>426</v>
      </c>
      <c r="CZ69" s="1" t="str">
        <f>CX71</f>
        <v>Y2Sem2</v>
      </c>
      <c r="DA69" s="212" t="s">
        <v>427</v>
      </c>
      <c r="DB69" s="56" t="s">
        <v>103</v>
      </c>
      <c r="DC69" s="143" t="s">
        <v>428</v>
      </c>
      <c r="DD69" s="56" t="str">
        <f>DB71</f>
        <v>Y2Sem2</v>
      </c>
      <c r="DE69" s="214" t="s">
        <v>414</v>
      </c>
      <c r="DF69" s="56" t="s">
        <v>103</v>
      </c>
      <c r="DG69" s="143" t="s">
        <v>430</v>
      </c>
      <c r="DH69" s="56" t="str">
        <f>DF71</f>
        <v>Y2Sem2</v>
      </c>
      <c r="DI69" s="214" t="s">
        <v>431</v>
      </c>
      <c r="DJ69" s="56" t="s">
        <v>103</v>
      </c>
      <c r="DK69" s="143" t="s">
        <v>432</v>
      </c>
      <c r="DL69" s="56" t="s">
        <v>105</v>
      </c>
      <c r="DM69" s="214" t="s">
        <v>433</v>
      </c>
      <c r="DN69" s="56" t="s">
        <v>103</v>
      </c>
      <c r="DO69" s="143" t="s">
        <v>434</v>
      </c>
      <c r="DP69" s="56" t="s">
        <v>105</v>
      </c>
      <c r="DQ69" s="214" t="s">
        <v>435</v>
      </c>
    </row>
    <row r="70" spans="1:121" x14ac:dyDescent="0.25">
      <c r="A70" s="191"/>
      <c r="F70"/>
      <c r="G70"/>
      <c r="H70"/>
      <c r="I70" s="21">
        <v>8</v>
      </c>
      <c r="J70" s="116" t="s">
        <v>105</v>
      </c>
      <c r="K70" s="118" t="str">
        <f t="shared" si="67"/>
        <v>ANTH2000</v>
      </c>
      <c r="L70" s="116" t="s">
        <v>103</v>
      </c>
      <c r="M70" s="117" t="str">
        <f t="shared" si="67"/>
        <v>ANTH2003</v>
      </c>
      <c r="N70" s="118" t="s">
        <v>105</v>
      </c>
      <c r="O70" s="117" t="str">
        <f t="shared" si="18"/>
        <v>CHIN2003</v>
      </c>
      <c r="P70" s="116" t="s">
        <v>103</v>
      </c>
      <c r="Q70" s="117" t="str">
        <f t="shared" si="18"/>
        <v>CHIN2000</v>
      </c>
      <c r="R70" s="116" t="s">
        <v>105</v>
      </c>
      <c r="S70" s="117" t="str">
        <f t="shared" ref="S70:U70" si="80">S39</f>
        <v>CWRI2007</v>
      </c>
      <c r="T70" s="116" t="s">
        <v>103</v>
      </c>
      <c r="U70" s="117" t="str">
        <f t="shared" si="80"/>
        <v>CWRI2001</v>
      </c>
      <c r="V70" s="116" t="s">
        <v>105</v>
      </c>
      <c r="W70" s="117" t="str">
        <f t="shared" si="0"/>
        <v>GEOG2000</v>
      </c>
      <c r="X70" s="116" t="s">
        <v>103</v>
      </c>
      <c r="Y70" s="117" t="str">
        <f t="shared" ref="Y70" si="81">Y39</f>
        <v>GEOG2001</v>
      </c>
      <c r="Z70" s="116" t="s">
        <v>105</v>
      </c>
      <c r="AA70" s="117" t="str">
        <f t="shared" ref="AA70" si="82">AA39</f>
        <v>HIST2003</v>
      </c>
      <c r="AB70" s="118" t="s">
        <v>103</v>
      </c>
      <c r="AC70" s="118" t="str">
        <f t="shared" ref="AC70" si="83">AC39</f>
        <v>HIST2001</v>
      </c>
      <c r="AD70" s="116" t="s">
        <v>105</v>
      </c>
      <c r="AE70" s="117" t="str">
        <f t="shared" si="53"/>
        <v>INDS2001</v>
      </c>
      <c r="AF70" s="118" t="s">
        <v>103</v>
      </c>
      <c r="AG70" s="118" t="str">
        <f t="shared" si="54"/>
        <v>INDS2001</v>
      </c>
      <c r="AH70" s="116" t="s">
        <v>105</v>
      </c>
      <c r="AI70" s="117" t="str">
        <f t="shared" ref="AI70" si="84">AI39</f>
        <v>POLS2000</v>
      </c>
      <c r="AJ70" s="118" t="s">
        <v>103</v>
      </c>
      <c r="AK70" s="118" t="str">
        <f t="shared" ref="AK70" si="85">AK39</f>
        <v>INTR2002</v>
      </c>
      <c r="AL70" s="116" t="s">
        <v>105</v>
      </c>
      <c r="AM70" s="117" t="str">
        <f t="shared" ref="AM70" si="86">AM39</f>
        <v>JAPN2002</v>
      </c>
      <c r="AN70" s="118" t="s">
        <v>103</v>
      </c>
      <c r="AO70" s="118" t="str">
        <f t="shared" ref="AO70" si="87">AO39</f>
        <v>JAPN2000</v>
      </c>
      <c r="AP70" s="116" t="s">
        <v>105</v>
      </c>
      <c r="AQ70" s="117" t="str">
        <f t="shared" si="9"/>
        <v>JOUR2003</v>
      </c>
      <c r="AR70" s="118" t="s">
        <v>103</v>
      </c>
      <c r="AS70" s="118" t="str">
        <f t="shared" ref="AS70" si="88">AS39</f>
        <v>JOUR2005</v>
      </c>
      <c r="AT70" s="116" t="s">
        <v>105</v>
      </c>
      <c r="AU70" s="117" t="str">
        <f t="shared" si="10"/>
        <v>KORE2001</v>
      </c>
      <c r="AV70" s="118" t="s">
        <v>103</v>
      </c>
      <c r="AW70" s="118" t="str">
        <f t="shared" ref="AW70" si="89">AW39</f>
        <v>-KSM-</v>
      </c>
      <c r="AX70" s="116" t="s">
        <v>105</v>
      </c>
      <c r="AY70" s="117" t="str">
        <f t="shared" si="11"/>
        <v>LCST2007</v>
      </c>
      <c r="AZ70" s="118" t="s">
        <v>103</v>
      </c>
      <c r="BA70" s="117" t="str">
        <f t="shared" ref="BA70" si="90">BA39</f>
        <v>LCST2006</v>
      </c>
      <c r="BB70" s="116" t="s">
        <v>105</v>
      </c>
      <c r="BC70" s="117" t="str">
        <f t="shared" si="62"/>
        <v>NETS2001</v>
      </c>
      <c r="BD70" s="118" t="s">
        <v>103</v>
      </c>
      <c r="BE70" s="117" t="str">
        <f t="shared" si="63"/>
        <v>NETS2000</v>
      </c>
      <c r="BF70" s="116" t="s">
        <v>105</v>
      </c>
      <c r="BG70" s="117" t="str">
        <f t="shared" si="64"/>
        <v>PWRP2008</v>
      </c>
      <c r="BH70" s="118" t="s">
        <v>103</v>
      </c>
      <c r="BI70" s="117" t="str">
        <f t="shared" si="65"/>
        <v>PWRP2001</v>
      </c>
      <c r="BJ70" s="116" t="s">
        <v>105</v>
      </c>
      <c r="BK70" s="117" t="str">
        <f t="shared" si="16"/>
        <v>STRD2000</v>
      </c>
      <c r="BL70" s="118" t="s">
        <v>103</v>
      </c>
      <c r="BM70" s="132" t="str">
        <f t="shared" ref="BM70" si="91">BM39</f>
        <v>STRD2001</v>
      </c>
      <c r="BN70" s="137" t="s">
        <v>105</v>
      </c>
      <c r="BO70" s="143" t="s">
        <v>390</v>
      </c>
      <c r="BP70" s="59" t="str">
        <f>BN68</f>
        <v>Y2Sem1</v>
      </c>
      <c r="BQ70" s="143" t="s">
        <v>390</v>
      </c>
      <c r="BR70" s="56" t="s">
        <v>105</v>
      </c>
      <c r="BS70" s="143" t="s">
        <v>392</v>
      </c>
      <c r="BT70" s="1" t="s">
        <v>103</v>
      </c>
      <c r="BU70" s="212" t="s">
        <v>391</v>
      </c>
      <c r="BV70" s="56" t="s">
        <v>105</v>
      </c>
      <c r="BW70" s="143" t="s">
        <v>394</v>
      </c>
      <c r="BX70" s="1" t="s">
        <v>103</v>
      </c>
      <c r="BY70" s="214" t="s">
        <v>393</v>
      </c>
      <c r="BZ70" s="56" t="s">
        <v>105</v>
      </c>
      <c r="CA70" s="63" t="s">
        <v>436</v>
      </c>
      <c r="CB70" s="1" t="str">
        <f>BZ68</f>
        <v>Y2Sem1</v>
      </c>
      <c r="CC70" s="93" t="s">
        <v>912</v>
      </c>
      <c r="CD70" s="56" t="s">
        <v>105</v>
      </c>
      <c r="CE70" s="143" t="s">
        <v>397</v>
      </c>
      <c r="CF70" s="1" t="str">
        <f>CD68</f>
        <v>Y2Sem1</v>
      </c>
      <c r="CG70" s="214" t="s">
        <v>396</v>
      </c>
      <c r="CH70" s="56" t="s">
        <v>105</v>
      </c>
      <c r="CI70" s="221" t="s">
        <v>437</v>
      </c>
      <c r="CJ70" s="1" t="str">
        <f>CH68</f>
        <v>Y2Sem1</v>
      </c>
      <c r="CK70" s="227" t="s">
        <v>437</v>
      </c>
      <c r="CL70" s="56" t="s">
        <v>105</v>
      </c>
      <c r="CM70" s="143" t="s">
        <v>385</v>
      </c>
      <c r="CN70" s="1" t="str">
        <f>CL68</f>
        <v>Y2Sem1</v>
      </c>
      <c r="CO70" s="214" t="s">
        <v>386</v>
      </c>
      <c r="CP70" s="56" t="s">
        <v>105</v>
      </c>
      <c r="CQ70" s="143" t="s">
        <v>400</v>
      </c>
      <c r="CR70" s="1" t="str">
        <f>CP68</f>
        <v>Y2Sem1</v>
      </c>
      <c r="CS70" s="212" t="s">
        <v>399</v>
      </c>
      <c r="CT70" s="56" t="s">
        <v>105</v>
      </c>
      <c r="CU70" s="143" t="s">
        <v>402</v>
      </c>
      <c r="CV70" s="1" t="str">
        <f>CT68</f>
        <v>Y2Sem1</v>
      </c>
      <c r="CW70" s="214" t="s">
        <v>401</v>
      </c>
      <c r="CX70" s="56" t="s">
        <v>105</v>
      </c>
      <c r="CY70" s="143" t="s">
        <v>404</v>
      </c>
      <c r="CZ70" s="1" t="str">
        <f>CX68</f>
        <v>Y2Sem1</v>
      </c>
      <c r="DA70" s="212" t="s">
        <v>403</v>
      </c>
      <c r="DB70" s="56" t="s">
        <v>105</v>
      </c>
      <c r="DC70" s="143" t="s">
        <v>406</v>
      </c>
      <c r="DD70" s="56" t="str">
        <f>DB68</f>
        <v>Y2Sem1</v>
      </c>
      <c r="DE70" s="214" t="s">
        <v>405</v>
      </c>
      <c r="DF70" s="56" t="s">
        <v>105</v>
      </c>
      <c r="DG70" s="143" t="s">
        <v>408</v>
      </c>
      <c r="DH70" s="56" t="str">
        <f>DF68</f>
        <v>Y2Sem1</v>
      </c>
      <c r="DI70" s="214" t="s">
        <v>407</v>
      </c>
      <c r="DJ70" s="56" t="s">
        <v>105</v>
      </c>
      <c r="DK70" s="143" t="s">
        <v>410</v>
      </c>
      <c r="DL70" s="56" t="s">
        <v>103</v>
      </c>
      <c r="DM70" s="214" t="s">
        <v>409</v>
      </c>
      <c r="DN70" s="56" t="s">
        <v>105</v>
      </c>
      <c r="DO70" s="143" t="s">
        <v>412</v>
      </c>
      <c r="DP70" s="56" t="s">
        <v>103</v>
      </c>
      <c r="DQ70" s="214" t="s">
        <v>411</v>
      </c>
    </row>
    <row r="71" spans="1:121" x14ac:dyDescent="0.25">
      <c r="A71" s="191"/>
      <c r="F71"/>
      <c r="G71"/>
      <c r="H71"/>
      <c r="I71" s="21">
        <v>9</v>
      </c>
      <c r="J71" s="116" t="s">
        <v>105</v>
      </c>
      <c r="K71" s="118" t="str">
        <f t="shared" si="67"/>
        <v>ANTH2002</v>
      </c>
      <c r="L71" s="116" t="s">
        <v>103</v>
      </c>
      <c r="M71" s="117" t="str">
        <f t="shared" si="67"/>
        <v>SUST2000</v>
      </c>
      <c r="N71" s="118" t="s">
        <v>105</v>
      </c>
      <c r="O71" s="117" t="str">
        <f t="shared" si="18"/>
        <v>CHIN2002</v>
      </c>
      <c r="P71" s="116" t="s">
        <v>103</v>
      </c>
      <c r="Q71" s="117" t="str">
        <f t="shared" si="18"/>
        <v>CHIN2001</v>
      </c>
      <c r="R71" s="116" t="s">
        <v>105</v>
      </c>
      <c r="S71" s="117" t="str">
        <f t="shared" ref="S71:U71" si="92">S40</f>
        <v>CWRI2016</v>
      </c>
      <c r="T71" s="116" t="s">
        <v>103</v>
      </c>
      <c r="U71" s="117" t="str">
        <f t="shared" si="92"/>
        <v>CWRI2002</v>
      </c>
      <c r="V71" s="116" t="s">
        <v>105</v>
      </c>
      <c r="W71" s="117" t="str">
        <f t="shared" si="0"/>
        <v>PHGY2000</v>
      </c>
      <c r="X71" s="116" t="s">
        <v>103</v>
      </c>
      <c r="Y71" s="117" t="str">
        <f t="shared" ref="Y71" si="93">Y40</f>
        <v>GEOG2002</v>
      </c>
      <c r="Z71" s="116" t="s">
        <v>105</v>
      </c>
      <c r="AA71" s="117" t="str">
        <f t="shared" ref="AA71" si="94">AA40</f>
        <v>HIST2000</v>
      </c>
      <c r="AB71" s="118" t="s">
        <v>103</v>
      </c>
      <c r="AC71" s="118" t="str">
        <f t="shared" ref="AC71" si="95">AC40</f>
        <v>HIST2002</v>
      </c>
      <c r="AD71" s="116" t="s">
        <v>105</v>
      </c>
      <c r="AE71" s="117" t="str">
        <f t="shared" si="53"/>
        <v>INDS2002</v>
      </c>
      <c r="AF71" s="118" t="s">
        <v>103</v>
      </c>
      <c r="AG71" s="118" t="str">
        <f t="shared" si="54"/>
        <v>INDS2004</v>
      </c>
      <c r="AH71" s="116" t="s">
        <v>105</v>
      </c>
      <c r="AI71" s="117" t="str">
        <f t="shared" ref="AI71" si="96">AI40</f>
        <v>INTR2003</v>
      </c>
      <c r="AJ71" s="118" t="s">
        <v>103</v>
      </c>
      <c r="AK71" s="118" t="str">
        <f t="shared" ref="AK71" si="97">AK40</f>
        <v>INTR2000</v>
      </c>
      <c r="AL71" s="116" t="s">
        <v>105</v>
      </c>
      <c r="AM71" s="117" t="str">
        <f t="shared" ref="AM71" si="98">AM40</f>
        <v>JAPN2003</v>
      </c>
      <c r="AN71" s="118" t="s">
        <v>103</v>
      </c>
      <c r="AO71" s="118" t="str">
        <f t="shared" ref="AO71" si="99">AO40</f>
        <v>JAPN2001</v>
      </c>
      <c r="AP71" s="116" t="s">
        <v>105</v>
      </c>
      <c r="AQ71" s="117" t="str">
        <f t="shared" si="9"/>
        <v>JOUR2002</v>
      </c>
      <c r="AR71" s="118" t="s">
        <v>103</v>
      </c>
      <c r="AS71" s="118" t="str">
        <f t="shared" ref="AS71" si="100">AS40</f>
        <v>JOUR2000</v>
      </c>
      <c r="AT71" s="116" t="s">
        <v>105</v>
      </c>
      <c r="AU71" s="117" t="str">
        <f t="shared" si="10"/>
        <v>AC-KORES</v>
      </c>
      <c r="AV71" s="118" t="s">
        <v>103</v>
      </c>
      <c r="AW71" s="118" t="str">
        <f t="shared" ref="AW71" si="101">AW40</f>
        <v>-KSM-</v>
      </c>
      <c r="AX71" s="116" t="s">
        <v>105</v>
      </c>
      <c r="AY71" s="117" t="str">
        <f t="shared" si="11"/>
        <v>Opt-LITCUY2</v>
      </c>
      <c r="AZ71" s="118" t="s">
        <v>103</v>
      </c>
      <c r="BA71" s="117" t="str">
        <f t="shared" ref="BA71" si="102">BA40</f>
        <v>Opt-LITCUY2</v>
      </c>
      <c r="BB71" s="116" t="s">
        <v>105</v>
      </c>
      <c r="BC71" s="117" t="str">
        <f t="shared" si="62"/>
        <v>NETS2003</v>
      </c>
      <c r="BD71" s="118" t="s">
        <v>103</v>
      </c>
      <c r="BE71" s="117" t="str">
        <f t="shared" si="63"/>
        <v>NETS2002</v>
      </c>
      <c r="BF71" s="116" t="s">
        <v>105</v>
      </c>
      <c r="BG71" s="117" t="str">
        <f t="shared" si="64"/>
        <v>PWRP2010</v>
      </c>
      <c r="BH71" s="118" t="s">
        <v>103</v>
      </c>
      <c r="BI71" s="117" t="str">
        <f t="shared" si="65"/>
        <v>PWRP2007</v>
      </c>
      <c r="BJ71" s="116" t="s">
        <v>105</v>
      </c>
      <c r="BK71" s="117" t="str">
        <f t="shared" si="16"/>
        <v>STRD2003</v>
      </c>
      <c r="BL71" s="118" t="s">
        <v>103</v>
      </c>
      <c r="BM71" s="132" t="str">
        <f t="shared" ref="BM71" si="103">BM40</f>
        <v>STRD2002</v>
      </c>
      <c r="BN71" s="137" t="s">
        <v>105</v>
      </c>
      <c r="BO71" s="143" t="s">
        <v>390</v>
      </c>
      <c r="BP71" s="59" t="str">
        <f>BN69</f>
        <v>Y2Sem1</v>
      </c>
      <c r="BQ71" s="143" t="s">
        <v>390</v>
      </c>
      <c r="BR71" s="56" t="s">
        <v>105</v>
      </c>
      <c r="BS71" s="143" t="s">
        <v>414</v>
      </c>
      <c r="BT71" s="1" t="s">
        <v>103</v>
      </c>
      <c r="BU71" s="212" t="s">
        <v>413</v>
      </c>
      <c r="BV71" s="56" t="s">
        <v>105</v>
      </c>
      <c r="BW71" s="221" t="s">
        <v>438</v>
      </c>
      <c r="BX71" s="1" t="s">
        <v>103</v>
      </c>
      <c r="BY71" s="227" t="s">
        <v>438</v>
      </c>
      <c r="BZ71" s="56" t="s">
        <v>105</v>
      </c>
      <c r="CA71" s="63" t="s">
        <v>439</v>
      </c>
      <c r="CB71" s="1" t="str">
        <f>BZ69</f>
        <v>Y2Sem1</v>
      </c>
      <c r="CC71" s="93" t="s">
        <v>912</v>
      </c>
      <c r="CD71" s="56" t="s">
        <v>105</v>
      </c>
      <c r="CE71" s="143" t="s">
        <v>418</v>
      </c>
      <c r="CF71" s="1" t="str">
        <f>CD69</f>
        <v>Y2Sem1</v>
      </c>
      <c r="CG71" s="214" t="s">
        <v>417</v>
      </c>
      <c r="CH71" s="56" t="s">
        <v>105</v>
      </c>
      <c r="CI71" s="221" t="s">
        <v>440</v>
      </c>
      <c r="CJ71" s="1" t="str">
        <f>CH69</f>
        <v>Y2Sem1</v>
      </c>
      <c r="CK71" s="227" t="s">
        <v>440</v>
      </c>
      <c r="CL71" s="56" t="s">
        <v>105</v>
      </c>
      <c r="CM71" s="143" t="s">
        <v>421</v>
      </c>
      <c r="CN71" s="1" t="str">
        <f>CL69</f>
        <v>Y2Sem1</v>
      </c>
      <c r="CO71" s="214" t="s">
        <v>420</v>
      </c>
      <c r="CP71" s="56" t="s">
        <v>105</v>
      </c>
      <c r="CQ71" s="196" t="s">
        <v>423</v>
      </c>
      <c r="CR71" s="1" t="str">
        <f>CP69</f>
        <v>Y2Sem1</v>
      </c>
      <c r="CS71" s="212" t="s">
        <v>422</v>
      </c>
      <c r="CT71" s="56" t="s">
        <v>105</v>
      </c>
      <c r="CU71" s="143" t="s">
        <v>425</v>
      </c>
      <c r="CV71" s="1" t="str">
        <f>CT69</f>
        <v>Y2Sem1</v>
      </c>
      <c r="CW71" s="214" t="s">
        <v>424</v>
      </c>
      <c r="CX71" s="56" t="s">
        <v>105</v>
      </c>
      <c r="CY71" s="143" t="s">
        <v>427</v>
      </c>
      <c r="CZ71" s="1" t="str">
        <f>CX69</f>
        <v>Y2Sem1</v>
      </c>
      <c r="DA71" s="212" t="s">
        <v>426</v>
      </c>
      <c r="DB71" s="56" t="s">
        <v>105</v>
      </c>
      <c r="DC71" s="143" t="s">
        <v>429</v>
      </c>
      <c r="DD71" s="56" t="str">
        <f>DB69</f>
        <v>Y2Sem1</v>
      </c>
      <c r="DE71" s="214" t="s">
        <v>428</v>
      </c>
      <c r="DF71" s="56" t="s">
        <v>105</v>
      </c>
      <c r="DG71" s="143" t="s">
        <v>431</v>
      </c>
      <c r="DH71" s="56" t="str">
        <f>DF69</f>
        <v>Y2Sem1</v>
      </c>
      <c r="DI71" s="214" t="s">
        <v>430</v>
      </c>
      <c r="DJ71" s="56" t="s">
        <v>105</v>
      </c>
      <c r="DK71" s="143" t="s">
        <v>433</v>
      </c>
      <c r="DL71" s="56" t="s">
        <v>103</v>
      </c>
      <c r="DM71" s="214" t="s">
        <v>432</v>
      </c>
      <c r="DN71" s="56" t="s">
        <v>105</v>
      </c>
      <c r="DO71" s="143" t="s">
        <v>435</v>
      </c>
      <c r="DP71" s="56" t="s">
        <v>103</v>
      </c>
      <c r="DQ71" s="214" t="s">
        <v>434</v>
      </c>
    </row>
    <row r="72" spans="1:121" x14ac:dyDescent="0.25">
      <c r="A72" s="191"/>
      <c r="F72"/>
      <c r="G72"/>
      <c r="H72"/>
      <c r="I72" s="21">
        <v>10</v>
      </c>
      <c r="J72" s="116" t="s">
        <v>127</v>
      </c>
      <c r="K72" s="118" t="str">
        <f t="shared" si="67"/>
        <v>ANTH3006</v>
      </c>
      <c r="L72" s="116" t="s">
        <v>128</v>
      </c>
      <c r="M72" s="117" t="str">
        <f t="shared" si="67"/>
        <v>ANTH3004</v>
      </c>
      <c r="N72" s="118" t="s">
        <v>127</v>
      </c>
      <c r="O72" s="117" t="str">
        <f t="shared" si="18"/>
        <v>CHIN3000</v>
      </c>
      <c r="P72" s="116" t="s">
        <v>128</v>
      </c>
      <c r="Q72" s="117" t="str">
        <f t="shared" si="18"/>
        <v>CHIN3001</v>
      </c>
      <c r="R72" s="116" t="s">
        <v>127</v>
      </c>
      <c r="S72" s="117" t="str">
        <f t="shared" ref="S72:U72" si="104">S41</f>
        <v>CWRI3005</v>
      </c>
      <c r="T72" s="116" t="s">
        <v>128</v>
      </c>
      <c r="U72" s="117" t="str">
        <f t="shared" si="104"/>
        <v>CWRI3003</v>
      </c>
      <c r="V72" s="116" t="s">
        <v>127</v>
      </c>
      <c r="W72" s="117" t="str">
        <f t="shared" si="0"/>
        <v>PHGY3002</v>
      </c>
      <c r="X72" s="116" t="s">
        <v>128</v>
      </c>
      <c r="Y72" s="117" t="str">
        <f t="shared" ref="Y72" si="105">Y41</f>
        <v>PHGY3000</v>
      </c>
      <c r="Z72" s="116" t="s">
        <v>127</v>
      </c>
      <c r="AA72" s="117" t="str">
        <f t="shared" ref="AA72" si="106">AA41</f>
        <v>HIST3000</v>
      </c>
      <c r="AB72" s="118" t="s">
        <v>128</v>
      </c>
      <c r="AC72" s="118" t="str">
        <f t="shared" ref="AC72" si="107">AC41</f>
        <v>HIST3001</v>
      </c>
      <c r="AD72" s="116" t="s">
        <v>127</v>
      </c>
      <c r="AE72" s="117" t="str">
        <f t="shared" si="53"/>
        <v>LCST3006</v>
      </c>
      <c r="AF72" s="118" t="s">
        <v>128</v>
      </c>
      <c r="AG72" s="118" t="str">
        <f t="shared" si="54"/>
        <v>INDS3003</v>
      </c>
      <c r="AH72" s="116" t="s">
        <v>127</v>
      </c>
      <c r="AI72" s="117" t="str">
        <f t="shared" ref="AI72" si="108">AI41</f>
        <v>INTR3003</v>
      </c>
      <c r="AJ72" s="118" t="s">
        <v>128</v>
      </c>
      <c r="AK72" s="118" t="str">
        <f t="shared" ref="AK72" si="109">AK41</f>
        <v>POLS3002</v>
      </c>
      <c r="AL72" s="116" t="s">
        <v>127</v>
      </c>
      <c r="AM72" s="117" t="str">
        <f t="shared" ref="AM72" si="110">AM41</f>
        <v>JAPN3000</v>
      </c>
      <c r="AN72" s="118" t="s">
        <v>128</v>
      </c>
      <c r="AO72" s="118" t="str">
        <f t="shared" ref="AO72" si="111">AO41</f>
        <v>JAPN3001</v>
      </c>
      <c r="AP72" s="116" t="s">
        <v>127</v>
      </c>
      <c r="AQ72" s="117" t="str">
        <f t="shared" si="9"/>
        <v>JOUR3009</v>
      </c>
      <c r="AR72" s="118" t="s">
        <v>128</v>
      </c>
      <c r="AS72" s="118" t="str">
        <f t="shared" ref="AS72" si="112">AS41</f>
        <v>JOUR3010</v>
      </c>
      <c r="AT72" s="116" t="s">
        <v>127</v>
      </c>
      <c r="AU72" s="117" t="str">
        <f t="shared" si="10"/>
        <v>KORE3000</v>
      </c>
      <c r="AV72" s="118" t="s">
        <v>128</v>
      </c>
      <c r="AW72" s="118" t="str">
        <f t="shared" ref="AW72" si="113">AW41</f>
        <v>-KSM-</v>
      </c>
      <c r="AX72" s="116" t="s">
        <v>127</v>
      </c>
      <c r="AY72" s="117" t="str">
        <f t="shared" si="11"/>
        <v>LCST3006</v>
      </c>
      <c r="AZ72" s="118" t="s">
        <v>128</v>
      </c>
      <c r="BA72" s="117" t="str">
        <f t="shared" ref="BA72" si="114">BA41</f>
        <v>LCST3007</v>
      </c>
      <c r="BB72" s="116" t="s">
        <v>127</v>
      </c>
      <c r="BC72" s="117" t="str">
        <f t="shared" si="62"/>
        <v>NETS3010</v>
      </c>
      <c r="BD72" s="118" t="s">
        <v>128</v>
      </c>
      <c r="BE72" s="117" t="str">
        <f t="shared" si="63"/>
        <v>NETS3000</v>
      </c>
      <c r="BF72" s="116" t="s">
        <v>127</v>
      </c>
      <c r="BG72" s="117" t="str">
        <f t="shared" si="64"/>
        <v>PWRP3000</v>
      </c>
      <c r="BH72" s="118" t="s">
        <v>128</v>
      </c>
      <c r="BI72" s="117" t="str">
        <f t="shared" si="65"/>
        <v>PWRP3002</v>
      </c>
      <c r="BJ72" s="116" t="s">
        <v>127</v>
      </c>
      <c r="BK72" s="117" t="str">
        <f t="shared" si="16"/>
        <v>STRD3000</v>
      </c>
      <c r="BL72" s="118" t="s">
        <v>128</v>
      </c>
      <c r="BM72" s="132" t="str">
        <f t="shared" ref="BM72" si="115">BM41</f>
        <v>STRD3002</v>
      </c>
      <c r="BN72" s="138" t="s">
        <v>127</v>
      </c>
      <c r="BO72" s="143" t="s">
        <v>390</v>
      </c>
      <c r="BP72" s="56" t="str">
        <f>BN74</f>
        <v>Y3Sem2</v>
      </c>
      <c r="BQ72" s="143" t="s">
        <v>390</v>
      </c>
      <c r="BR72" s="56" t="s">
        <v>127</v>
      </c>
      <c r="BS72" s="143" t="s">
        <v>441</v>
      </c>
      <c r="BT72" s="1" t="s">
        <v>128</v>
      </c>
      <c r="BU72" s="214" t="s">
        <v>442</v>
      </c>
      <c r="BV72" s="56" t="s">
        <v>127</v>
      </c>
      <c r="BW72" s="143" t="s">
        <v>443</v>
      </c>
      <c r="BX72" s="1" t="s">
        <v>128</v>
      </c>
      <c r="BY72" s="214" t="s">
        <v>444</v>
      </c>
      <c r="BZ72" s="199" t="s">
        <v>127</v>
      </c>
      <c r="CA72" s="63" t="s">
        <v>445</v>
      </c>
      <c r="CB72" s="1" t="str">
        <f>BZ74</f>
        <v>Y3Sem1</v>
      </c>
      <c r="CC72" s="93" t="s">
        <v>912</v>
      </c>
      <c r="CD72" s="56" t="s">
        <v>127</v>
      </c>
      <c r="CE72" s="221" t="s">
        <v>446</v>
      </c>
      <c r="CF72" s="1" t="str">
        <f>CD74</f>
        <v>Y3Sem2</v>
      </c>
      <c r="CG72" s="227" t="s">
        <v>446</v>
      </c>
      <c r="CH72" s="56" t="s">
        <v>127</v>
      </c>
      <c r="CI72" s="143" t="s">
        <v>447</v>
      </c>
      <c r="CJ72" s="1" t="str">
        <f>CH74</f>
        <v>Y3Sem2</v>
      </c>
      <c r="CK72" s="214" t="s">
        <v>448</v>
      </c>
      <c r="CL72" s="56" t="s">
        <v>127</v>
      </c>
      <c r="CM72" s="143" t="s">
        <v>402</v>
      </c>
      <c r="CN72" s="1" t="str">
        <f>CL74</f>
        <v>Y3Sem2</v>
      </c>
      <c r="CO72" s="214" t="s">
        <v>449</v>
      </c>
      <c r="CP72" s="56" t="s">
        <v>127</v>
      </c>
      <c r="CQ72" s="196" t="s">
        <v>398</v>
      </c>
      <c r="CR72" s="1" t="str">
        <f>CP74</f>
        <v>Y3Sem2</v>
      </c>
      <c r="CS72" s="93" t="s">
        <v>450</v>
      </c>
      <c r="CT72" s="56" t="s">
        <v>127</v>
      </c>
      <c r="CU72" s="143" t="s">
        <v>440</v>
      </c>
      <c r="CV72" s="1" t="str">
        <f>CT74</f>
        <v>Y3Sem2</v>
      </c>
      <c r="CW72" s="214" t="s">
        <v>451</v>
      </c>
      <c r="CX72" s="56" t="s">
        <v>127</v>
      </c>
      <c r="CY72" s="143" t="s">
        <v>452</v>
      </c>
      <c r="CZ72" s="1" t="str">
        <f>CX74</f>
        <v>Y3Sem2</v>
      </c>
      <c r="DA72" s="212" t="s">
        <v>453</v>
      </c>
      <c r="DB72" s="56" t="s">
        <v>127</v>
      </c>
      <c r="DC72" s="143" t="s">
        <v>454</v>
      </c>
      <c r="DD72" s="56" t="str">
        <f>DB74</f>
        <v>Y3Sem2</v>
      </c>
      <c r="DE72" s="214" t="s">
        <v>429</v>
      </c>
      <c r="DF72" s="56" t="s">
        <v>127</v>
      </c>
      <c r="DG72" s="143" t="s">
        <v>455</v>
      </c>
      <c r="DH72" s="56" t="str">
        <f>DF74</f>
        <v>Y3Sem2</v>
      </c>
      <c r="DI72" s="214" t="s">
        <v>335</v>
      </c>
      <c r="DJ72" s="56" t="s">
        <v>127</v>
      </c>
      <c r="DK72" s="143" t="s">
        <v>456</v>
      </c>
      <c r="DL72" s="56" t="s">
        <v>128</v>
      </c>
      <c r="DM72" s="214" t="s">
        <v>457</v>
      </c>
      <c r="DN72" s="56" t="s">
        <v>127</v>
      </c>
      <c r="DO72" s="143" t="s">
        <v>458</v>
      </c>
      <c r="DP72" s="56" t="s">
        <v>128</v>
      </c>
      <c r="DQ72" s="214" t="s">
        <v>459</v>
      </c>
    </row>
    <row r="73" spans="1:121" x14ac:dyDescent="0.25">
      <c r="A73" s="191"/>
      <c r="F73"/>
      <c r="G73"/>
      <c r="H73"/>
      <c r="I73" s="21">
        <v>11</v>
      </c>
      <c r="J73" s="116" t="s">
        <v>127</v>
      </c>
      <c r="K73" s="118" t="str">
        <f t="shared" si="67"/>
        <v>ANTH3005</v>
      </c>
      <c r="L73" s="116" t="s">
        <v>128</v>
      </c>
      <c r="M73" s="117" t="str">
        <f t="shared" si="67"/>
        <v>ANTH3003</v>
      </c>
      <c r="N73" s="118" t="s">
        <v>127</v>
      </c>
      <c r="O73" s="117" t="str">
        <f t="shared" si="18"/>
        <v>CHIN3002</v>
      </c>
      <c r="P73" s="116" t="s">
        <v>128</v>
      </c>
      <c r="Q73" s="117" t="str">
        <f t="shared" si="18"/>
        <v>CHIN3003</v>
      </c>
      <c r="R73" s="116" t="s">
        <v>127</v>
      </c>
      <c r="S73" s="117" t="str">
        <f t="shared" ref="S73:U73" si="116">S42</f>
        <v>Opt-CRWRI</v>
      </c>
      <c r="T73" s="116" t="s">
        <v>128</v>
      </c>
      <c r="U73" s="117" t="str">
        <f t="shared" si="116"/>
        <v>-</v>
      </c>
      <c r="V73" s="116" t="s">
        <v>127</v>
      </c>
      <c r="W73" s="117" t="str">
        <f t="shared" si="0"/>
        <v>GEOG3001</v>
      </c>
      <c r="X73" s="116" t="s">
        <v>128</v>
      </c>
      <c r="Y73" s="117" t="str">
        <f t="shared" ref="Y73" si="117">Y42</f>
        <v>GEOG3000</v>
      </c>
      <c r="Z73" s="116" t="s">
        <v>127</v>
      </c>
      <c r="AA73" s="117" t="str">
        <f t="shared" ref="AA73" si="118">AA42</f>
        <v>HIST3003</v>
      </c>
      <c r="AB73" s="118" t="s">
        <v>128</v>
      </c>
      <c r="AC73" s="118" t="str">
        <f t="shared" ref="AC73" si="119">AC42</f>
        <v>HIST3002</v>
      </c>
      <c r="AD73" s="116" t="s">
        <v>127</v>
      </c>
      <c r="AE73" s="117" t="str">
        <f t="shared" si="53"/>
        <v>GEOG3001</v>
      </c>
      <c r="AF73" s="118" t="s">
        <v>128</v>
      </c>
      <c r="AG73" s="118" t="str">
        <f t="shared" si="54"/>
        <v>INDS2003</v>
      </c>
      <c r="AH73" s="116" t="s">
        <v>127</v>
      </c>
      <c r="AI73" s="117" t="str">
        <f t="shared" ref="AI73" si="120">AI42</f>
        <v>INTR3002</v>
      </c>
      <c r="AJ73" s="118" t="s">
        <v>128</v>
      </c>
      <c r="AK73" s="118" t="str">
        <f t="shared" ref="AK73" si="121">AK42</f>
        <v>POLS3000</v>
      </c>
      <c r="AL73" s="116" t="s">
        <v>127</v>
      </c>
      <c r="AM73" s="117" t="str">
        <f t="shared" ref="AM73" si="122">AM42</f>
        <v>JAPN3002</v>
      </c>
      <c r="AN73" s="118" t="s">
        <v>128</v>
      </c>
      <c r="AO73" s="118" t="str">
        <f t="shared" ref="AO73" si="123">AO42</f>
        <v>JAPN3003</v>
      </c>
      <c r="AP73" s="116" t="s">
        <v>127</v>
      </c>
      <c r="AQ73" s="117" t="str">
        <f t="shared" si="9"/>
        <v>Opt-JOURN</v>
      </c>
      <c r="AR73" s="118" t="s">
        <v>128</v>
      </c>
      <c r="AS73" s="118" t="str">
        <f t="shared" ref="AS73" si="124">AS42</f>
        <v>JOUR3009</v>
      </c>
      <c r="AT73" s="116" t="s">
        <v>127</v>
      </c>
      <c r="AU73" s="117" t="str">
        <f t="shared" si="10"/>
        <v>WORK3006</v>
      </c>
      <c r="AV73" s="118" t="s">
        <v>128</v>
      </c>
      <c r="AW73" s="118" t="str">
        <f t="shared" ref="AW73" si="125">AW42</f>
        <v>-KSM-</v>
      </c>
      <c r="AX73" s="116" t="s">
        <v>127</v>
      </c>
      <c r="AY73" s="117" t="str">
        <f t="shared" si="11"/>
        <v>Opt-LITCUY3</v>
      </c>
      <c r="AZ73" s="118" t="s">
        <v>128</v>
      </c>
      <c r="BA73" s="117" t="str">
        <f t="shared" ref="BA73" si="126">BA42</f>
        <v>Opt-LITCUY3</v>
      </c>
      <c r="BB73" s="116" t="s">
        <v>127</v>
      </c>
      <c r="BC73" s="117" t="str">
        <f t="shared" si="62"/>
        <v>Opt-NETCM</v>
      </c>
      <c r="BD73" s="118" t="s">
        <v>128</v>
      </c>
      <c r="BE73" s="117" t="str">
        <f t="shared" si="63"/>
        <v>NETS3004</v>
      </c>
      <c r="BF73" s="116" t="s">
        <v>127</v>
      </c>
      <c r="BG73" s="117" t="str">
        <f t="shared" si="64"/>
        <v>PWRP3014</v>
      </c>
      <c r="BH73" s="118" t="s">
        <v>128</v>
      </c>
      <c r="BI73" s="117" t="str">
        <f t="shared" si="65"/>
        <v>PWRP3010</v>
      </c>
      <c r="BJ73" s="116" t="s">
        <v>127</v>
      </c>
      <c r="BK73" s="117" t="str">
        <f t="shared" si="16"/>
        <v>STRD3001</v>
      </c>
      <c r="BL73" s="118" t="s">
        <v>128</v>
      </c>
      <c r="BM73" s="132" t="str">
        <f t="shared" ref="BM73" si="127">BM42</f>
        <v>STRD3003</v>
      </c>
      <c r="BN73" s="138" t="s">
        <v>127</v>
      </c>
      <c r="BO73" s="143" t="s">
        <v>390</v>
      </c>
      <c r="BP73" s="56" t="str">
        <f>BN75</f>
        <v>Y3Sem2</v>
      </c>
      <c r="BQ73" s="143" t="s">
        <v>390</v>
      </c>
      <c r="BR73" s="56" t="s">
        <v>127</v>
      </c>
      <c r="BS73" s="143" t="s">
        <v>460</v>
      </c>
      <c r="BT73" s="1" t="s">
        <v>128</v>
      </c>
      <c r="BU73" s="212" t="s">
        <v>94</v>
      </c>
      <c r="BV73" s="56" t="s">
        <v>127</v>
      </c>
      <c r="BW73" s="143" t="s">
        <v>461</v>
      </c>
      <c r="BX73" s="1" t="s">
        <v>128</v>
      </c>
      <c r="BY73" s="214" t="s">
        <v>461</v>
      </c>
      <c r="BZ73" s="199" t="s">
        <v>127</v>
      </c>
      <c r="CA73" s="63" t="s">
        <v>462</v>
      </c>
      <c r="CB73" s="1" t="str">
        <f>BZ75</f>
        <v>Y3Sem2</v>
      </c>
      <c r="CC73" s="93" t="s">
        <v>912</v>
      </c>
      <c r="CD73" s="56" t="s">
        <v>127</v>
      </c>
      <c r="CE73" s="221" t="s">
        <v>463</v>
      </c>
      <c r="CF73" s="1" t="str">
        <f>CD75</f>
        <v>Y3Sem2</v>
      </c>
      <c r="CG73" s="227" t="s">
        <v>463</v>
      </c>
      <c r="CH73" s="56" t="s">
        <v>127</v>
      </c>
      <c r="CI73" s="143" t="s">
        <v>464</v>
      </c>
      <c r="CJ73" s="1" t="str">
        <f>CH75</f>
        <v>Y3Sem2</v>
      </c>
      <c r="CK73" s="214" t="s">
        <v>94</v>
      </c>
      <c r="CL73" s="56" t="s">
        <v>127</v>
      </c>
      <c r="CM73" s="143" t="s">
        <v>465</v>
      </c>
      <c r="CN73" s="1" t="str">
        <f>CL75</f>
        <v>Y3Sem2</v>
      </c>
      <c r="CO73" s="214" t="s">
        <v>94</v>
      </c>
      <c r="CP73" s="56" t="s">
        <v>127</v>
      </c>
      <c r="CQ73" s="143" t="s">
        <v>94</v>
      </c>
      <c r="CR73" s="1" t="str">
        <f>CP75</f>
        <v>Y3Sem2</v>
      </c>
      <c r="CS73" s="93" t="s">
        <v>466</v>
      </c>
      <c r="CT73" s="56" t="s">
        <v>127</v>
      </c>
      <c r="CU73" s="143" t="s">
        <v>465</v>
      </c>
      <c r="CV73" s="1" t="str">
        <f>CT75</f>
        <v>Y3Sem2</v>
      </c>
      <c r="CW73" s="214" t="s">
        <v>94</v>
      </c>
      <c r="CX73" s="56" t="s">
        <v>127</v>
      </c>
      <c r="CY73" s="143" t="s">
        <v>467</v>
      </c>
      <c r="CZ73" s="1" t="str">
        <f>CX75</f>
        <v>Y3Sem2</v>
      </c>
      <c r="DA73" s="212" t="s">
        <v>94</v>
      </c>
      <c r="DB73" s="56" t="s">
        <v>127</v>
      </c>
      <c r="DC73" s="143" t="s">
        <v>468</v>
      </c>
      <c r="DD73" s="56" t="str">
        <f>DB75</f>
        <v>Y3Sem2</v>
      </c>
      <c r="DE73" s="214" t="s">
        <v>94</v>
      </c>
      <c r="DF73" s="56" t="s">
        <v>127</v>
      </c>
      <c r="DG73" s="143" t="s">
        <v>469</v>
      </c>
      <c r="DH73" s="56" t="str">
        <f>DF75</f>
        <v>Y3Sem2</v>
      </c>
      <c r="DI73" s="214" t="s">
        <v>470</v>
      </c>
      <c r="DJ73" s="56" t="s">
        <v>127</v>
      </c>
      <c r="DK73" s="143" t="s">
        <v>471</v>
      </c>
      <c r="DL73" s="56" t="s">
        <v>128</v>
      </c>
      <c r="DM73" s="214" t="s">
        <v>472</v>
      </c>
      <c r="DN73" s="56" t="s">
        <v>127</v>
      </c>
      <c r="DO73" s="143" t="s">
        <v>94</v>
      </c>
      <c r="DP73" s="56" t="s">
        <v>128</v>
      </c>
      <c r="DQ73" s="214" t="s">
        <v>473</v>
      </c>
    </row>
    <row r="74" spans="1:121" x14ac:dyDescent="0.25">
      <c r="A74" s="191"/>
      <c r="F74"/>
      <c r="G74"/>
      <c r="H74"/>
      <c r="I74" s="21">
        <v>12</v>
      </c>
      <c r="J74" s="116" t="s">
        <v>128</v>
      </c>
      <c r="K74" s="118" t="str">
        <f t="shared" si="67"/>
        <v>ANTH3004</v>
      </c>
      <c r="L74" s="116" t="s">
        <v>127</v>
      </c>
      <c r="M74" s="117" t="str">
        <f t="shared" si="67"/>
        <v>ANTH3006</v>
      </c>
      <c r="N74" s="118" t="s">
        <v>128</v>
      </c>
      <c r="O74" s="117" t="str">
        <f t="shared" si="18"/>
        <v>CHIN3001</v>
      </c>
      <c r="P74" s="116" t="s">
        <v>127</v>
      </c>
      <c r="Q74" s="117" t="str">
        <f t="shared" si="18"/>
        <v>CHIN3000</v>
      </c>
      <c r="R74" s="116" t="s">
        <v>128</v>
      </c>
      <c r="S74" s="117" t="str">
        <f t="shared" ref="S74:U74" si="128">S43</f>
        <v>CWRI3003</v>
      </c>
      <c r="T74" s="116" t="s">
        <v>127</v>
      </c>
      <c r="U74" s="117" t="str">
        <f t="shared" si="128"/>
        <v>CWRI3005</v>
      </c>
      <c r="V74" s="116" t="s">
        <v>128</v>
      </c>
      <c r="W74" s="117" t="str">
        <f t="shared" si="0"/>
        <v>PHGY3000</v>
      </c>
      <c r="X74" s="116" t="s">
        <v>127</v>
      </c>
      <c r="Y74" s="117" t="str">
        <f t="shared" ref="Y74" si="129">Y43</f>
        <v>PHGY3002</v>
      </c>
      <c r="Z74" s="116" t="s">
        <v>128</v>
      </c>
      <c r="AA74" s="117" t="str">
        <f t="shared" ref="AA74" si="130">AA43</f>
        <v>HIST3001</v>
      </c>
      <c r="AB74" s="118" t="s">
        <v>127</v>
      </c>
      <c r="AC74" s="118" t="str">
        <f t="shared" ref="AC74" si="131">AC43</f>
        <v>HIST3000</v>
      </c>
      <c r="AD74" s="116" t="s">
        <v>128</v>
      </c>
      <c r="AE74" s="117" t="str">
        <f t="shared" si="53"/>
        <v>INDS3003</v>
      </c>
      <c r="AF74" s="118" t="s">
        <v>127</v>
      </c>
      <c r="AG74" s="118" t="str">
        <f t="shared" si="54"/>
        <v>LCST3006</v>
      </c>
      <c r="AH74" s="116" t="s">
        <v>128</v>
      </c>
      <c r="AI74" s="117" t="str">
        <f t="shared" ref="AI74" si="132">AI43</f>
        <v>POLS3002</v>
      </c>
      <c r="AJ74" s="118" t="s">
        <v>127</v>
      </c>
      <c r="AK74" s="118" t="str">
        <f t="shared" ref="AK74" si="133">AK43</f>
        <v>INTR3003</v>
      </c>
      <c r="AL74" s="116" t="s">
        <v>128</v>
      </c>
      <c r="AM74" s="117" t="str">
        <f t="shared" ref="AM74" si="134">AM43</f>
        <v>JAPN3001</v>
      </c>
      <c r="AN74" s="118" t="s">
        <v>127</v>
      </c>
      <c r="AO74" s="118" t="str">
        <f t="shared" ref="AO74" si="135">AO43</f>
        <v>JAPN3000</v>
      </c>
      <c r="AP74" s="116" t="s">
        <v>128</v>
      </c>
      <c r="AQ74" s="117" t="str">
        <f t="shared" si="9"/>
        <v>JOUR3010</v>
      </c>
      <c r="AR74" s="118" t="s">
        <v>127</v>
      </c>
      <c r="AS74" s="118" t="str">
        <f t="shared" ref="AS74" si="136">AS43</f>
        <v>Opt-JOURN</v>
      </c>
      <c r="AT74" s="116" t="s">
        <v>128</v>
      </c>
      <c r="AU74" s="117" t="str">
        <f t="shared" si="10"/>
        <v>KORE3001</v>
      </c>
      <c r="AV74" s="118" t="s">
        <v>127</v>
      </c>
      <c r="AW74" s="118" t="str">
        <f t="shared" ref="AW74" si="137">AW43</f>
        <v>-KSM-</v>
      </c>
      <c r="AX74" s="116" t="s">
        <v>128</v>
      </c>
      <c r="AY74" s="117" t="str">
        <f t="shared" si="11"/>
        <v>LCST3007</v>
      </c>
      <c r="AZ74" s="118" t="s">
        <v>127</v>
      </c>
      <c r="BA74" s="117" t="str">
        <f t="shared" ref="BA74" si="138">BA43</f>
        <v>LCST3006</v>
      </c>
      <c r="BB74" s="116" t="s">
        <v>128</v>
      </c>
      <c r="BC74" s="117" t="str">
        <f t="shared" si="62"/>
        <v>NETS3000</v>
      </c>
      <c r="BD74" s="118" t="s">
        <v>127</v>
      </c>
      <c r="BE74" s="117" t="str">
        <f t="shared" si="63"/>
        <v>NETS3010</v>
      </c>
      <c r="BF74" s="116" t="s">
        <v>128</v>
      </c>
      <c r="BG74" s="117" t="str">
        <f t="shared" si="64"/>
        <v>PWRP3002</v>
      </c>
      <c r="BH74" s="118" t="s">
        <v>127</v>
      </c>
      <c r="BI74" s="117" t="str">
        <f t="shared" si="65"/>
        <v>PWRP3000</v>
      </c>
      <c r="BJ74" s="116" t="s">
        <v>128</v>
      </c>
      <c r="BK74" s="117" t="str">
        <f t="shared" si="16"/>
        <v>STRD3002</v>
      </c>
      <c r="BL74" s="118" t="s">
        <v>127</v>
      </c>
      <c r="BM74" s="132" t="str">
        <f t="shared" ref="BM74" si="139">BM43</f>
        <v>STRD3000</v>
      </c>
      <c r="BN74" s="138" t="s">
        <v>128</v>
      </c>
      <c r="BO74" s="143" t="s">
        <v>390</v>
      </c>
      <c r="BP74" s="56" t="str">
        <f>BN72</f>
        <v>Y3Sem1</v>
      </c>
      <c r="BQ74" s="143" t="s">
        <v>390</v>
      </c>
      <c r="BR74" s="56" t="s">
        <v>128</v>
      </c>
      <c r="BS74" s="143" t="s">
        <v>442</v>
      </c>
      <c r="BT74" s="1" t="s">
        <v>127</v>
      </c>
      <c r="BU74" s="212" t="s">
        <v>441</v>
      </c>
      <c r="BV74" s="56" t="s">
        <v>128</v>
      </c>
      <c r="BW74" s="143" t="s">
        <v>444</v>
      </c>
      <c r="BX74" s="1" t="s">
        <v>127</v>
      </c>
      <c r="BY74" s="214" t="s">
        <v>443</v>
      </c>
      <c r="BZ74" s="199" t="s">
        <v>127</v>
      </c>
      <c r="CA74" s="106" t="s">
        <v>474</v>
      </c>
      <c r="CB74" s="1" t="str">
        <f>BZ72</f>
        <v>Y3Sem1</v>
      </c>
      <c r="CC74" s="93" t="s">
        <v>912</v>
      </c>
      <c r="CD74" s="56" t="s">
        <v>128</v>
      </c>
      <c r="CE74" s="221" t="s">
        <v>475</v>
      </c>
      <c r="CF74" s="1" t="str">
        <f>CD72</f>
        <v>Y3Sem1</v>
      </c>
      <c r="CG74" s="227" t="s">
        <v>475</v>
      </c>
      <c r="CH74" s="56" t="s">
        <v>128</v>
      </c>
      <c r="CI74" s="143" t="s">
        <v>448</v>
      </c>
      <c r="CJ74" s="1" t="str">
        <f>CH72</f>
        <v>Y3Sem1</v>
      </c>
      <c r="CK74" s="214" t="s">
        <v>447</v>
      </c>
      <c r="CL74" s="56" t="s">
        <v>128</v>
      </c>
      <c r="CM74" s="143" t="s">
        <v>449</v>
      </c>
      <c r="CN74" s="1" t="str">
        <f>CL72</f>
        <v>Y3Sem1</v>
      </c>
      <c r="CO74" s="214" t="s">
        <v>402</v>
      </c>
      <c r="CP74" s="56" t="s">
        <v>128</v>
      </c>
      <c r="CQ74" s="196" t="s">
        <v>450</v>
      </c>
      <c r="CR74" s="1" t="str">
        <f>CP72</f>
        <v>Y3Sem1</v>
      </c>
      <c r="CS74" s="93" t="s">
        <v>398</v>
      </c>
      <c r="CT74" s="56" t="s">
        <v>128</v>
      </c>
      <c r="CU74" s="143" t="s">
        <v>451</v>
      </c>
      <c r="CV74" s="1" t="str">
        <f>CT72</f>
        <v>Y3Sem1</v>
      </c>
      <c r="CW74" s="214" t="s">
        <v>440</v>
      </c>
      <c r="CX74" s="56" t="s">
        <v>128</v>
      </c>
      <c r="CY74" s="143" t="s">
        <v>453</v>
      </c>
      <c r="CZ74" s="1" t="str">
        <f>CX72</f>
        <v>Y3Sem1</v>
      </c>
      <c r="DA74" s="212" t="s">
        <v>452</v>
      </c>
      <c r="DB74" s="56" t="s">
        <v>128</v>
      </c>
      <c r="DC74" s="143" t="s">
        <v>414</v>
      </c>
      <c r="DD74" s="56" t="str">
        <f>DB72</f>
        <v>Y3Sem1</v>
      </c>
      <c r="DE74" s="214" t="s">
        <v>454</v>
      </c>
      <c r="DF74" s="56" t="s">
        <v>128</v>
      </c>
      <c r="DG74" s="143" t="s">
        <v>335</v>
      </c>
      <c r="DH74" s="56" t="str">
        <f>DF72</f>
        <v>Y3Sem1</v>
      </c>
      <c r="DI74" s="214" t="s">
        <v>455</v>
      </c>
      <c r="DJ74" s="56" t="s">
        <v>128</v>
      </c>
      <c r="DK74" s="143" t="s">
        <v>457</v>
      </c>
      <c r="DL74" s="56" t="s">
        <v>127</v>
      </c>
      <c r="DM74" s="214" t="s">
        <v>456</v>
      </c>
      <c r="DN74" s="56" t="s">
        <v>128</v>
      </c>
      <c r="DO74" s="143" t="s">
        <v>459</v>
      </c>
      <c r="DP74" s="56" t="s">
        <v>127</v>
      </c>
      <c r="DQ74" s="214" t="s">
        <v>458</v>
      </c>
    </row>
    <row r="75" spans="1:121" x14ac:dyDescent="0.25">
      <c r="A75" s="191"/>
      <c r="F75"/>
      <c r="G75"/>
      <c r="H75"/>
      <c r="I75" s="21">
        <v>13</v>
      </c>
      <c r="J75" s="119" t="s">
        <v>128</v>
      </c>
      <c r="K75" s="120" t="str">
        <f t="shared" si="67"/>
        <v>ANTH3003</v>
      </c>
      <c r="L75" s="119" t="s">
        <v>127</v>
      </c>
      <c r="M75" s="121" t="str">
        <f t="shared" si="67"/>
        <v>ANTH3005</v>
      </c>
      <c r="N75" s="120" t="s">
        <v>128</v>
      </c>
      <c r="O75" s="121" t="str">
        <f t="shared" si="18"/>
        <v>CHIN3003</v>
      </c>
      <c r="P75" s="119" t="s">
        <v>127</v>
      </c>
      <c r="Q75" s="121" t="str">
        <f t="shared" si="18"/>
        <v>CHIN3002</v>
      </c>
      <c r="R75" s="119" t="s">
        <v>128</v>
      </c>
      <c r="S75" s="121" t="str">
        <f t="shared" ref="S75:U75" si="140">S44</f>
        <v>-</v>
      </c>
      <c r="T75" s="119" t="s">
        <v>127</v>
      </c>
      <c r="U75" s="121" t="str">
        <f t="shared" si="140"/>
        <v>Opt-CRWRI</v>
      </c>
      <c r="V75" s="119" t="s">
        <v>128</v>
      </c>
      <c r="W75" s="121" t="str">
        <f t="shared" si="0"/>
        <v>GEOG3000</v>
      </c>
      <c r="X75" s="119" t="s">
        <v>127</v>
      </c>
      <c r="Y75" s="121" t="str">
        <f t="shared" ref="Y75" si="141">Y44</f>
        <v>GEOG3001</v>
      </c>
      <c r="Z75" s="119" t="s">
        <v>128</v>
      </c>
      <c r="AA75" s="121" t="str">
        <f t="shared" ref="AA75" si="142">AA44</f>
        <v>HIST3002</v>
      </c>
      <c r="AB75" s="120" t="s">
        <v>127</v>
      </c>
      <c r="AC75" s="120" t="str">
        <f t="shared" ref="AC75" si="143">AC44</f>
        <v>HIST3003</v>
      </c>
      <c r="AD75" s="119" t="s">
        <v>128</v>
      </c>
      <c r="AE75" s="121" t="str">
        <f t="shared" si="53"/>
        <v>INDS2003</v>
      </c>
      <c r="AF75" s="120" t="s">
        <v>127</v>
      </c>
      <c r="AG75" s="120" t="str">
        <f t="shared" si="54"/>
        <v>GEOG3001</v>
      </c>
      <c r="AH75" s="119" t="s">
        <v>128</v>
      </c>
      <c r="AI75" s="121" t="str">
        <f t="shared" ref="AI75" si="144">AI44</f>
        <v>POLS3000</v>
      </c>
      <c r="AJ75" s="120" t="s">
        <v>127</v>
      </c>
      <c r="AK75" s="120" t="str">
        <f t="shared" ref="AK75" si="145">AK44</f>
        <v>INTR3002</v>
      </c>
      <c r="AL75" s="119" t="s">
        <v>128</v>
      </c>
      <c r="AM75" s="121" t="str">
        <f t="shared" ref="AM75" si="146">AM44</f>
        <v>JAPN3003</v>
      </c>
      <c r="AN75" s="120" t="s">
        <v>127</v>
      </c>
      <c r="AO75" s="120" t="str">
        <f t="shared" ref="AO75" si="147">AO44</f>
        <v>JAPN3002</v>
      </c>
      <c r="AP75" s="119" t="s">
        <v>128</v>
      </c>
      <c r="AQ75" s="121" t="str">
        <f t="shared" si="9"/>
        <v>Opt-JOURN</v>
      </c>
      <c r="AR75" s="120" t="s">
        <v>127</v>
      </c>
      <c r="AS75" s="120" t="str">
        <f t="shared" ref="AS75" si="148">AS44</f>
        <v>Opt-JOURN</v>
      </c>
      <c r="AT75" s="119" t="s">
        <v>128</v>
      </c>
      <c r="AU75" s="121" t="str">
        <f t="shared" si="10"/>
        <v>KORE3002</v>
      </c>
      <c r="AV75" s="120" t="s">
        <v>127</v>
      </c>
      <c r="AW75" s="120" t="str">
        <f t="shared" ref="AW75" si="149">AW44</f>
        <v>-KSM-</v>
      </c>
      <c r="AX75" s="119" t="s">
        <v>128</v>
      </c>
      <c r="AY75" s="121" t="str">
        <f t="shared" si="11"/>
        <v>Opt-LITCUY3</v>
      </c>
      <c r="AZ75" s="120" t="s">
        <v>127</v>
      </c>
      <c r="BA75" s="121" t="str">
        <f t="shared" ref="BA75" si="150">BA44</f>
        <v>Opt-LITCUY3</v>
      </c>
      <c r="BB75" s="119" t="s">
        <v>128</v>
      </c>
      <c r="BC75" s="121" t="str">
        <f t="shared" si="62"/>
        <v>NETS3004</v>
      </c>
      <c r="BD75" s="120" t="s">
        <v>127</v>
      </c>
      <c r="BE75" s="121" t="str">
        <f t="shared" si="63"/>
        <v>Opt-NETCM</v>
      </c>
      <c r="BF75" s="119" t="s">
        <v>128</v>
      </c>
      <c r="BG75" s="121" t="str">
        <f t="shared" si="64"/>
        <v>PWRP3010</v>
      </c>
      <c r="BH75" s="120" t="s">
        <v>127</v>
      </c>
      <c r="BI75" s="121" t="str">
        <f t="shared" si="65"/>
        <v>PWRP3014</v>
      </c>
      <c r="BJ75" s="119" t="s">
        <v>128</v>
      </c>
      <c r="BK75" s="121" t="str">
        <f t="shared" si="16"/>
        <v>STRD3003</v>
      </c>
      <c r="BL75" s="120" t="s">
        <v>127</v>
      </c>
      <c r="BM75" s="133" t="str">
        <f t="shared" ref="BM75" si="151">BM44</f>
        <v>STRD3001</v>
      </c>
      <c r="BN75" s="139" t="s">
        <v>128</v>
      </c>
      <c r="BO75" s="144" t="s">
        <v>390</v>
      </c>
      <c r="BP75" s="57" t="str">
        <f>BN73</f>
        <v>Y3Sem1</v>
      </c>
      <c r="BQ75" s="144" t="s">
        <v>390</v>
      </c>
      <c r="BR75" s="57" t="s">
        <v>128</v>
      </c>
      <c r="BS75" s="144" t="s">
        <v>94</v>
      </c>
      <c r="BT75" s="87" t="s">
        <v>127</v>
      </c>
      <c r="BU75" s="217" t="s">
        <v>460</v>
      </c>
      <c r="BV75" s="57" t="s">
        <v>128</v>
      </c>
      <c r="BW75" s="144" t="s">
        <v>461</v>
      </c>
      <c r="BX75" s="87" t="s">
        <v>127</v>
      </c>
      <c r="BY75" s="215" t="s">
        <v>461</v>
      </c>
      <c r="BZ75" s="57" t="s">
        <v>128</v>
      </c>
      <c r="CA75" s="61" t="s">
        <v>476</v>
      </c>
      <c r="CB75" s="87" t="str">
        <f>BZ73</f>
        <v>Y3Sem1</v>
      </c>
      <c r="CC75" s="94" t="s">
        <v>912</v>
      </c>
      <c r="CD75" s="57" t="s">
        <v>128</v>
      </c>
      <c r="CE75" s="222" t="s">
        <v>94</v>
      </c>
      <c r="CF75" s="87" t="str">
        <f>CD73</f>
        <v>Y3Sem1</v>
      </c>
      <c r="CG75" s="228" t="s">
        <v>94</v>
      </c>
      <c r="CH75" s="57" t="s">
        <v>128</v>
      </c>
      <c r="CI75" s="144" t="s">
        <v>94</v>
      </c>
      <c r="CJ75" s="87" t="str">
        <f>CH73</f>
        <v>Y3Sem1</v>
      </c>
      <c r="CK75" s="215" t="s">
        <v>464</v>
      </c>
      <c r="CL75" s="57" t="s">
        <v>128</v>
      </c>
      <c r="CM75" s="144" t="s">
        <v>94</v>
      </c>
      <c r="CN75" s="87" t="str">
        <f>CL73</f>
        <v>Y3Sem1</v>
      </c>
      <c r="CO75" s="215" t="s">
        <v>465</v>
      </c>
      <c r="CP75" s="57" t="s">
        <v>128</v>
      </c>
      <c r="CQ75" s="197" t="s">
        <v>466</v>
      </c>
      <c r="CR75" s="87" t="str">
        <f>CP73</f>
        <v>Y3Sem1</v>
      </c>
      <c r="CS75" s="217" t="s">
        <v>94</v>
      </c>
      <c r="CT75" s="57" t="s">
        <v>128</v>
      </c>
      <c r="CU75" s="144" t="s">
        <v>94</v>
      </c>
      <c r="CV75" s="87" t="str">
        <f>CT73</f>
        <v>Y3Sem1</v>
      </c>
      <c r="CW75" s="215" t="s">
        <v>465</v>
      </c>
      <c r="CX75" s="57" t="s">
        <v>128</v>
      </c>
      <c r="CY75" s="144" t="s">
        <v>94</v>
      </c>
      <c r="CZ75" s="87" t="str">
        <f>CX73</f>
        <v>Y3Sem1</v>
      </c>
      <c r="DA75" s="217" t="s">
        <v>467</v>
      </c>
      <c r="DB75" s="57" t="s">
        <v>128</v>
      </c>
      <c r="DC75" s="144" t="s">
        <v>94</v>
      </c>
      <c r="DD75" s="57" t="str">
        <f>DB73</f>
        <v>Y3Sem1</v>
      </c>
      <c r="DE75" s="215" t="s">
        <v>468</v>
      </c>
      <c r="DF75" s="57" t="s">
        <v>128</v>
      </c>
      <c r="DG75" s="144" t="s">
        <v>470</v>
      </c>
      <c r="DH75" s="57" t="str">
        <f>DF73</f>
        <v>Y3Sem1</v>
      </c>
      <c r="DI75" s="215" t="s">
        <v>469</v>
      </c>
      <c r="DJ75" s="57" t="s">
        <v>128</v>
      </c>
      <c r="DK75" s="144" t="s">
        <v>472</v>
      </c>
      <c r="DL75" s="57" t="s">
        <v>127</v>
      </c>
      <c r="DM75" s="215" t="s">
        <v>471</v>
      </c>
      <c r="DN75" s="57" t="s">
        <v>128</v>
      </c>
      <c r="DO75" s="144" t="s">
        <v>473</v>
      </c>
      <c r="DP75" s="57" t="s">
        <v>127</v>
      </c>
      <c r="DQ75" s="215" t="s">
        <v>94</v>
      </c>
    </row>
    <row r="76" spans="1:121" x14ac:dyDescent="0.25">
      <c r="A76" s="191"/>
      <c r="F76"/>
      <c r="G76"/>
      <c r="H76"/>
      <c r="I76" s="21">
        <v>14</v>
      </c>
      <c r="J76" s="113"/>
      <c r="K76" s="122" t="str">
        <f>IF(ISBLANK(K45),"",K45)</f>
        <v>--</v>
      </c>
      <c r="L76" s="123"/>
      <c r="M76" s="123" t="str">
        <f>IF(ISBLANK(M45),"",M45)</f>
        <v>--</v>
      </c>
      <c r="N76" s="113"/>
      <c r="O76" s="114" t="str">
        <f>IF(ISBLANK(O45),"",O45)</f>
        <v>--</v>
      </c>
      <c r="P76" s="113"/>
      <c r="Q76" s="114" t="str">
        <f>IF(ISBLANK(Q45),"",Q45)</f>
        <v>--</v>
      </c>
      <c r="R76" s="113"/>
      <c r="S76" s="114" t="str">
        <f>IF(ISBLANK(S45),"",S45)</f>
        <v>Opt-CRWRI</v>
      </c>
      <c r="T76" s="113"/>
      <c r="U76" s="114" t="str">
        <f>IF(ISBLANK(U45),"",U45)</f>
        <v>Opt-CRWRI</v>
      </c>
      <c r="V76" s="113"/>
      <c r="W76" s="114" t="str">
        <f>IF(ISBLANK(W45),"",W45)</f>
        <v>--</v>
      </c>
      <c r="X76" s="113"/>
      <c r="Y76" s="114" t="str">
        <f>IF(ISBLANK(Y45),"",Y45)</f>
        <v>--</v>
      </c>
      <c r="Z76" s="113"/>
      <c r="AA76" s="114" t="str">
        <f>IF(ISBLANK(AA45),"",AA45)</f>
        <v>--</v>
      </c>
      <c r="AB76" s="115"/>
      <c r="AC76" s="124" t="str">
        <f>IF(ISBLANK(AC45),"",AC45)</f>
        <v>--</v>
      </c>
      <c r="AD76" s="113"/>
      <c r="AE76" s="114" t="str">
        <f>IF(ISBLANK(AE45),"",AE45)</f>
        <v>--</v>
      </c>
      <c r="AF76" s="115"/>
      <c r="AG76" s="115" t="str">
        <f>IF(ISBLANK(AG45),"",AG45)</f>
        <v>--</v>
      </c>
      <c r="AH76" s="113"/>
      <c r="AI76" s="114" t="str">
        <f>IF(ISBLANK(AI45),"",AI45)</f>
        <v>--</v>
      </c>
      <c r="AJ76" s="115"/>
      <c r="AK76" s="115" t="str">
        <f>IF(ISBLANK(AK45),"",AK45)</f>
        <v>--</v>
      </c>
      <c r="AL76" s="113"/>
      <c r="AM76" s="114" t="str">
        <f>IF(ISBLANK(AM45),"",AM45)</f>
        <v>--</v>
      </c>
      <c r="AN76" s="115"/>
      <c r="AO76" s="115" t="str">
        <f>IF(ISBLANK(AO45),"",AO45)</f>
        <v>--</v>
      </c>
      <c r="AP76" s="113"/>
      <c r="AQ76" s="114" t="str">
        <f>IF(ISBLANK(AQ45),"",AQ45)</f>
        <v>Opt-JOURN</v>
      </c>
      <c r="AR76" s="115"/>
      <c r="AS76" s="115" t="str">
        <f>IF(ISBLANK(AS45),"",AS45)</f>
        <v>Opt-JOURN</v>
      </c>
      <c r="AT76" s="113"/>
      <c r="AU76" s="114" t="str">
        <f>IF(ISBLANK(AU45),"",AU45)</f>
        <v>AC-KORES</v>
      </c>
      <c r="AV76" s="115"/>
      <c r="AW76" s="115" t="str">
        <f>IF(ISBLANK(AW45),"",AW45)</f>
        <v>-KSM-</v>
      </c>
      <c r="AX76" s="113"/>
      <c r="AY76" s="114" t="str">
        <f>IF(ISBLANK(AY45),"",AY45)</f>
        <v>Opt-LITCUY2</v>
      </c>
      <c r="AZ76" s="113"/>
      <c r="BA76" s="114" t="str">
        <f>IF(ISBLANK(BA45),"",BA45)</f>
        <v>Opt-LITCUY2</v>
      </c>
      <c r="BB76" s="113"/>
      <c r="BC76" s="114" t="str">
        <f>IF(ISBLANK(BC45),"",BC45)</f>
        <v>Opt-NETCM</v>
      </c>
      <c r="BD76" s="113"/>
      <c r="BE76" s="114" t="str">
        <f>IF(ISBLANK(BE45),"",BE45)</f>
        <v>Opt-NETCM</v>
      </c>
      <c r="BF76" s="113"/>
      <c r="BG76" s="114" t="str">
        <f>IF(ISBLANK(BG45),"",BG45)</f>
        <v>--</v>
      </c>
      <c r="BH76" s="113"/>
      <c r="BI76" s="114" t="str">
        <f>IF(ISBLANK(BI45),"",BI45)</f>
        <v>--</v>
      </c>
      <c r="BJ76" s="113"/>
      <c r="BK76" s="122" t="str">
        <f>IF(ISBLANK(BK45),"",BK45)</f>
        <v>--</v>
      </c>
      <c r="BL76" s="113"/>
      <c r="BM76" s="134" t="str">
        <f>IF(ISBLANK(BM45),"",BM45)</f>
        <v>--</v>
      </c>
      <c r="BN76" s="136"/>
      <c r="BO76" s="75" t="s">
        <v>299</v>
      </c>
      <c r="BP76" s="58"/>
      <c r="BQ76" s="75" t="s">
        <v>299</v>
      </c>
      <c r="BR76" s="54"/>
      <c r="BS76" s="142" t="s">
        <v>442</v>
      </c>
      <c r="BT76" s="86"/>
      <c r="BU76" s="214" t="s">
        <v>442</v>
      </c>
      <c r="BV76" s="54"/>
      <c r="BW76" s="142" t="s">
        <v>438</v>
      </c>
      <c r="BX76" s="54"/>
      <c r="BY76" s="213" t="s">
        <v>438</v>
      </c>
      <c r="BZ76" s="54"/>
      <c r="CA76" s="75" t="s">
        <v>299</v>
      </c>
      <c r="CB76" s="88"/>
      <c r="CC76" s="88" t="s">
        <v>299</v>
      </c>
      <c r="CD76" s="54"/>
      <c r="CE76" s="142" t="s">
        <v>418</v>
      </c>
      <c r="CF76" s="54"/>
      <c r="CG76" s="213" t="s">
        <v>418</v>
      </c>
      <c r="CH76" s="54"/>
      <c r="CI76" s="148" t="s">
        <v>299</v>
      </c>
      <c r="CJ76" s="54"/>
      <c r="CK76" s="216" t="s">
        <v>299</v>
      </c>
      <c r="CL76" s="54"/>
      <c r="CM76" s="143" t="s">
        <v>420</v>
      </c>
      <c r="CN76" s="54"/>
      <c r="CO76" s="214" t="s">
        <v>420</v>
      </c>
      <c r="CP76" s="54"/>
      <c r="CQ76" s="148" t="s">
        <v>299</v>
      </c>
      <c r="CR76" s="88"/>
      <c r="CS76" s="230" t="s">
        <v>299</v>
      </c>
      <c r="CT76" s="54"/>
      <c r="CU76" s="142" t="s">
        <v>424</v>
      </c>
      <c r="CV76" s="54"/>
      <c r="CW76" s="213" t="s">
        <v>424</v>
      </c>
      <c r="CX76" s="54"/>
      <c r="CY76" s="142" t="s">
        <v>426</v>
      </c>
      <c r="CZ76" s="54"/>
      <c r="DA76" s="211" t="s">
        <v>426</v>
      </c>
      <c r="DB76" s="54"/>
      <c r="DC76" s="148" t="s">
        <v>299</v>
      </c>
      <c r="DD76" s="111"/>
      <c r="DE76" s="216" t="s">
        <v>299</v>
      </c>
      <c r="DF76" s="54"/>
      <c r="DG76" s="142" t="s">
        <v>470</v>
      </c>
      <c r="DH76" s="54"/>
      <c r="DI76" s="213" t="s">
        <v>470</v>
      </c>
      <c r="DJ76" s="54"/>
      <c r="DK76" s="148" t="s">
        <v>432</v>
      </c>
      <c r="DL76" s="54"/>
      <c r="DM76" s="216" t="s">
        <v>432</v>
      </c>
      <c r="DN76" s="54"/>
      <c r="DO76" s="143" t="s">
        <v>435</v>
      </c>
      <c r="DP76" s="54"/>
      <c r="DQ76" s="214" t="s">
        <v>435</v>
      </c>
    </row>
    <row r="77" spans="1:121" x14ac:dyDescent="0.25">
      <c r="A77" s="191"/>
      <c r="H77"/>
      <c r="I77" s="21">
        <v>15</v>
      </c>
      <c r="J77" s="116"/>
      <c r="K77" s="117" t="str">
        <f t="shared" ref="K77:K91" si="152">IF(ISBLANK(K46),"",K46)</f>
        <v/>
      </c>
      <c r="L77" s="118"/>
      <c r="M77" s="118" t="str">
        <f t="shared" ref="M77:M91" si="153">IF(ISBLANK(M46),"",M46)</f>
        <v/>
      </c>
      <c r="N77" s="116"/>
      <c r="O77" s="117" t="str">
        <f t="shared" ref="O77:O91" si="154">IF(ISBLANK(O46),"",O46)</f>
        <v/>
      </c>
      <c r="P77" s="116"/>
      <c r="Q77" s="117" t="str">
        <f t="shared" ref="Q77:S91" si="155">IF(ISBLANK(Q46),"",Q46)</f>
        <v/>
      </c>
      <c r="R77" s="116"/>
      <c r="S77" s="117" t="str">
        <f t="shared" si="155"/>
        <v>CWRI3002</v>
      </c>
      <c r="T77" s="116"/>
      <c r="U77" s="117" t="str">
        <f t="shared" ref="U77" si="156">IF(ISBLANK(U46),"",U46)</f>
        <v>CWRI3002</v>
      </c>
      <c r="V77" s="116"/>
      <c r="W77" s="117" t="str">
        <f t="shared" ref="W77" si="157">IF(ISBLANK(W46),"",W46)</f>
        <v/>
      </c>
      <c r="X77" s="118"/>
      <c r="Y77" s="118" t="str">
        <f t="shared" ref="Y77" si="158">IF(ISBLANK(Y46),"",Y46)</f>
        <v/>
      </c>
      <c r="Z77" s="116"/>
      <c r="AA77" s="117" t="str">
        <f t="shared" ref="AA77" si="159">IF(ISBLANK(AA46),"",AA46)</f>
        <v/>
      </c>
      <c r="AB77" s="118"/>
      <c r="AC77" s="118" t="str">
        <f t="shared" ref="AC77:AE77" si="160">IF(ISBLANK(AC46),"",AC46)</f>
        <v/>
      </c>
      <c r="AD77" s="116"/>
      <c r="AE77" s="117" t="str">
        <f t="shared" si="160"/>
        <v/>
      </c>
      <c r="AF77" s="118"/>
      <c r="AG77" s="118" t="str">
        <f t="shared" ref="AG77" si="161">IF(ISBLANK(AG46),"",AG46)</f>
        <v/>
      </c>
      <c r="AH77" s="116"/>
      <c r="AI77" s="117" t="str">
        <f t="shared" ref="AI77" si="162">IF(ISBLANK(AI46),"",AI46)</f>
        <v/>
      </c>
      <c r="AJ77" s="118"/>
      <c r="AK77" s="118" t="str">
        <f t="shared" ref="AK77" si="163">IF(ISBLANK(AK46),"",AK46)</f>
        <v/>
      </c>
      <c r="AL77" s="116"/>
      <c r="AM77" s="117" t="str">
        <f t="shared" ref="AM77" si="164">IF(ISBLANK(AM46),"",AM46)</f>
        <v/>
      </c>
      <c r="AN77" s="118"/>
      <c r="AO77" s="118" t="str">
        <f t="shared" ref="AO77" si="165">IF(ISBLANK(AO46),"",AO46)</f>
        <v/>
      </c>
      <c r="AP77" s="116"/>
      <c r="AQ77" s="117" t="str">
        <f t="shared" ref="AQ77" si="166">IF(ISBLANK(AQ46),"",AQ46)</f>
        <v>GRDE2027</v>
      </c>
      <c r="AR77" s="118"/>
      <c r="AS77" s="118" t="str">
        <f t="shared" ref="AS77" si="167">IF(ISBLANK(AS46),"",AS46)</f>
        <v>GRDE2027</v>
      </c>
      <c r="AT77" s="116"/>
      <c r="AU77" s="117" t="str">
        <f t="shared" ref="AU77" si="168">IF(ISBLANK(AU46),"",AU46)</f>
        <v>COMS2001</v>
      </c>
      <c r="AV77" s="118"/>
      <c r="AW77" s="118" t="str">
        <f t="shared" ref="AW77" si="169">IF(ISBLANK(AW46),"",AW46)</f>
        <v/>
      </c>
      <c r="AX77" s="116"/>
      <c r="AY77" s="117" t="str">
        <f t="shared" ref="AY77:AY91" si="170">IF(ISBLANK(AY46),"",AY46)</f>
        <v>ANTH2002</v>
      </c>
      <c r="AZ77" s="116"/>
      <c r="BA77" s="117" t="str">
        <f t="shared" ref="BA77:BA91" si="171">IF(ISBLANK(BA46),"",BA46)</f>
        <v>ANTH2002</v>
      </c>
      <c r="BB77" s="116"/>
      <c r="BC77" s="117" t="str">
        <f t="shared" ref="BC77:BC91" si="172">IF(ISBLANK(BC46),"",BC46)</f>
        <v>NETS3003</v>
      </c>
      <c r="BD77" s="116"/>
      <c r="BE77" s="117" t="str">
        <f t="shared" ref="BE77:BE91" si="173">IF(ISBLANK(BE46),"",BE46)</f>
        <v>NETS3003</v>
      </c>
      <c r="BF77" s="116"/>
      <c r="BG77" s="117" t="str">
        <f t="shared" ref="BG77:BG91" si="174">IF(ISBLANK(BG46),"",BG46)</f>
        <v/>
      </c>
      <c r="BH77" s="116"/>
      <c r="BI77" s="117" t="str">
        <f t="shared" ref="BI77:BI91" si="175">IF(ISBLANK(BI46),"",BI46)</f>
        <v/>
      </c>
      <c r="BJ77" s="116"/>
      <c r="BK77" s="117" t="str">
        <f t="shared" ref="BK77:BK91" si="176">IF(ISBLANK(BK46),"",BK46)</f>
        <v/>
      </c>
      <c r="BL77" s="116"/>
      <c r="BM77" s="132" t="str">
        <f t="shared" ref="BM77:BM91" si="177">IF(ISBLANK(BM46),"",BM46)</f>
        <v/>
      </c>
      <c r="BN77" s="137"/>
      <c r="BO77" s="63"/>
      <c r="BP77" s="1"/>
      <c r="BQ77" s="1"/>
      <c r="BR77" s="56"/>
      <c r="BS77" s="143" t="s">
        <v>477</v>
      </c>
      <c r="BT77" s="1"/>
      <c r="BU77" s="212" t="s">
        <v>477</v>
      </c>
      <c r="BV77" s="56"/>
      <c r="BW77" s="143" t="s">
        <v>478</v>
      </c>
      <c r="BX77" s="56"/>
      <c r="BY77" s="214" t="s">
        <v>478</v>
      </c>
      <c r="BZ77" s="56"/>
      <c r="CA77" s="63"/>
      <c r="CB77" s="1"/>
      <c r="CC77" s="1"/>
      <c r="CD77" s="56"/>
      <c r="CE77" s="143" t="s">
        <v>415</v>
      </c>
      <c r="CF77" s="56"/>
      <c r="CG77" s="214" t="s">
        <v>415</v>
      </c>
      <c r="CH77" s="200"/>
      <c r="CI77" s="63"/>
      <c r="CJ77" s="56"/>
      <c r="CK77" s="63"/>
      <c r="CL77" s="56"/>
      <c r="CM77" s="143" t="s">
        <v>398</v>
      </c>
      <c r="CN77" s="56"/>
      <c r="CO77" s="214" t="s">
        <v>398</v>
      </c>
      <c r="CP77" s="56"/>
      <c r="CQ77" s="63"/>
      <c r="CR77" s="1"/>
      <c r="CS77" s="1"/>
      <c r="CT77" s="56"/>
      <c r="CU77" s="143" t="s">
        <v>479</v>
      </c>
      <c r="CV77" s="56"/>
      <c r="CW77" s="214" t="s">
        <v>479</v>
      </c>
      <c r="CX77" s="200"/>
      <c r="CY77" s="143" t="s">
        <v>480</v>
      </c>
      <c r="CZ77" s="56"/>
      <c r="DA77" s="212" t="s">
        <v>480</v>
      </c>
      <c r="DB77" s="56"/>
      <c r="DC77" s="63"/>
      <c r="DD77" s="56"/>
      <c r="DE77" s="63"/>
      <c r="DF77" s="56"/>
      <c r="DG77" s="196" t="s">
        <v>481</v>
      </c>
      <c r="DH77" s="56"/>
      <c r="DI77" s="196" t="s">
        <v>481</v>
      </c>
      <c r="DJ77" s="56"/>
      <c r="DK77" s="143" t="s">
        <v>482</v>
      </c>
      <c r="DL77" s="56"/>
      <c r="DM77" s="214" t="s">
        <v>482</v>
      </c>
      <c r="DN77" s="56"/>
      <c r="DO77" s="143" t="s">
        <v>483</v>
      </c>
      <c r="DP77" s="56"/>
      <c r="DQ77" s="214" t="s">
        <v>483</v>
      </c>
    </row>
    <row r="78" spans="1:121" x14ac:dyDescent="0.25">
      <c r="A78" s="191"/>
      <c r="H78"/>
      <c r="I78" s="21">
        <v>16</v>
      </c>
      <c r="J78" s="116"/>
      <c r="K78" s="117" t="str">
        <f t="shared" si="152"/>
        <v/>
      </c>
      <c r="L78" s="118"/>
      <c r="M78" s="118" t="str">
        <f t="shared" si="153"/>
        <v/>
      </c>
      <c r="N78" s="116"/>
      <c r="O78" s="117" t="str">
        <f t="shared" si="154"/>
        <v/>
      </c>
      <c r="P78" s="116"/>
      <c r="Q78" s="117" t="str">
        <f t="shared" si="155"/>
        <v/>
      </c>
      <c r="R78" s="116"/>
      <c r="S78" s="117" t="str">
        <f t="shared" si="155"/>
        <v>CWRI3011</v>
      </c>
      <c r="T78" s="116"/>
      <c r="U78" s="117" t="str">
        <f t="shared" ref="U78" si="178">IF(ISBLANK(U47),"",U47)</f>
        <v>CWRI3011</v>
      </c>
      <c r="V78" s="116"/>
      <c r="W78" s="117" t="str">
        <f t="shared" ref="W78" si="179">IF(ISBLANK(W47),"",W47)</f>
        <v/>
      </c>
      <c r="X78" s="118"/>
      <c r="Y78" s="118" t="str">
        <f t="shared" ref="Y78" si="180">IF(ISBLANK(Y47),"",Y47)</f>
        <v/>
      </c>
      <c r="Z78" s="116"/>
      <c r="AA78" s="117" t="str">
        <f t="shared" ref="AA78" si="181">IF(ISBLANK(AA47),"",AA47)</f>
        <v/>
      </c>
      <c r="AB78" s="118"/>
      <c r="AC78" s="118" t="str">
        <f t="shared" ref="AC78:AE78" si="182">IF(ISBLANK(AC47),"",AC47)</f>
        <v/>
      </c>
      <c r="AD78" s="116"/>
      <c r="AE78" s="117" t="str">
        <f t="shared" si="182"/>
        <v/>
      </c>
      <c r="AF78" s="118"/>
      <c r="AG78" s="118" t="str">
        <f t="shared" ref="AG78" si="183">IF(ISBLANK(AG47),"",AG47)</f>
        <v/>
      </c>
      <c r="AH78" s="116"/>
      <c r="AI78" s="117" t="str">
        <f t="shared" ref="AI78" si="184">IF(ISBLANK(AI47),"",AI47)</f>
        <v/>
      </c>
      <c r="AJ78" s="118"/>
      <c r="AK78" s="118" t="str">
        <f t="shared" ref="AK78" si="185">IF(ISBLANK(AK47),"",AK47)</f>
        <v/>
      </c>
      <c r="AL78" s="116"/>
      <c r="AM78" s="117" t="str">
        <f t="shared" ref="AM78" si="186">IF(ISBLANK(AM47),"",AM47)</f>
        <v/>
      </c>
      <c r="AN78" s="118"/>
      <c r="AO78" s="117" t="str">
        <f t="shared" ref="AO78" si="187">IF(ISBLANK(AO47),"",AO47)</f>
        <v/>
      </c>
      <c r="AP78" s="116"/>
      <c r="AQ78" s="117" t="str">
        <f t="shared" ref="AQ78" si="188">IF(ISBLANK(AQ47),"",AQ47)</f>
        <v>JOUR3001</v>
      </c>
      <c r="AR78" s="118"/>
      <c r="AS78" s="118" t="str">
        <f t="shared" ref="AS78" si="189">IF(ISBLANK(AS47),"",AS47)</f>
        <v>JOUR3001</v>
      </c>
      <c r="AT78" s="116"/>
      <c r="AU78" s="117" t="str">
        <f t="shared" ref="AU78" si="190">IF(ISBLANK(AU47),"",AU47)</f>
        <v>INTR2002</v>
      </c>
      <c r="AV78" s="118"/>
      <c r="AW78" s="118" t="str">
        <f t="shared" ref="AW78" si="191">IF(ISBLANK(AW47),"",AW47)</f>
        <v/>
      </c>
      <c r="AX78" s="116"/>
      <c r="AY78" s="117" t="str">
        <f t="shared" si="170"/>
        <v>ANTH2003</v>
      </c>
      <c r="AZ78" s="116"/>
      <c r="BA78" s="117" t="str">
        <f t="shared" si="171"/>
        <v>ANTH2003</v>
      </c>
      <c r="BB78" s="116"/>
      <c r="BC78" s="117" t="str">
        <f t="shared" si="172"/>
        <v>NETS3012</v>
      </c>
      <c r="BD78" s="116"/>
      <c r="BE78" s="117" t="str">
        <f t="shared" si="173"/>
        <v>NETS3012</v>
      </c>
      <c r="BF78" s="116"/>
      <c r="BG78" s="117" t="str">
        <f t="shared" si="174"/>
        <v/>
      </c>
      <c r="BH78" s="116"/>
      <c r="BI78" s="117" t="str">
        <f t="shared" si="175"/>
        <v/>
      </c>
      <c r="BJ78" s="116"/>
      <c r="BK78" s="117" t="str">
        <f t="shared" si="176"/>
        <v/>
      </c>
      <c r="BL78" s="116"/>
      <c r="BM78" s="132" t="str">
        <f t="shared" si="177"/>
        <v/>
      </c>
      <c r="BN78" s="137"/>
      <c r="BO78" s="63"/>
      <c r="BP78" s="1"/>
      <c r="BQ78" s="1"/>
      <c r="BR78" s="56"/>
      <c r="BS78" s="143" t="s">
        <v>484</v>
      </c>
      <c r="BT78" s="1"/>
      <c r="BU78" s="212" t="s">
        <v>484</v>
      </c>
      <c r="BV78" s="56"/>
      <c r="BW78" s="143" t="s">
        <v>485</v>
      </c>
      <c r="BX78" s="56"/>
      <c r="BY78" s="214" t="s">
        <v>485</v>
      </c>
      <c r="BZ78" s="56"/>
      <c r="CA78" s="63"/>
      <c r="CB78" s="1"/>
      <c r="CC78" s="1"/>
      <c r="CD78" s="56"/>
      <c r="CE78" s="143" t="s">
        <v>486</v>
      </c>
      <c r="CF78" s="56"/>
      <c r="CG78" s="214" t="s">
        <v>486</v>
      </c>
      <c r="CH78" s="200"/>
      <c r="CI78" s="63"/>
      <c r="CJ78" s="56"/>
      <c r="CK78" s="63"/>
      <c r="CL78" s="56"/>
      <c r="CM78" s="143" t="s">
        <v>487</v>
      </c>
      <c r="CN78" s="56"/>
      <c r="CO78" s="214" t="s">
        <v>487</v>
      </c>
      <c r="CP78" s="56"/>
      <c r="CQ78" s="63"/>
      <c r="CR78" s="1"/>
      <c r="CS78" s="1"/>
      <c r="CT78" s="56"/>
      <c r="CU78" s="143" t="s">
        <v>383</v>
      </c>
      <c r="CV78" s="56"/>
      <c r="CW78" s="214" t="s">
        <v>383</v>
      </c>
      <c r="CX78" s="200"/>
      <c r="CY78" s="143" t="s">
        <v>487</v>
      </c>
      <c r="CZ78" s="56"/>
      <c r="DA78" s="212" t="s">
        <v>487</v>
      </c>
      <c r="DB78" s="56"/>
      <c r="DC78" s="63"/>
      <c r="DD78" s="56"/>
      <c r="DE78" s="63"/>
      <c r="DF78" s="56"/>
      <c r="DG78" s="143" t="s">
        <v>488</v>
      </c>
      <c r="DH78" s="56"/>
      <c r="DI78" s="214" t="s">
        <v>488</v>
      </c>
      <c r="DJ78" s="56"/>
      <c r="DK78" s="143" t="s">
        <v>489</v>
      </c>
      <c r="DL78" s="56"/>
      <c r="DM78" s="214" t="s">
        <v>489</v>
      </c>
      <c r="DN78" s="56"/>
      <c r="DO78" s="143" t="s">
        <v>490</v>
      </c>
      <c r="DP78" s="56"/>
      <c r="DQ78" s="214" t="s">
        <v>490</v>
      </c>
    </row>
    <row r="79" spans="1:121" x14ac:dyDescent="0.25">
      <c r="A79" s="191"/>
      <c r="H79"/>
      <c r="I79" s="21">
        <v>17</v>
      </c>
      <c r="J79" s="116"/>
      <c r="K79" s="117" t="str">
        <f t="shared" si="152"/>
        <v/>
      </c>
      <c r="L79" s="118"/>
      <c r="M79" s="118" t="str">
        <f t="shared" si="153"/>
        <v/>
      </c>
      <c r="N79" s="116"/>
      <c r="O79" s="117" t="str">
        <f t="shared" si="154"/>
        <v/>
      </c>
      <c r="P79" s="116"/>
      <c r="Q79" s="117" t="str">
        <f t="shared" si="155"/>
        <v/>
      </c>
      <c r="R79" s="116"/>
      <c r="S79" s="117" t="str">
        <f t="shared" si="155"/>
        <v/>
      </c>
      <c r="T79" s="118"/>
      <c r="U79" s="118" t="str">
        <f t="shared" ref="U79" si="192">IF(ISBLANK(U48),"",U48)</f>
        <v/>
      </c>
      <c r="V79" s="116"/>
      <c r="W79" s="117" t="str">
        <f t="shared" ref="W79" si="193">IF(ISBLANK(W48),"",W48)</f>
        <v/>
      </c>
      <c r="X79" s="118"/>
      <c r="Y79" s="118" t="str">
        <f t="shared" ref="Y79" si="194">IF(ISBLANK(Y48),"",Y48)</f>
        <v/>
      </c>
      <c r="Z79" s="116"/>
      <c r="AA79" s="117" t="str">
        <f t="shared" ref="AA79" si="195">IF(ISBLANK(AA48),"",AA48)</f>
        <v/>
      </c>
      <c r="AB79" s="118"/>
      <c r="AC79" s="118" t="str">
        <f t="shared" ref="AC79:AE79" si="196">IF(ISBLANK(AC48),"",AC48)</f>
        <v/>
      </c>
      <c r="AD79" s="116"/>
      <c r="AE79" s="117" t="str">
        <f t="shared" si="196"/>
        <v/>
      </c>
      <c r="AF79" s="118"/>
      <c r="AG79" s="118" t="str">
        <f t="shared" ref="AG79" si="197">IF(ISBLANK(AG48),"",AG48)</f>
        <v/>
      </c>
      <c r="AH79" s="116"/>
      <c r="AI79" s="117" t="str">
        <f t="shared" ref="AI79" si="198">IF(ISBLANK(AI48),"",AI48)</f>
        <v/>
      </c>
      <c r="AJ79" s="118"/>
      <c r="AK79" s="118" t="str">
        <f t="shared" ref="AK79" si="199">IF(ISBLANK(AK48),"",AK48)</f>
        <v/>
      </c>
      <c r="AL79" s="116"/>
      <c r="AM79" s="117" t="str">
        <f t="shared" ref="AM79" si="200">IF(ISBLANK(AM48),"",AM48)</f>
        <v/>
      </c>
      <c r="AN79" s="118"/>
      <c r="AO79" s="117" t="str">
        <f t="shared" ref="AO79" si="201">IF(ISBLANK(AO48),"",AO48)</f>
        <v/>
      </c>
      <c r="AP79" s="116"/>
      <c r="AQ79" s="117" t="str">
        <f t="shared" ref="AQ79" si="202">IF(ISBLANK(AQ48),"",AQ48)</f>
        <v>JOUR3002</v>
      </c>
      <c r="AR79" s="118"/>
      <c r="AS79" s="118" t="str">
        <f t="shared" ref="AS79" si="203">IF(ISBLANK(AS48),"",AS48)</f>
        <v>JOUR3002</v>
      </c>
      <c r="AT79" s="116"/>
      <c r="AU79" s="117" t="str">
        <f t="shared" ref="AU79" si="204">IF(ISBLANK(AU48),"",AU48)</f>
        <v/>
      </c>
      <c r="AV79" s="118"/>
      <c r="AW79" s="118" t="str">
        <f t="shared" ref="AW79" si="205">IF(ISBLANK(AW48),"",AW48)</f>
        <v/>
      </c>
      <c r="AX79" s="116"/>
      <c r="AY79" s="117" t="str">
        <f t="shared" si="170"/>
        <v>COMS2000</v>
      </c>
      <c r="AZ79" s="116"/>
      <c r="BA79" s="117" t="str">
        <f t="shared" si="171"/>
        <v>COMS2000</v>
      </c>
      <c r="BB79" s="116"/>
      <c r="BC79" s="117" t="str">
        <f t="shared" si="172"/>
        <v/>
      </c>
      <c r="BD79" s="116"/>
      <c r="BE79" s="117" t="str">
        <f t="shared" si="173"/>
        <v/>
      </c>
      <c r="BF79" s="116"/>
      <c r="BG79" s="117" t="str">
        <f t="shared" si="174"/>
        <v/>
      </c>
      <c r="BH79" s="118"/>
      <c r="BI79" s="118" t="str">
        <f t="shared" si="175"/>
        <v/>
      </c>
      <c r="BJ79" s="116"/>
      <c r="BK79" s="117" t="str">
        <f t="shared" si="176"/>
        <v/>
      </c>
      <c r="BL79" s="116"/>
      <c r="BM79" s="132" t="str">
        <f t="shared" si="177"/>
        <v/>
      </c>
      <c r="BN79" s="137"/>
      <c r="BO79" s="63"/>
      <c r="BP79" s="1"/>
      <c r="BQ79" s="1"/>
      <c r="BR79" s="56"/>
      <c r="BS79" s="63"/>
      <c r="BT79" s="1"/>
      <c r="BU79" s="1"/>
      <c r="BV79" s="56"/>
      <c r="BW79" s="143" t="s">
        <v>486</v>
      </c>
      <c r="BX79" s="56"/>
      <c r="BY79" s="214" t="s">
        <v>486</v>
      </c>
      <c r="BZ79" s="56"/>
      <c r="CA79" s="63"/>
      <c r="CB79" s="1"/>
      <c r="CC79" s="1"/>
      <c r="CD79" s="56"/>
      <c r="CE79" s="63"/>
      <c r="CF79" s="1"/>
      <c r="CG79" s="1"/>
      <c r="CH79" s="200"/>
      <c r="CI79" s="63"/>
      <c r="CJ79" s="56"/>
      <c r="CK79" s="63"/>
      <c r="CL79" s="56"/>
      <c r="CM79" s="63"/>
      <c r="CN79" s="1"/>
      <c r="CO79" s="1"/>
      <c r="CP79" s="56"/>
      <c r="CQ79" s="63"/>
      <c r="CR79" s="1"/>
      <c r="CS79" s="1"/>
      <c r="CT79" s="56"/>
      <c r="CU79" s="63"/>
      <c r="CV79" s="1"/>
      <c r="CW79" s="1"/>
      <c r="CX79" s="200"/>
      <c r="CY79" s="143" t="s">
        <v>491</v>
      </c>
      <c r="CZ79" s="1"/>
      <c r="DA79" s="212" t="s">
        <v>491</v>
      </c>
      <c r="DB79" s="56"/>
      <c r="DC79" s="63"/>
      <c r="DD79" s="56"/>
      <c r="DE79" s="63"/>
      <c r="DF79" s="56"/>
      <c r="DG79" s="143" t="s">
        <v>489</v>
      </c>
      <c r="DH79" s="56"/>
      <c r="DI79" s="214" t="s">
        <v>489</v>
      </c>
      <c r="DJ79" s="56"/>
      <c r="DK79" s="63"/>
      <c r="DL79" s="56"/>
      <c r="DM79" s="63"/>
      <c r="DN79" s="56"/>
      <c r="DO79" s="143" t="s">
        <v>491</v>
      </c>
      <c r="DP79" s="56"/>
      <c r="DQ79" s="214" t="s">
        <v>491</v>
      </c>
    </row>
    <row r="80" spans="1:121" x14ac:dyDescent="0.25">
      <c r="A80" s="191"/>
      <c r="H80"/>
      <c r="I80" s="21">
        <v>18</v>
      </c>
      <c r="J80" s="116"/>
      <c r="K80" s="117" t="str">
        <f t="shared" si="152"/>
        <v/>
      </c>
      <c r="L80" s="118"/>
      <c r="M80" s="118" t="str">
        <f t="shared" si="153"/>
        <v/>
      </c>
      <c r="N80" s="116"/>
      <c r="O80" s="117" t="str">
        <f t="shared" si="154"/>
        <v/>
      </c>
      <c r="P80" s="116"/>
      <c r="Q80" s="117" t="str">
        <f t="shared" si="155"/>
        <v/>
      </c>
      <c r="R80" s="116"/>
      <c r="S80" s="117" t="str">
        <f t="shared" si="155"/>
        <v/>
      </c>
      <c r="T80" s="118"/>
      <c r="U80" s="118" t="str">
        <f t="shared" ref="U80" si="206">IF(ISBLANK(U49),"",U49)</f>
        <v/>
      </c>
      <c r="V80" s="116"/>
      <c r="W80" s="117" t="str">
        <f t="shared" ref="W80" si="207">IF(ISBLANK(W49),"",W49)</f>
        <v/>
      </c>
      <c r="X80" s="118"/>
      <c r="Y80" s="118" t="str">
        <f t="shared" ref="Y80" si="208">IF(ISBLANK(Y49),"",Y49)</f>
        <v/>
      </c>
      <c r="Z80" s="116"/>
      <c r="AA80" s="117" t="str">
        <f t="shared" ref="AA80" si="209">IF(ISBLANK(AA49),"",AA49)</f>
        <v/>
      </c>
      <c r="AB80" s="118"/>
      <c r="AC80" s="118" t="str">
        <f t="shared" ref="AC80:AE80" si="210">IF(ISBLANK(AC49),"",AC49)</f>
        <v/>
      </c>
      <c r="AD80" s="116"/>
      <c r="AE80" s="117" t="str">
        <f t="shared" si="210"/>
        <v/>
      </c>
      <c r="AF80" s="118"/>
      <c r="AG80" s="118" t="str">
        <f t="shared" ref="AG80" si="211">IF(ISBLANK(AG49),"",AG49)</f>
        <v/>
      </c>
      <c r="AH80" s="116"/>
      <c r="AI80" s="117" t="str">
        <f t="shared" ref="AI80" si="212">IF(ISBLANK(AI49),"",AI49)</f>
        <v/>
      </c>
      <c r="AJ80" s="118"/>
      <c r="AK80" s="118" t="str">
        <f t="shared" ref="AK80" si="213">IF(ISBLANK(AK49),"",AK49)</f>
        <v/>
      </c>
      <c r="AL80" s="116"/>
      <c r="AM80" s="117" t="str">
        <f t="shared" ref="AM80" si="214">IF(ISBLANK(AM49),"",AM49)</f>
        <v/>
      </c>
      <c r="AN80" s="118"/>
      <c r="AO80" s="117" t="str">
        <f t="shared" ref="AO80" si="215">IF(ISBLANK(AO49),"",AO49)</f>
        <v/>
      </c>
      <c r="AP80" s="116"/>
      <c r="AQ80" s="117" t="str">
        <f t="shared" ref="AQ80" si="216">IF(ISBLANK(AQ49),"",AQ49)</f>
        <v>JOUR3005</v>
      </c>
      <c r="AR80" s="118"/>
      <c r="AS80" s="118" t="str">
        <f t="shared" ref="AS80" si="217">IF(ISBLANK(AS49),"",AS49)</f>
        <v>JOUR3005</v>
      </c>
      <c r="AT80" s="116"/>
      <c r="AU80" s="117" t="str">
        <f t="shared" ref="AU80" si="218">IF(ISBLANK(AU49),"",AU49)</f>
        <v/>
      </c>
      <c r="AV80" s="118"/>
      <c r="AW80" s="118" t="str">
        <f t="shared" ref="AW80" si="219">IF(ISBLANK(AW49),"",AW49)</f>
        <v/>
      </c>
      <c r="AX80" s="116"/>
      <c r="AY80" s="117" t="str">
        <f t="shared" si="170"/>
        <v>COMS2001</v>
      </c>
      <c r="AZ80" s="116"/>
      <c r="BA80" s="117" t="str">
        <f t="shared" si="171"/>
        <v>COMS2001</v>
      </c>
      <c r="BB80" s="116"/>
      <c r="BC80" s="117" t="str">
        <f t="shared" si="172"/>
        <v/>
      </c>
      <c r="BD80" s="116"/>
      <c r="BE80" s="117" t="str">
        <f t="shared" si="173"/>
        <v/>
      </c>
      <c r="BF80" s="116"/>
      <c r="BG80" s="117" t="str">
        <f t="shared" si="174"/>
        <v/>
      </c>
      <c r="BH80" s="118"/>
      <c r="BI80" s="118" t="str">
        <f t="shared" si="175"/>
        <v/>
      </c>
      <c r="BJ80" s="116"/>
      <c r="BK80" s="117" t="str">
        <f t="shared" si="176"/>
        <v/>
      </c>
      <c r="BL80" s="116"/>
      <c r="BM80" s="132" t="str">
        <f t="shared" si="177"/>
        <v/>
      </c>
      <c r="BN80" s="138"/>
      <c r="BO80" s="63"/>
      <c r="BP80" s="1"/>
      <c r="BQ80" s="1"/>
      <c r="BR80" s="56"/>
      <c r="BS80" s="63"/>
      <c r="BT80" s="1"/>
      <c r="BU80" s="1"/>
      <c r="BV80" s="56"/>
      <c r="BW80" s="143" t="s">
        <v>491</v>
      </c>
      <c r="BX80" s="56"/>
      <c r="BY80" s="214" t="s">
        <v>491</v>
      </c>
      <c r="BZ80" s="56"/>
      <c r="CA80" s="63"/>
      <c r="CB80" s="1"/>
      <c r="CC80" s="1"/>
      <c r="CD80" s="56"/>
      <c r="CE80" s="63"/>
      <c r="CF80" s="1"/>
      <c r="CG80" s="1"/>
      <c r="CH80" s="200"/>
      <c r="CI80" s="63"/>
      <c r="CJ80" s="56"/>
      <c r="CK80" s="63"/>
      <c r="CL80" s="56"/>
      <c r="CM80" s="63"/>
      <c r="CN80" s="1"/>
      <c r="CO80" s="1"/>
      <c r="CP80" s="56"/>
      <c r="CQ80" s="63"/>
      <c r="CR80" s="1"/>
      <c r="CS80" s="1"/>
      <c r="CT80" s="56"/>
      <c r="CU80" s="63"/>
      <c r="CV80" s="1"/>
      <c r="CW80" s="1"/>
      <c r="CX80" s="200"/>
      <c r="CY80" s="143" t="s">
        <v>467</v>
      </c>
      <c r="CZ80" s="1"/>
      <c r="DA80" s="212" t="s">
        <v>467</v>
      </c>
      <c r="DB80" s="56"/>
      <c r="DC80" s="63"/>
      <c r="DD80" s="56"/>
      <c r="DE80" s="63"/>
      <c r="DF80" s="56"/>
      <c r="DH80" s="56"/>
      <c r="DJ80" s="56"/>
      <c r="DK80" s="63"/>
      <c r="DL80" s="56"/>
      <c r="DM80" s="63"/>
      <c r="DN80" s="56"/>
      <c r="DO80" s="143" t="s">
        <v>458</v>
      </c>
      <c r="DP80" s="56"/>
      <c r="DQ80" s="214" t="s">
        <v>458</v>
      </c>
    </row>
    <row r="81" spans="1:121" x14ac:dyDescent="0.25">
      <c r="A81" s="191"/>
      <c r="H81"/>
      <c r="I81" s="21">
        <v>19</v>
      </c>
      <c r="J81" s="116"/>
      <c r="K81" s="117" t="str">
        <f t="shared" si="152"/>
        <v/>
      </c>
      <c r="L81" s="118"/>
      <c r="M81" s="118" t="str">
        <f t="shared" si="153"/>
        <v/>
      </c>
      <c r="N81" s="116"/>
      <c r="O81" s="117" t="str">
        <f t="shared" si="154"/>
        <v/>
      </c>
      <c r="P81" s="116"/>
      <c r="Q81" s="117" t="str">
        <f t="shared" si="155"/>
        <v/>
      </c>
      <c r="R81" s="116"/>
      <c r="S81" s="117" t="str">
        <f t="shared" si="155"/>
        <v/>
      </c>
      <c r="T81" s="118"/>
      <c r="U81" s="118" t="str">
        <f t="shared" ref="U81" si="220">IF(ISBLANK(U50),"",U50)</f>
        <v/>
      </c>
      <c r="V81" s="116"/>
      <c r="W81" s="117" t="str">
        <f t="shared" ref="W81" si="221">IF(ISBLANK(W50),"",W50)</f>
        <v/>
      </c>
      <c r="X81" s="118"/>
      <c r="Y81" s="118" t="str">
        <f t="shared" ref="Y81" si="222">IF(ISBLANK(Y50),"",Y50)</f>
        <v/>
      </c>
      <c r="Z81" s="116"/>
      <c r="AA81" s="117" t="str">
        <f t="shared" ref="AA81" si="223">IF(ISBLANK(AA50),"",AA50)</f>
        <v/>
      </c>
      <c r="AB81" s="118"/>
      <c r="AC81" s="118" t="str">
        <f t="shared" ref="AC81:AE81" si="224">IF(ISBLANK(AC50),"",AC50)</f>
        <v/>
      </c>
      <c r="AD81" s="116"/>
      <c r="AE81" s="117" t="str">
        <f t="shared" si="224"/>
        <v/>
      </c>
      <c r="AF81" s="118"/>
      <c r="AG81" s="118" t="str">
        <f t="shared" ref="AG81" si="225">IF(ISBLANK(AG50),"",AG50)</f>
        <v/>
      </c>
      <c r="AH81" s="116"/>
      <c r="AI81" s="117" t="str">
        <f t="shared" ref="AI81" si="226">IF(ISBLANK(AI50),"",AI50)</f>
        <v/>
      </c>
      <c r="AJ81" s="118"/>
      <c r="AK81" s="118" t="str">
        <f t="shared" ref="AK81" si="227">IF(ISBLANK(AK50),"",AK50)</f>
        <v/>
      </c>
      <c r="AL81" s="116"/>
      <c r="AM81" s="117" t="str">
        <f t="shared" ref="AM81" si="228">IF(ISBLANK(AM50),"",AM50)</f>
        <v/>
      </c>
      <c r="AN81" s="118"/>
      <c r="AO81" s="117" t="str">
        <f t="shared" ref="AO81" si="229">IF(ISBLANK(AO50),"",AO50)</f>
        <v/>
      </c>
      <c r="AP81" s="116"/>
      <c r="AQ81" s="117" t="str">
        <f t="shared" ref="AQ81" si="230">IF(ISBLANK(AQ50),"",AQ50)</f>
        <v>JOUR3013</v>
      </c>
      <c r="AR81" s="118"/>
      <c r="AS81" s="118" t="str">
        <f t="shared" ref="AS81" si="231">IF(ISBLANK(AS50),"",AS50)</f>
        <v>JOUR3013</v>
      </c>
      <c r="AT81" s="116"/>
      <c r="AU81" s="117" t="str">
        <f t="shared" ref="AU81" si="232">IF(ISBLANK(AU50),"",AU50)</f>
        <v/>
      </c>
      <c r="AV81" s="118"/>
      <c r="AW81" s="118" t="str">
        <f t="shared" ref="AW81" si="233">IF(ISBLANK(AW50),"",AW50)</f>
        <v/>
      </c>
      <c r="AX81" s="116"/>
      <c r="AY81" s="117" t="str">
        <f t="shared" si="170"/>
        <v>CWRI2001</v>
      </c>
      <c r="AZ81" s="116"/>
      <c r="BA81" s="117" t="str">
        <f t="shared" si="171"/>
        <v>CWRI2001</v>
      </c>
      <c r="BB81" s="116"/>
      <c r="BC81" s="117" t="str">
        <f t="shared" si="172"/>
        <v/>
      </c>
      <c r="BD81" s="116"/>
      <c r="BE81" s="117" t="str">
        <f t="shared" si="173"/>
        <v/>
      </c>
      <c r="BF81" s="116"/>
      <c r="BG81" s="117" t="str">
        <f t="shared" si="174"/>
        <v/>
      </c>
      <c r="BH81" s="118"/>
      <c r="BI81" s="118" t="str">
        <f t="shared" si="175"/>
        <v/>
      </c>
      <c r="BJ81" s="116"/>
      <c r="BK81" s="117" t="str">
        <f t="shared" si="176"/>
        <v/>
      </c>
      <c r="BL81" s="116"/>
      <c r="BM81" s="132" t="str">
        <f t="shared" si="177"/>
        <v/>
      </c>
      <c r="BN81" s="138"/>
      <c r="BO81" s="63"/>
      <c r="BP81" s="1"/>
      <c r="BQ81" s="1"/>
      <c r="BR81" s="56"/>
      <c r="BS81" s="63"/>
      <c r="BT81" s="1"/>
      <c r="BU81" s="1"/>
      <c r="BV81" s="56"/>
      <c r="BW81" s="143" t="s">
        <v>461</v>
      </c>
      <c r="BX81" s="56"/>
      <c r="BY81" s="214" t="s">
        <v>461</v>
      </c>
      <c r="BZ81" s="56"/>
      <c r="CA81" s="63"/>
      <c r="CB81" s="1"/>
      <c r="CC81" s="1"/>
      <c r="CD81" s="56"/>
      <c r="CE81" s="63"/>
      <c r="CF81" s="1"/>
      <c r="CG81" s="1"/>
      <c r="CH81" s="200"/>
      <c r="CI81" s="63"/>
      <c r="CJ81" s="56"/>
      <c r="CK81" s="63"/>
      <c r="CL81" s="56"/>
      <c r="CM81" s="63"/>
      <c r="CN81" s="1"/>
      <c r="CO81" s="1"/>
      <c r="CP81" s="56"/>
      <c r="CQ81" s="63"/>
      <c r="CR81" s="1"/>
      <c r="CS81" s="63"/>
      <c r="CT81" s="56"/>
      <c r="CU81" s="63"/>
      <c r="CV81" s="1"/>
      <c r="CW81" s="1"/>
      <c r="CX81" s="200"/>
      <c r="CY81" s="143" t="s">
        <v>492</v>
      </c>
      <c r="CZ81" s="1"/>
      <c r="DA81" s="212" t="s">
        <v>492</v>
      </c>
      <c r="DB81" s="56"/>
      <c r="DC81" s="63"/>
      <c r="DD81" s="56"/>
      <c r="DE81" s="63"/>
      <c r="DF81" s="56"/>
      <c r="DH81" s="56"/>
      <c r="DJ81" s="56"/>
      <c r="DK81" s="63"/>
      <c r="DL81" s="56"/>
      <c r="DM81" s="63"/>
      <c r="DN81" s="56"/>
      <c r="DO81" s="143" t="s">
        <v>493</v>
      </c>
      <c r="DP81" s="56"/>
      <c r="DQ81" s="214" t="s">
        <v>493</v>
      </c>
    </row>
    <row r="82" spans="1:121" x14ac:dyDescent="0.25">
      <c r="H82"/>
      <c r="I82" s="21">
        <v>20</v>
      </c>
      <c r="J82" s="116"/>
      <c r="K82" s="117" t="str">
        <f t="shared" si="152"/>
        <v/>
      </c>
      <c r="L82" s="118"/>
      <c r="M82" s="118" t="str">
        <f t="shared" si="153"/>
        <v/>
      </c>
      <c r="N82" s="116"/>
      <c r="O82" s="117" t="str">
        <f t="shared" si="154"/>
        <v/>
      </c>
      <c r="P82" s="116"/>
      <c r="Q82" s="117" t="str">
        <f t="shared" si="155"/>
        <v/>
      </c>
      <c r="R82" s="116"/>
      <c r="S82" s="117" t="str">
        <f t="shared" si="155"/>
        <v/>
      </c>
      <c r="T82" s="118"/>
      <c r="U82" s="118" t="str">
        <f t="shared" ref="U82" si="234">IF(ISBLANK(U51),"",U51)</f>
        <v/>
      </c>
      <c r="V82" s="116"/>
      <c r="W82" s="117" t="str">
        <f t="shared" ref="W82" si="235">IF(ISBLANK(W51),"",W51)</f>
        <v/>
      </c>
      <c r="X82" s="118"/>
      <c r="Y82" s="118" t="str">
        <f t="shared" ref="Y82" si="236">IF(ISBLANK(Y51),"",Y51)</f>
        <v/>
      </c>
      <c r="Z82" s="116"/>
      <c r="AA82" s="117" t="str">
        <f t="shared" ref="AA82" si="237">IF(ISBLANK(AA51),"",AA51)</f>
        <v/>
      </c>
      <c r="AB82" s="118"/>
      <c r="AC82" s="118" t="str">
        <f t="shared" ref="AC82:AE82" si="238">IF(ISBLANK(AC51),"",AC51)</f>
        <v/>
      </c>
      <c r="AD82" s="116"/>
      <c r="AE82" s="117" t="str">
        <f t="shared" si="238"/>
        <v/>
      </c>
      <c r="AF82" s="118"/>
      <c r="AG82" s="118" t="str">
        <f t="shared" ref="AG82" si="239">IF(ISBLANK(AG51),"",AG51)</f>
        <v/>
      </c>
      <c r="AH82" s="116"/>
      <c r="AI82" s="117" t="str">
        <f t="shared" ref="AI82" si="240">IF(ISBLANK(AI51),"",AI51)</f>
        <v/>
      </c>
      <c r="AJ82" s="118"/>
      <c r="AK82" s="118" t="str">
        <f t="shared" ref="AK82" si="241">IF(ISBLANK(AK51),"",AK51)</f>
        <v/>
      </c>
      <c r="AL82" s="116"/>
      <c r="AM82" s="117" t="str">
        <f t="shared" ref="AM82" si="242">IF(ISBLANK(AM51),"",AM51)</f>
        <v/>
      </c>
      <c r="AN82" s="118"/>
      <c r="AO82" s="118" t="str">
        <f t="shared" ref="AO82" si="243">IF(ISBLANK(AO51),"",AO51)</f>
        <v/>
      </c>
      <c r="AP82" s="116"/>
      <c r="AQ82" s="117" t="str">
        <f t="shared" ref="AQ82" si="244">IF(ISBLANK(AQ51),"",AQ51)</f>
        <v/>
      </c>
      <c r="AR82" s="118"/>
      <c r="AS82" s="118" t="str">
        <f t="shared" ref="AS82" si="245">IF(ISBLANK(AS51),"",AS51)</f>
        <v/>
      </c>
      <c r="AT82" s="116"/>
      <c r="AU82" s="117" t="str">
        <f t="shared" ref="AU82" si="246">IF(ISBLANK(AU51),"",AU51)</f>
        <v/>
      </c>
      <c r="AV82" s="118"/>
      <c r="AW82" s="118" t="str">
        <f t="shared" ref="AW82" si="247">IF(ISBLANK(AW51),"",AW51)</f>
        <v/>
      </c>
      <c r="AX82" s="116"/>
      <c r="AY82" s="117" t="str">
        <f t="shared" si="170"/>
        <v>CWRI2002</v>
      </c>
      <c r="AZ82" s="116"/>
      <c r="BA82" s="117" t="str">
        <f t="shared" si="171"/>
        <v>CWRI2002</v>
      </c>
      <c r="BB82" s="116"/>
      <c r="BC82" s="117" t="str">
        <f t="shared" si="172"/>
        <v/>
      </c>
      <c r="BD82" s="116"/>
      <c r="BE82" s="117" t="str">
        <f t="shared" si="173"/>
        <v/>
      </c>
      <c r="BF82" s="116"/>
      <c r="BG82" s="117" t="str">
        <f t="shared" si="174"/>
        <v/>
      </c>
      <c r="BH82" s="118"/>
      <c r="BI82" s="118" t="str">
        <f t="shared" si="175"/>
        <v/>
      </c>
      <c r="BJ82" s="116"/>
      <c r="BK82" s="117" t="str">
        <f t="shared" si="176"/>
        <v/>
      </c>
      <c r="BL82" s="116"/>
      <c r="BM82" s="132" t="str">
        <f t="shared" si="177"/>
        <v/>
      </c>
      <c r="BN82" s="138"/>
      <c r="BO82" s="63"/>
      <c r="BP82" s="1"/>
      <c r="BQ82" s="1"/>
      <c r="BR82" s="56"/>
      <c r="BS82" s="63"/>
      <c r="BT82" s="1"/>
      <c r="BU82" s="1"/>
      <c r="BV82" s="56"/>
      <c r="BW82" s="143" t="s">
        <v>494</v>
      </c>
      <c r="BX82" s="56"/>
      <c r="BY82" s="214" t="s">
        <v>494</v>
      </c>
      <c r="BZ82" s="56"/>
      <c r="CA82" s="63"/>
      <c r="CB82" s="1"/>
      <c r="CC82" s="1"/>
      <c r="CD82" s="56"/>
      <c r="CE82" s="63"/>
      <c r="CF82" s="1"/>
      <c r="CG82" s="1"/>
      <c r="CH82" s="200"/>
      <c r="CI82" s="63"/>
      <c r="CJ82" s="56"/>
      <c r="CK82" s="63"/>
      <c r="CL82" s="56"/>
      <c r="CM82" s="63"/>
      <c r="CN82" s="1"/>
      <c r="CO82" s="1"/>
      <c r="CP82" s="56"/>
      <c r="CQ82" s="63"/>
      <c r="CR82" s="1"/>
      <c r="CS82" s="63"/>
      <c r="CT82" s="56"/>
      <c r="CU82" s="63"/>
      <c r="CV82" s="1"/>
      <c r="CW82" s="1"/>
      <c r="CX82" s="56"/>
      <c r="CY82" s="143" t="s">
        <v>495</v>
      </c>
      <c r="CZ82" s="1"/>
      <c r="DA82" s="212" t="s">
        <v>495</v>
      </c>
      <c r="DB82" s="56"/>
      <c r="DC82" s="63"/>
      <c r="DD82" s="56"/>
      <c r="DE82" s="63"/>
      <c r="DF82" s="56"/>
      <c r="DH82" s="56"/>
      <c r="DJ82" s="56"/>
      <c r="DK82" s="63"/>
      <c r="DL82" s="56"/>
      <c r="DM82" s="63"/>
      <c r="DN82" s="56"/>
      <c r="DO82" s="143" t="s">
        <v>492</v>
      </c>
      <c r="DP82" s="56"/>
      <c r="DQ82" s="214" t="s">
        <v>492</v>
      </c>
    </row>
    <row r="83" spans="1:121" x14ac:dyDescent="0.25">
      <c r="H83"/>
      <c r="I83" s="21">
        <v>21</v>
      </c>
      <c r="J83" s="116"/>
      <c r="K83" s="117" t="str">
        <f t="shared" si="152"/>
        <v/>
      </c>
      <c r="L83" s="118"/>
      <c r="M83" s="118" t="str">
        <f t="shared" si="153"/>
        <v/>
      </c>
      <c r="N83" s="116"/>
      <c r="O83" s="117" t="str">
        <f t="shared" si="154"/>
        <v/>
      </c>
      <c r="P83" s="116"/>
      <c r="Q83" s="117" t="str">
        <f t="shared" si="155"/>
        <v/>
      </c>
      <c r="R83" s="116"/>
      <c r="S83" s="117" t="str">
        <f t="shared" si="155"/>
        <v/>
      </c>
      <c r="T83" s="118"/>
      <c r="U83" s="118" t="str">
        <f t="shared" ref="U83" si="248">IF(ISBLANK(U52),"",U52)</f>
        <v/>
      </c>
      <c r="V83" s="116"/>
      <c r="W83" s="117" t="str">
        <f t="shared" ref="W83" si="249">IF(ISBLANK(W52),"",W52)</f>
        <v/>
      </c>
      <c r="X83" s="118"/>
      <c r="Y83" s="118" t="str">
        <f t="shared" ref="Y83" si="250">IF(ISBLANK(Y52),"",Y52)</f>
        <v/>
      </c>
      <c r="Z83" s="116"/>
      <c r="AA83" s="117" t="str">
        <f t="shared" ref="AA83" si="251">IF(ISBLANK(AA52),"",AA52)</f>
        <v/>
      </c>
      <c r="AB83" s="118"/>
      <c r="AC83" s="118" t="str">
        <f t="shared" ref="AC83:AE83" si="252">IF(ISBLANK(AC52),"",AC52)</f>
        <v/>
      </c>
      <c r="AD83" s="116"/>
      <c r="AE83" s="117" t="str">
        <f t="shared" si="252"/>
        <v/>
      </c>
      <c r="AF83" s="118"/>
      <c r="AG83" s="118" t="str">
        <f t="shared" ref="AG83" si="253">IF(ISBLANK(AG52),"",AG52)</f>
        <v/>
      </c>
      <c r="AH83" s="116"/>
      <c r="AI83" s="117" t="str">
        <f t="shared" ref="AI83" si="254">IF(ISBLANK(AI52),"",AI52)</f>
        <v/>
      </c>
      <c r="AJ83" s="118"/>
      <c r="AK83" s="118" t="str">
        <f t="shared" ref="AK83" si="255">IF(ISBLANK(AK52),"",AK52)</f>
        <v/>
      </c>
      <c r="AL83" s="116"/>
      <c r="AM83" s="117" t="str">
        <f t="shared" ref="AM83" si="256">IF(ISBLANK(AM52),"",AM52)</f>
        <v/>
      </c>
      <c r="AN83" s="118"/>
      <c r="AO83" s="118" t="str">
        <f t="shared" ref="AO83" si="257">IF(ISBLANK(AO52),"",AO52)</f>
        <v/>
      </c>
      <c r="AP83" s="116"/>
      <c r="AQ83" s="117" t="str">
        <f t="shared" ref="AQ83" si="258">IF(ISBLANK(AQ52),"",AQ52)</f>
        <v/>
      </c>
      <c r="AR83" s="118"/>
      <c r="AS83" s="118" t="str">
        <f t="shared" ref="AS83" si="259">IF(ISBLANK(AS52),"",AS52)</f>
        <v/>
      </c>
      <c r="AT83" s="116"/>
      <c r="AU83" s="117" t="str">
        <f t="shared" ref="AU83" si="260">IF(ISBLANK(AU52),"",AU52)</f>
        <v/>
      </c>
      <c r="AV83" s="118"/>
      <c r="AW83" s="118" t="str">
        <f t="shared" ref="AW83" si="261">IF(ISBLANK(AW52),"",AW52)</f>
        <v/>
      </c>
      <c r="AX83" s="116"/>
      <c r="AY83" s="117" t="str">
        <f t="shared" si="170"/>
        <v>CWRI2016</v>
      </c>
      <c r="AZ83" s="116"/>
      <c r="BA83" s="117" t="str">
        <f t="shared" si="171"/>
        <v>CWRI2016</v>
      </c>
      <c r="BB83" s="116"/>
      <c r="BC83" s="117" t="str">
        <f t="shared" si="172"/>
        <v/>
      </c>
      <c r="BD83" s="116"/>
      <c r="BE83" s="117" t="str">
        <f t="shared" si="173"/>
        <v/>
      </c>
      <c r="BF83" s="116"/>
      <c r="BG83" s="117" t="str">
        <f t="shared" si="174"/>
        <v/>
      </c>
      <c r="BH83" s="118"/>
      <c r="BI83" s="118" t="str">
        <f t="shared" si="175"/>
        <v/>
      </c>
      <c r="BJ83" s="116"/>
      <c r="BK83" s="117" t="str">
        <f t="shared" si="176"/>
        <v/>
      </c>
      <c r="BL83" s="116"/>
      <c r="BM83" s="132" t="str">
        <f t="shared" si="177"/>
        <v/>
      </c>
      <c r="BN83" s="138"/>
      <c r="BO83" s="63"/>
      <c r="BP83" s="1"/>
      <c r="BQ83" s="1"/>
      <c r="BR83" s="56"/>
      <c r="BS83" s="63"/>
      <c r="BT83" s="1"/>
      <c r="BU83" s="1"/>
      <c r="BV83" s="56"/>
      <c r="BW83" s="143" t="s">
        <v>496</v>
      </c>
      <c r="BX83" s="56"/>
      <c r="BY83" s="214" t="s">
        <v>496</v>
      </c>
      <c r="BZ83" s="56"/>
      <c r="CA83" s="63"/>
      <c r="CB83" s="1"/>
      <c r="CC83" s="1"/>
      <c r="CD83" s="56"/>
      <c r="CE83" s="63"/>
      <c r="CF83" s="1"/>
      <c r="CG83" s="1"/>
      <c r="CH83" s="56"/>
      <c r="CI83" s="63"/>
      <c r="CJ83" s="56"/>
      <c r="CK83" s="63"/>
      <c r="CL83" s="56"/>
      <c r="CM83" s="63"/>
      <c r="CN83" s="1"/>
      <c r="CO83" s="1"/>
      <c r="CP83" s="56"/>
      <c r="CQ83" s="63"/>
      <c r="CR83" s="1"/>
      <c r="CS83" s="63"/>
      <c r="CT83" s="56"/>
      <c r="CU83" s="63"/>
      <c r="CV83" s="1"/>
      <c r="CW83" s="1"/>
      <c r="CX83" s="56"/>
      <c r="CY83" s="63"/>
      <c r="CZ83" s="1"/>
      <c r="DA83" s="1"/>
      <c r="DB83" s="56"/>
      <c r="DC83" s="63"/>
      <c r="DD83" s="56"/>
      <c r="DE83" s="63"/>
      <c r="DF83" s="56"/>
      <c r="DH83" s="56"/>
      <c r="DJ83" s="56"/>
      <c r="DK83" s="63"/>
      <c r="DL83" s="56"/>
      <c r="DM83" s="63"/>
      <c r="DN83" s="56"/>
      <c r="DO83" s="63"/>
      <c r="DP83" s="56"/>
      <c r="DQ83" s="63"/>
    </row>
    <row r="84" spans="1:121" x14ac:dyDescent="0.25">
      <c r="H84"/>
      <c r="I84" s="21">
        <v>22</v>
      </c>
      <c r="J84" s="116"/>
      <c r="K84" s="117" t="str">
        <f t="shared" si="152"/>
        <v/>
      </c>
      <c r="L84" s="118"/>
      <c r="M84" s="118" t="str">
        <f t="shared" si="153"/>
        <v/>
      </c>
      <c r="N84" s="116"/>
      <c r="O84" s="117" t="str">
        <f t="shared" si="154"/>
        <v/>
      </c>
      <c r="P84" s="116"/>
      <c r="Q84" s="117" t="str">
        <f t="shared" si="155"/>
        <v/>
      </c>
      <c r="R84" s="116"/>
      <c r="S84" s="117" t="str">
        <f t="shared" si="155"/>
        <v/>
      </c>
      <c r="T84" s="118"/>
      <c r="U84" s="118" t="str">
        <f t="shared" ref="U84" si="262">IF(ISBLANK(U53),"",U53)</f>
        <v/>
      </c>
      <c r="V84" s="116"/>
      <c r="W84" s="117" t="str">
        <f t="shared" ref="W84" si="263">IF(ISBLANK(W53),"",W53)</f>
        <v/>
      </c>
      <c r="X84" s="118"/>
      <c r="Y84" s="118" t="str">
        <f t="shared" ref="Y84" si="264">IF(ISBLANK(Y53),"",Y53)</f>
        <v/>
      </c>
      <c r="Z84" s="116"/>
      <c r="AA84" s="117" t="str">
        <f t="shared" ref="AA84" si="265">IF(ISBLANK(AA53),"",AA53)</f>
        <v/>
      </c>
      <c r="AB84" s="118"/>
      <c r="AC84" s="118" t="str">
        <f t="shared" ref="AC84:AE84" si="266">IF(ISBLANK(AC53),"",AC53)</f>
        <v/>
      </c>
      <c r="AD84" s="116"/>
      <c r="AE84" s="117" t="str">
        <f t="shared" si="266"/>
        <v/>
      </c>
      <c r="AF84" s="118"/>
      <c r="AG84" s="118" t="str">
        <f t="shared" ref="AG84" si="267">IF(ISBLANK(AG53),"",AG53)</f>
        <v/>
      </c>
      <c r="AH84" s="116"/>
      <c r="AI84" s="117" t="str">
        <f t="shared" ref="AI84" si="268">IF(ISBLANK(AI53),"",AI53)</f>
        <v/>
      </c>
      <c r="AJ84" s="118"/>
      <c r="AK84" s="118" t="str">
        <f t="shared" ref="AK84" si="269">IF(ISBLANK(AK53),"",AK53)</f>
        <v/>
      </c>
      <c r="AL84" s="116"/>
      <c r="AM84" s="117" t="str">
        <f t="shared" ref="AM84" si="270">IF(ISBLANK(AM53),"",AM53)</f>
        <v/>
      </c>
      <c r="AN84" s="118"/>
      <c r="AO84" s="118" t="str">
        <f t="shared" ref="AO84" si="271">IF(ISBLANK(AO53),"",AO53)</f>
        <v/>
      </c>
      <c r="AP84" s="116"/>
      <c r="AQ84" s="117" t="str">
        <f t="shared" ref="AQ84" si="272">IF(ISBLANK(AQ53),"",AQ53)</f>
        <v/>
      </c>
      <c r="AR84" s="118"/>
      <c r="AS84" s="118" t="str">
        <f t="shared" ref="AS84" si="273">IF(ISBLANK(AS53),"",AS53)</f>
        <v/>
      </c>
      <c r="AT84" s="116"/>
      <c r="AU84" s="117" t="str">
        <f t="shared" ref="AU84" si="274">IF(ISBLANK(AU53),"",AU53)</f>
        <v/>
      </c>
      <c r="AV84" s="118"/>
      <c r="AW84" s="118" t="str">
        <f t="shared" ref="AW84" si="275">IF(ISBLANK(AW53),"",AW53)</f>
        <v/>
      </c>
      <c r="AX84" s="116"/>
      <c r="AY84" s="117" t="str">
        <f t="shared" si="170"/>
        <v>PWRP2007</v>
      </c>
      <c r="AZ84" s="116"/>
      <c r="BA84" s="117" t="str">
        <f t="shared" si="171"/>
        <v>PWRP2007</v>
      </c>
      <c r="BB84" s="116"/>
      <c r="BC84" s="117" t="str">
        <f t="shared" si="172"/>
        <v/>
      </c>
      <c r="BD84" s="116"/>
      <c r="BE84" s="117" t="str">
        <f t="shared" si="173"/>
        <v/>
      </c>
      <c r="BF84" s="116"/>
      <c r="BG84" s="117" t="str">
        <f t="shared" si="174"/>
        <v/>
      </c>
      <c r="BH84" s="118"/>
      <c r="BI84" s="118" t="str">
        <f t="shared" si="175"/>
        <v/>
      </c>
      <c r="BJ84" s="116"/>
      <c r="BK84" s="117" t="str">
        <f t="shared" si="176"/>
        <v/>
      </c>
      <c r="BL84" s="116"/>
      <c r="BM84" s="132" t="str">
        <f t="shared" si="177"/>
        <v/>
      </c>
      <c r="BN84" s="138"/>
      <c r="BO84" s="63"/>
      <c r="BP84" s="1"/>
      <c r="BQ84" s="1"/>
      <c r="BR84" s="56"/>
      <c r="BS84" s="63"/>
      <c r="BT84" s="1"/>
      <c r="BU84" s="1"/>
      <c r="BV84" s="56"/>
      <c r="BW84" s="63"/>
      <c r="BX84" s="56"/>
      <c r="BY84" s="63"/>
      <c r="BZ84" s="56"/>
      <c r="CA84" s="63"/>
      <c r="CB84" s="1"/>
      <c r="CC84" s="1"/>
      <c r="CD84" s="56"/>
      <c r="CE84" s="63"/>
      <c r="CF84" s="1"/>
      <c r="CG84" s="1"/>
      <c r="CH84" s="56"/>
      <c r="CI84" s="63"/>
      <c r="CJ84" s="56"/>
      <c r="CK84" s="63"/>
      <c r="CL84" s="56"/>
      <c r="CM84" s="63"/>
      <c r="CN84" s="1"/>
      <c r="CO84" s="1"/>
      <c r="CP84" s="56"/>
      <c r="CQ84" s="63"/>
      <c r="CR84" s="1"/>
      <c r="CS84" s="63"/>
      <c r="CT84" s="56"/>
      <c r="CU84" s="63"/>
      <c r="CV84" s="1"/>
      <c r="CW84" s="1"/>
      <c r="CX84" s="56"/>
      <c r="CY84" s="63"/>
      <c r="CZ84" s="1"/>
      <c r="DA84" s="1"/>
      <c r="DB84" s="56"/>
      <c r="DC84" s="63"/>
      <c r="DD84" s="56"/>
      <c r="DE84" s="63"/>
      <c r="DF84" s="56"/>
      <c r="DH84" s="56"/>
      <c r="DJ84" s="56"/>
      <c r="DK84" s="63"/>
      <c r="DL84" s="56"/>
      <c r="DM84" s="63"/>
      <c r="DN84" s="56"/>
      <c r="DO84" s="63"/>
      <c r="DP84" s="56"/>
      <c r="DQ84" s="63"/>
    </row>
    <row r="85" spans="1:121" x14ac:dyDescent="0.25">
      <c r="H85"/>
      <c r="I85" s="21">
        <v>23</v>
      </c>
      <c r="J85" s="116"/>
      <c r="K85" s="117" t="str">
        <f t="shared" si="152"/>
        <v/>
      </c>
      <c r="L85" s="118"/>
      <c r="M85" s="118" t="str">
        <f t="shared" si="153"/>
        <v/>
      </c>
      <c r="N85" s="116"/>
      <c r="O85" s="117" t="str">
        <f t="shared" si="154"/>
        <v/>
      </c>
      <c r="P85" s="116"/>
      <c r="Q85" s="117" t="str">
        <f t="shared" si="155"/>
        <v/>
      </c>
      <c r="R85" s="116"/>
      <c r="S85" s="117" t="str">
        <f t="shared" si="155"/>
        <v/>
      </c>
      <c r="T85" s="118"/>
      <c r="U85" s="118" t="str">
        <f t="shared" ref="U85" si="276">IF(ISBLANK(U54),"",U54)</f>
        <v/>
      </c>
      <c r="V85" s="116"/>
      <c r="W85" s="117" t="str">
        <f t="shared" ref="W85" si="277">IF(ISBLANK(W54),"",W54)</f>
        <v/>
      </c>
      <c r="X85" s="118"/>
      <c r="Y85" s="118" t="str">
        <f t="shared" ref="Y85" si="278">IF(ISBLANK(Y54),"",Y54)</f>
        <v/>
      </c>
      <c r="Z85" s="116"/>
      <c r="AA85" s="117" t="str">
        <f t="shared" ref="AA85" si="279">IF(ISBLANK(AA54),"",AA54)</f>
        <v/>
      </c>
      <c r="AB85" s="118"/>
      <c r="AC85" s="118" t="str">
        <f t="shared" ref="AC85:AE85" si="280">IF(ISBLANK(AC54),"",AC54)</f>
        <v/>
      </c>
      <c r="AD85" s="116"/>
      <c r="AE85" s="117" t="str">
        <f t="shared" si="280"/>
        <v/>
      </c>
      <c r="AF85" s="118"/>
      <c r="AG85" s="118" t="str">
        <f t="shared" ref="AG85" si="281">IF(ISBLANK(AG54),"",AG54)</f>
        <v/>
      </c>
      <c r="AH85" s="116"/>
      <c r="AI85" s="117" t="str">
        <f t="shared" ref="AI85" si="282">IF(ISBLANK(AI54),"",AI54)</f>
        <v/>
      </c>
      <c r="AJ85" s="118"/>
      <c r="AK85" s="118" t="str">
        <f t="shared" ref="AK85" si="283">IF(ISBLANK(AK54),"",AK54)</f>
        <v/>
      </c>
      <c r="AL85" s="116"/>
      <c r="AM85" s="117" t="str">
        <f t="shared" ref="AM85" si="284">IF(ISBLANK(AM54),"",AM54)</f>
        <v/>
      </c>
      <c r="AN85" s="118"/>
      <c r="AO85" s="118" t="str">
        <f t="shared" ref="AO85" si="285">IF(ISBLANK(AO54),"",AO54)</f>
        <v/>
      </c>
      <c r="AP85" s="116"/>
      <c r="AQ85" s="117" t="str">
        <f t="shared" ref="AQ85" si="286">IF(ISBLANK(AQ54),"",AQ54)</f>
        <v/>
      </c>
      <c r="AR85" s="118"/>
      <c r="AS85" s="118" t="str">
        <f t="shared" ref="AS85" si="287">IF(ISBLANK(AS54),"",AS54)</f>
        <v/>
      </c>
      <c r="AT85" s="116"/>
      <c r="AU85" s="117" t="str">
        <f t="shared" ref="AU85" si="288">IF(ISBLANK(AU54),"",AU54)</f>
        <v/>
      </c>
      <c r="AV85" s="118"/>
      <c r="AW85" s="118" t="str">
        <f t="shared" ref="AW85" si="289">IF(ISBLANK(AW54),"",AW54)</f>
        <v/>
      </c>
      <c r="AX85" s="116"/>
      <c r="AY85" s="117" t="str">
        <f t="shared" si="170"/>
        <v>PWRP2010</v>
      </c>
      <c r="AZ85" s="116"/>
      <c r="BA85" s="117" t="str">
        <f t="shared" si="171"/>
        <v>PWRP2010</v>
      </c>
      <c r="BB85" s="116"/>
      <c r="BC85" s="117" t="str">
        <f t="shared" si="172"/>
        <v/>
      </c>
      <c r="BD85" s="116"/>
      <c r="BE85" s="117" t="str">
        <f t="shared" si="173"/>
        <v/>
      </c>
      <c r="BF85" s="116"/>
      <c r="BG85" s="117" t="str">
        <f t="shared" si="174"/>
        <v/>
      </c>
      <c r="BH85" s="118"/>
      <c r="BI85" s="118" t="str">
        <f t="shared" si="175"/>
        <v/>
      </c>
      <c r="BJ85" s="116"/>
      <c r="BK85" s="117" t="str">
        <f t="shared" si="176"/>
        <v/>
      </c>
      <c r="BL85" s="116"/>
      <c r="BM85" s="132" t="str">
        <f t="shared" si="177"/>
        <v/>
      </c>
      <c r="BN85" s="138"/>
      <c r="BO85" s="63"/>
      <c r="BP85" s="1"/>
      <c r="BQ85" s="1"/>
      <c r="BR85" s="56"/>
      <c r="BS85" s="63"/>
      <c r="BT85" s="1"/>
      <c r="BU85" s="1"/>
      <c r="BV85" s="56"/>
      <c r="BW85" s="63"/>
      <c r="BX85" s="56"/>
      <c r="BY85" s="63"/>
      <c r="BZ85" s="56"/>
      <c r="CA85" s="63"/>
      <c r="CB85" s="1"/>
      <c r="CC85" s="1"/>
      <c r="CD85" s="56"/>
      <c r="CE85" s="63"/>
      <c r="CF85" s="1"/>
      <c r="CG85" s="1"/>
      <c r="CH85" s="56"/>
      <c r="CI85" s="63"/>
      <c r="CJ85" s="56"/>
      <c r="CK85" s="63"/>
      <c r="CL85" s="56"/>
      <c r="CM85" s="63"/>
      <c r="CN85" s="1"/>
      <c r="CO85" s="1"/>
      <c r="CP85" s="56"/>
      <c r="CQ85" s="63"/>
      <c r="CR85" s="1"/>
      <c r="CS85" s="1"/>
      <c r="CT85" s="56"/>
      <c r="CU85" s="63"/>
      <c r="CV85" s="1"/>
      <c r="CW85" s="1"/>
      <c r="CX85" s="56"/>
      <c r="CY85" s="63"/>
      <c r="CZ85" s="1"/>
      <c r="DA85" s="1"/>
      <c r="DB85" s="56"/>
      <c r="DC85" s="63"/>
      <c r="DD85" s="56"/>
      <c r="DE85" s="63"/>
      <c r="DF85" s="56"/>
      <c r="DH85" s="56"/>
      <c r="DJ85" s="56"/>
      <c r="DK85" s="63"/>
      <c r="DL85" s="56"/>
      <c r="DM85" s="63"/>
      <c r="DN85" s="56"/>
      <c r="DO85" s="63"/>
      <c r="DP85" s="56"/>
      <c r="DQ85" s="63"/>
    </row>
    <row r="86" spans="1:121" x14ac:dyDescent="0.25">
      <c r="I86" s="21">
        <v>24</v>
      </c>
      <c r="J86" s="116"/>
      <c r="K86" s="117" t="str">
        <f t="shared" si="152"/>
        <v/>
      </c>
      <c r="L86" s="118"/>
      <c r="M86" s="118" t="str">
        <f t="shared" si="153"/>
        <v/>
      </c>
      <c r="N86" s="116"/>
      <c r="O86" s="117" t="str">
        <f t="shared" si="154"/>
        <v/>
      </c>
      <c r="P86" s="116"/>
      <c r="Q86" s="117" t="str">
        <f t="shared" si="155"/>
        <v/>
      </c>
      <c r="R86" s="116"/>
      <c r="S86" s="117" t="str">
        <f t="shared" si="155"/>
        <v/>
      </c>
      <c r="T86" s="118"/>
      <c r="U86" s="118" t="str">
        <f t="shared" ref="U86" si="290">IF(ISBLANK(U55),"",U55)</f>
        <v/>
      </c>
      <c r="V86" s="116"/>
      <c r="W86" s="117" t="str">
        <f t="shared" ref="W86" si="291">IF(ISBLANK(W55),"",W55)</f>
        <v/>
      </c>
      <c r="X86" s="118"/>
      <c r="Y86" s="118" t="str">
        <f t="shared" ref="Y86" si="292">IF(ISBLANK(Y55),"",Y55)</f>
        <v/>
      </c>
      <c r="Z86" s="116"/>
      <c r="AA86" s="117" t="str">
        <f t="shared" ref="AA86" si="293">IF(ISBLANK(AA55),"",AA55)</f>
        <v/>
      </c>
      <c r="AB86" s="118"/>
      <c r="AC86" s="118" t="str">
        <f t="shared" ref="AC86:AE86" si="294">IF(ISBLANK(AC55),"",AC55)</f>
        <v/>
      </c>
      <c r="AD86" s="116"/>
      <c r="AE86" s="117" t="str">
        <f t="shared" si="294"/>
        <v/>
      </c>
      <c r="AF86" s="118"/>
      <c r="AG86" s="118" t="str">
        <f t="shared" ref="AG86" si="295">IF(ISBLANK(AG55),"",AG55)</f>
        <v/>
      </c>
      <c r="AH86" s="116"/>
      <c r="AI86" s="117" t="str">
        <f t="shared" ref="AI86" si="296">IF(ISBLANK(AI55),"",AI55)</f>
        <v/>
      </c>
      <c r="AJ86" s="118"/>
      <c r="AK86" s="118" t="str">
        <f t="shared" ref="AK86" si="297">IF(ISBLANK(AK55),"",AK55)</f>
        <v/>
      </c>
      <c r="AL86" s="116"/>
      <c r="AM86" s="117" t="str">
        <f t="shared" ref="AM86" si="298">IF(ISBLANK(AM55),"",AM55)</f>
        <v/>
      </c>
      <c r="AN86" s="118"/>
      <c r="AO86" s="118" t="str">
        <f t="shared" ref="AO86" si="299">IF(ISBLANK(AO55),"",AO55)</f>
        <v/>
      </c>
      <c r="AP86" s="116"/>
      <c r="AQ86" s="117" t="str">
        <f t="shared" ref="AQ86" si="300">IF(ISBLANK(AQ55),"",AQ55)</f>
        <v/>
      </c>
      <c r="AR86" s="118"/>
      <c r="AS86" s="118" t="str">
        <f t="shared" ref="AS86" si="301">IF(ISBLANK(AS55),"",AS55)</f>
        <v/>
      </c>
      <c r="AT86" s="116"/>
      <c r="AU86" s="117" t="str">
        <f t="shared" ref="AU86" si="302">IF(ISBLANK(AU55),"",AU55)</f>
        <v/>
      </c>
      <c r="AV86" s="118"/>
      <c r="AW86" s="118" t="str">
        <f t="shared" ref="AW86" si="303">IF(ISBLANK(AW55),"",AW55)</f>
        <v/>
      </c>
      <c r="AX86" s="116"/>
      <c r="AY86" s="117" t="str">
        <f t="shared" si="170"/>
        <v>Opt-LITCUY3</v>
      </c>
      <c r="AZ86" s="116"/>
      <c r="BA86" s="117" t="str">
        <f t="shared" si="171"/>
        <v>Opt-LITCUY3</v>
      </c>
      <c r="BB86" s="116"/>
      <c r="BC86" s="117" t="str">
        <f t="shared" si="172"/>
        <v/>
      </c>
      <c r="BD86" s="116"/>
      <c r="BE86" s="117" t="str">
        <f t="shared" si="173"/>
        <v/>
      </c>
      <c r="BF86" s="116"/>
      <c r="BG86" s="117" t="str">
        <f t="shared" si="174"/>
        <v/>
      </c>
      <c r="BH86" s="118"/>
      <c r="BI86" s="118" t="str">
        <f t="shared" si="175"/>
        <v/>
      </c>
      <c r="BJ86" s="116"/>
      <c r="BK86" s="117" t="str">
        <f t="shared" si="176"/>
        <v/>
      </c>
      <c r="BL86" s="116"/>
      <c r="BM86" s="132" t="str">
        <f t="shared" si="177"/>
        <v/>
      </c>
      <c r="BN86" s="138"/>
      <c r="BO86" s="63"/>
      <c r="BP86" s="1"/>
      <c r="BQ86" s="1"/>
      <c r="BR86" s="56"/>
      <c r="BS86" s="63"/>
      <c r="BT86" s="1"/>
      <c r="BU86" s="1"/>
      <c r="BV86" s="56"/>
      <c r="BW86" s="63"/>
      <c r="BX86" s="56"/>
      <c r="BY86" s="63"/>
      <c r="BZ86" s="56"/>
      <c r="CA86" s="63"/>
      <c r="CB86" s="1"/>
      <c r="CC86" s="1"/>
      <c r="CD86" s="56"/>
      <c r="CE86" s="63"/>
      <c r="CF86" s="1"/>
      <c r="CG86" s="1"/>
      <c r="CH86" s="56"/>
      <c r="CI86" s="63"/>
      <c r="CJ86" s="56"/>
      <c r="CK86" s="63"/>
      <c r="CL86" s="56"/>
      <c r="CM86" s="63"/>
      <c r="CN86" s="1"/>
      <c r="CO86" s="1"/>
      <c r="CP86" s="56"/>
      <c r="CQ86" s="63"/>
      <c r="CR86" s="1"/>
      <c r="CS86" s="1"/>
      <c r="CT86" s="56"/>
      <c r="CU86" s="63"/>
      <c r="CV86" s="1"/>
      <c r="CW86" s="1"/>
      <c r="CX86" s="56"/>
      <c r="CY86" s="63"/>
      <c r="CZ86" s="1"/>
      <c r="DA86" s="1"/>
      <c r="DB86" s="56"/>
      <c r="DC86" s="63"/>
      <c r="DD86" s="56"/>
      <c r="DE86" s="63"/>
      <c r="DF86" s="56"/>
      <c r="DH86" s="56"/>
      <c r="DI86" s="63"/>
      <c r="DJ86" s="56"/>
      <c r="DK86" s="63"/>
      <c r="DL86" s="56"/>
      <c r="DM86" s="63"/>
      <c r="DN86" s="56"/>
      <c r="DO86" s="63"/>
      <c r="DP86" s="56"/>
      <c r="DQ86" s="63"/>
    </row>
    <row r="87" spans="1:121" x14ac:dyDescent="0.25">
      <c r="I87" s="21">
        <v>25</v>
      </c>
      <c r="J87" s="116"/>
      <c r="K87" s="117" t="str">
        <f t="shared" si="152"/>
        <v/>
      </c>
      <c r="L87" s="118"/>
      <c r="M87" s="118" t="str">
        <f t="shared" si="153"/>
        <v/>
      </c>
      <c r="N87" s="116"/>
      <c r="O87" s="117" t="str">
        <f t="shared" si="154"/>
        <v/>
      </c>
      <c r="P87" s="116"/>
      <c r="Q87" s="117" t="str">
        <f t="shared" si="155"/>
        <v/>
      </c>
      <c r="R87" s="116"/>
      <c r="S87" s="117" t="str">
        <f t="shared" si="155"/>
        <v/>
      </c>
      <c r="T87" s="118"/>
      <c r="U87" s="118" t="str">
        <f t="shared" ref="U87" si="304">IF(ISBLANK(U56),"",U56)</f>
        <v/>
      </c>
      <c r="V87" s="116"/>
      <c r="W87" s="117" t="str">
        <f t="shared" ref="W87" si="305">IF(ISBLANK(W56),"",W56)</f>
        <v/>
      </c>
      <c r="X87" s="118"/>
      <c r="Y87" s="118" t="str">
        <f t="shared" ref="Y87" si="306">IF(ISBLANK(Y56),"",Y56)</f>
        <v/>
      </c>
      <c r="Z87" s="116"/>
      <c r="AA87" s="117" t="str">
        <f t="shared" ref="AA87" si="307">IF(ISBLANK(AA56),"",AA56)</f>
        <v/>
      </c>
      <c r="AB87" s="118"/>
      <c r="AC87" s="118" t="str">
        <f t="shared" ref="AC87:AE87" si="308">IF(ISBLANK(AC56),"",AC56)</f>
        <v/>
      </c>
      <c r="AD87" s="116"/>
      <c r="AE87" s="117" t="str">
        <f t="shared" si="308"/>
        <v/>
      </c>
      <c r="AF87" s="118"/>
      <c r="AG87" s="118" t="str">
        <f t="shared" ref="AG87" si="309">IF(ISBLANK(AG56),"",AG56)</f>
        <v/>
      </c>
      <c r="AH87" s="116"/>
      <c r="AI87" s="117" t="str">
        <f t="shared" ref="AI87" si="310">IF(ISBLANK(AI56),"",AI56)</f>
        <v/>
      </c>
      <c r="AJ87" s="118"/>
      <c r="AK87" s="118" t="str">
        <f t="shared" ref="AK87" si="311">IF(ISBLANK(AK56),"",AK56)</f>
        <v/>
      </c>
      <c r="AL87" s="116"/>
      <c r="AM87" s="117" t="str">
        <f t="shared" ref="AM87" si="312">IF(ISBLANK(AM56),"",AM56)</f>
        <v/>
      </c>
      <c r="AN87" s="118"/>
      <c r="AO87" s="118" t="str">
        <f t="shared" ref="AO87" si="313">IF(ISBLANK(AO56),"",AO56)</f>
        <v/>
      </c>
      <c r="AP87" s="116"/>
      <c r="AQ87" s="117" t="str">
        <f t="shared" ref="AQ87" si="314">IF(ISBLANK(AQ56),"",AQ56)</f>
        <v/>
      </c>
      <c r="AR87" s="118"/>
      <c r="AS87" s="118" t="str">
        <f t="shared" ref="AS87" si="315">IF(ISBLANK(AS56),"",AS56)</f>
        <v/>
      </c>
      <c r="AT87" s="116"/>
      <c r="AU87" s="117" t="str">
        <f t="shared" ref="AU87" si="316">IF(ISBLANK(AU56),"",AU56)</f>
        <v/>
      </c>
      <c r="AV87" s="118"/>
      <c r="AW87" s="118" t="str">
        <f t="shared" ref="AW87" si="317">IF(ISBLANK(AW56),"",AW56)</f>
        <v/>
      </c>
      <c r="AX87" s="116"/>
      <c r="AY87" s="117" t="str">
        <f t="shared" si="170"/>
        <v>CWRI3002</v>
      </c>
      <c r="AZ87" s="116"/>
      <c r="BA87" s="117" t="str">
        <f t="shared" si="171"/>
        <v>CWRI3002</v>
      </c>
      <c r="BB87" s="116"/>
      <c r="BC87" s="117" t="str">
        <f t="shared" si="172"/>
        <v/>
      </c>
      <c r="BD87" s="116"/>
      <c r="BE87" s="117" t="str">
        <f t="shared" si="173"/>
        <v/>
      </c>
      <c r="BF87" s="116"/>
      <c r="BG87" s="117" t="str">
        <f t="shared" si="174"/>
        <v/>
      </c>
      <c r="BH87" s="118"/>
      <c r="BI87" s="118" t="str">
        <f t="shared" si="175"/>
        <v/>
      </c>
      <c r="BJ87" s="116"/>
      <c r="BK87" s="117" t="str">
        <f t="shared" si="176"/>
        <v/>
      </c>
      <c r="BL87" s="116"/>
      <c r="BM87" s="132" t="str">
        <f t="shared" si="177"/>
        <v/>
      </c>
      <c r="BN87" s="138"/>
      <c r="BO87" s="63"/>
      <c r="BP87" s="1"/>
      <c r="BQ87" s="1"/>
      <c r="BR87" s="56"/>
      <c r="BS87" s="63"/>
      <c r="BT87" s="1"/>
      <c r="BU87" s="1"/>
      <c r="BV87" s="56"/>
      <c r="BW87" s="63"/>
      <c r="BX87" s="56"/>
      <c r="BY87" s="63"/>
      <c r="BZ87" s="56"/>
      <c r="CA87" s="63"/>
      <c r="CB87" s="1"/>
      <c r="CC87" s="1"/>
      <c r="CD87" s="56"/>
      <c r="CE87" s="63"/>
      <c r="CF87" s="1"/>
      <c r="CG87" s="1"/>
      <c r="CH87" s="56"/>
      <c r="CI87" s="63"/>
      <c r="CJ87" s="56"/>
      <c r="CK87" s="63"/>
      <c r="CL87" s="56"/>
      <c r="CM87" s="63"/>
      <c r="CN87" s="1"/>
      <c r="CO87" s="1"/>
      <c r="CP87" s="56"/>
      <c r="CQ87" s="63"/>
      <c r="CR87" s="1"/>
      <c r="CS87" s="1"/>
      <c r="CT87" s="56"/>
      <c r="CU87" s="63"/>
      <c r="CV87" s="1"/>
      <c r="CW87" s="1"/>
      <c r="CX87" s="56"/>
      <c r="CY87" s="63"/>
      <c r="CZ87" s="1"/>
      <c r="DA87" s="1"/>
      <c r="DB87" s="56"/>
      <c r="DC87" s="63"/>
      <c r="DD87" s="56"/>
      <c r="DE87" s="63"/>
      <c r="DF87" s="56"/>
      <c r="DH87" s="56"/>
      <c r="DI87" s="63"/>
      <c r="DJ87" s="56"/>
      <c r="DK87" s="63"/>
      <c r="DL87" s="56"/>
      <c r="DM87" s="63"/>
      <c r="DN87" s="56"/>
      <c r="DO87" s="63"/>
      <c r="DP87" s="56"/>
      <c r="DQ87" s="63"/>
    </row>
    <row r="88" spans="1:121" x14ac:dyDescent="0.25">
      <c r="I88" s="21">
        <v>26</v>
      </c>
      <c r="J88" s="116"/>
      <c r="K88" s="117" t="str">
        <f t="shared" si="152"/>
        <v/>
      </c>
      <c r="L88" s="118"/>
      <c r="M88" s="118" t="str">
        <f t="shared" si="153"/>
        <v/>
      </c>
      <c r="N88" s="116"/>
      <c r="O88" s="117" t="str">
        <f t="shared" si="154"/>
        <v/>
      </c>
      <c r="P88" s="116"/>
      <c r="Q88" s="117" t="str">
        <f t="shared" si="155"/>
        <v/>
      </c>
      <c r="R88" s="116"/>
      <c r="S88" s="117" t="str">
        <f t="shared" si="155"/>
        <v/>
      </c>
      <c r="T88" s="118"/>
      <c r="U88" s="118" t="str">
        <f t="shared" ref="U88" si="318">IF(ISBLANK(U57),"",U57)</f>
        <v/>
      </c>
      <c r="V88" s="116"/>
      <c r="W88" s="117" t="str">
        <f t="shared" ref="W88" si="319">IF(ISBLANK(W57),"",W57)</f>
        <v/>
      </c>
      <c r="X88" s="118"/>
      <c r="Y88" s="118" t="str">
        <f t="shared" ref="Y88" si="320">IF(ISBLANK(Y57),"",Y57)</f>
        <v/>
      </c>
      <c r="Z88" s="116"/>
      <c r="AA88" s="117" t="str">
        <f t="shared" ref="AA88" si="321">IF(ISBLANK(AA57),"",AA57)</f>
        <v/>
      </c>
      <c r="AB88" s="118"/>
      <c r="AC88" s="118" t="str">
        <f t="shared" ref="AC88:AE88" si="322">IF(ISBLANK(AC57),"",AC57)</f>
        <v/>
      </c>
      <c r="AD88" s="116"/>
      <c r="AE88" s="117" t="str">
        <f t="shared" si="322"/>
        <v/>
      </c>
      <c r="AF88" s="118"/>
      <c r="AG88" s="118" t="str">
        <f t="shared" ref="AG88" si="323">IF(ISBLANK(AG57),"",AG57)</f>
        <v/>
      </c>
      <c r="AH88" s="116"/>
      <c r="AI88" s="117" t="str">
        <f t="shared" ref="AI88" si="324">IF(ISBLANK(AI57),"",AI57)</f>
        <v/>
      </c>
      <c r="AJ88" s="118"/>
      <c r="AK88" s="118" t="str">
        <f t="shared" ref="AK88" si="325">IF(ISBLANK(AK57),"",AK57)</f>
        <v/>
      </c>
      <c r="AL88" s="116"/>
      <c r="AM88" s="117" t="str">
        <f t="shared" ref="AM88" si="326">IF(ISBLANK(AM57),"",AM57)</f>
        <v/>
      </c>
      <c r="AN88" s="118"/>
      <c r="AO88" s="118" t="str">
        <f t="shared" ref="AO88" si="327">IF(ISBLANK(AO57),"",AO57)</f>
        <v/>
      </c>
      <c r="AP88" s="116"/>
      <c r="AQ88" s="117" t="str">
        <f t="shared" ref="AQ88" si="328">IF(ISBLANK(AQ57),"",AQ57)</f>
        <v/>
      </c>
      <c r="AR88" s="118"/>
      <c r="AS88" s="118" t="str">
        <f t="shared" ref="AS88" si="329">IF(ISBLANK(AS57),"",AS57)</f>
        <v/>
      </c>
      <c r="AT88" s="116"/>
      <c r="AU88" s="117" t="str">
        <f t="shared" ref="AU88" si="330">IF(ISBLANK(AU57),"",AU57)</f>
        <v/>
      </c>
      <c r="AV88" s="118"/>
      <c r="AW88" s="118" t="str">
        <f t="shared" ref="AW88" si="331">IF(ISBLANK(AW57),"",AW57)</f>
        <v/>
      </c>
      <c r="AX88" s="116"/>
      <c r="AY88" s="117" t="str">
        <f t="shared" si="170"/>
        <v>CWRI3011</v>
      </c>
      <c r="AZ88" s="116"/>
      <c r="BA88" s="117" t="str">
        <f t="shared" si="171"/>
        <v>CWRI3011</v>
      </c>
      <c r="BB88" s="116"/>
      <c r="BC88" s="117" t="str">
        <f t="shared" si="172"/>
        <v/>
      </c>
      <c r="BD88" s="116"/>
      <c r="BE88" s="117" t="str">
        <f t="shared" si="173"/>
        <v/>
      </c>
      <c r="BF88" s="116"/>
      <c r="BG88" s="117" t="str">
        <f t="shared" si="174"/>
        <v/>
      </c>
      <c r="BH88" s="118"/>
      <c r="BI88" s="118" t="str">
        <f t="shared" si="175"/>
        <v/>
      </c>
      <c r="BJ88" s="116"/>
      <c r="BK88" s="117" t="str">
        <f t="shared" si="176"/>
        <v/>
      </c>
      <c r="BL88" s="116"/>
      <c r="BM88" s="132" t="str">
        <f t="shared" si="177"/>
        <v/>
      </c>
      <c r="BN88" s="138"/>
      <c r="BO88" s="63"/>
      <c r="BP88" s="1"/>
      <c r="BQ88" s="1"/>
      <c r="BR88" s="56"/>
      <c r="BS88" s="63"/>
      <c r="BT88" s="1"/>
      <c r="BU88" s="1"/>
      <c r="BV88" s="56"/>
      <c r="BW88" s="63"/>
      <c r="BX88" s="56"/>
      <c r="BY88" s="63"/>
      <c r="BZ88" s="56"/>
      <c r="CA88" s="63"/>
      <c r="CB88" s="1"/>
      <c r="CC88" s="1"/>
      <c r="CD88" s="56"/>
      <c r="CE88" s="63"/>
      <c r="CF88" s="1"/>
      <c r="CG88" s="1"/>
      <c r="CH88" s="56"/>
      <c r="CI88" s="63"/>
      <c r="CJ88" s="56"/>
      <c r="CK88" s="63"/>
      <c r="CL88" s="56"/>
      <c r="CM88" s="63"/>
      <c r="CN88" s="1"/>
      <c r="CO88" s="1"/>
      <c r="CP88" s="56"/>
      <c r="CQ88" s="63"/>
      <c r="CR88" s="1"/>
      <c r="CS88" s="1"/>
      <c r="CT88" s="56"/>
      <c r="CU88" s="63"/>
      <c r="CV88" s="1"/>
      <c r="CW88" s="1"/>
      <c r="CX88" s="56"/>
      <c r="CY88" s="63"/>
      <c r="CZ88" s="1"/>
      <c r="DA88" s="1"/>
      <c r="DB88" s="56"/>
      <c r="DC88" s="63"/>
      <c r="DD88" s="56"/>
      <c r="DE88" s="63"/>
      <c r="DF88" s="56"/>
      <c r="DG88" s="63"/>
      <c r="DH88" s="56"/>
      <c r="DI88" s="63"/>
      <c r="DJ88" s="56"/>
      <c r="DK88" s="63"/>
      <c r="DL88" s="56"/>
      <c r="DM88" s="63"/>
      <c r="DN88" s="56"/>
      <c r="DO88" s="63"/>
      <c r="DP88" s="56"/>
      <c r="DQ88" s="63"/>
    </row>
    <row r="89" spans="1:121" x14ac:dyDescent="0.25">
      <c r="I89" s="21">
        <v>27</v>
      </c>
      <c r="J89" s="116"/>
      <c r="K89" s="117" t="str">
        <f t="shared" si="152"/>
        <v/>
      </c>
      <c r="L89" s="118"/>
      <c r="M89" s="118" t="str">
        <f t="shared" si="153"/>
        <v/>
      </c>
      <c r="N89" s="116"/>
      <c r="O89" s="117" t="str">
        <f t="shared" si="154"/>
        <v/>
      </c>
      <c r="P89" s="116"/>
      <c r="Q89" s="117" t="str">
        <f t="shared" si="155"/>
        <v/>
      </c>
      <c r="R89" s="116"/>
      <c r="S89" s="117" t="str">
        <f t="shared" si="155"/>
        <v/>
      </c>
      <c r="T89" s="118"/>
      <c r="U89" s="118" t="str">
        <f t="shared" ref="U89" si="332">IF(ISBLANK(U58),"",U58)</f>
        <v/>
      </c>
      <c r="V89" s="116"/>
      <c r="W89" s="117" t="str">
        <f t="shared" ref="W89" si="333">IF(ISBLANK(W58),"",W58)</f>
        <v/>
      </c>
      <c r="X89" s="118"/>
      <c r="Y89" s="118" t="str">
        <f t="shared" ref="Y89" si="334">IF(ISBLANK(Y58),"",Y58)</f>
        <v/>
      </c>
      <c r="Z89" s="116"/>
      <c r="AA89" s="117" t="str">
        <f t="shared" ref="AA89" si="335">IF(ISBLANK(AA58),"",AA58)</f>
        <v/>
      </c>
      <c r="AB89" s="118"/>
      <c r="AC89" s="118" t="str">
        <f t="shared" ref="AC89:AE89" si="336">IF(ISBLANK(AC58),"",AC58)</f>
        <v/>
      </c>
      <c r="AD89" s="116"/>
      <c r="AE89" s="117" t="str">
        <f t="shared" si="336"/>
        <v/>
      </c>
      <c r="AF89" s="118"/>
      <c r="AG89" s="118" t="str">
        <f t="shared" ref="AG89" si="337">IF(ISBLANK(AG58),"",AG58)</f>
        <v/>
      </c>
      <c r="AH89" s="116"/>
      <c r="AI89" s="117" t="str">
        <f t="shared" ref="AI89" si="338">IF(ISBLANK(AI58),"",AI58)</f>
        <v/>
      </c>
      <c r="AJ89" s="118"/>
      <c r="AK89" s="118" t="str">
        <f t="shared" ref="AK89" si="339">IF(ISBLANK(AK58),"",AK58)</f>
        <v/>
      </c>
      <c r="AL89" s="116"/>
      <c r="AM89" s="117" t="str">
        <f t="shared" ref="AM89" si="340">IF(ISBLANK(AM58),"",AM58)</f>
        <v/>
      </c>
      <c r="AN89" s="118"/>
      <c r="AO89" s="118" t="str">
        <f t="shared" ref="AO89" si="341">IF(ISBLANK(AO58),"",AO58)</f>
        <v/>
      </c>
      <c r="AP89" s="116"/>
      <c r="AQ89" s="117" t="str">
        <f t="shared" ref="AQ89" si="342">IF(ISBLANK(AQ58),"",AQ58)</f>
        <v/>
      </c>
      <c r="AR89" s="118"/>
      <c r="AS89" s="118" t="str">
        <f t="shared" ref="AS89" si="343">IF(ISBLANK(AS58),"",AS58)</f>
        <v/>
      </c>
      <c r="AT89" s="116"/>
      <c r="AU89" s="117" t="str">
        <f t="shared" ref="AU89" si="344">IF(ISBLANK(AU58),"",AU58)</f>
        <v/>
      </c>
      <c r="AV89" s="118"/>
      <c r="AW89" s="118" t="str">
        <f t="shared" ref="AW89" si="345">IF(ISBLANK(AW58),"",AW58)</f>
        <v/>
      </c>
      <c r="AX89" s="116"/>
      <c r="AY89" s="117" t="str">
        <f t="shared" si="170"/>
        <v>PWRP3000</v>
      </c>
      <c r="AZ89" s="116"/>
      <c r="BA89" s="117" t="str">
        <f t="shared" si="171"/>
        <v>PWRP3000</v>
      </c>
      <c r="BB89" s="116"/>
      <c r="BC89" s="117" t="str">
        <f t="shared" si="172"/>
        <v/>
      </c>
      <c r="BD89" s="116"/>
      <c r="BE89" s="117" t="str">
        <f t="shared" si="173"/>
        <v/>
      </c>
      <c r="BF89" s="116"/>
      <c r="BG89" s="117" t="str">
        <f t="shared" si="174"/>
        <v/>
      </c>
      <c r="BH89" s="118"/>
      <c r="BI89" s="118" t="str">
        <f t="shared" si="175"/>
        <v/>
      </c>
      <c r="BJ89" s="116"/>
      <c r="BK89" s="117" t="str">
        <f t="shared" si="176"/>
        <v/>
      </c>
      <c r="BL89" s="116"/>
      <c r="BM89" s="132" t="str">
        <f t="shared" si="177"/>
        <v/>
      </c>
      <c r="BN89" s="138"/>
      <c r="BO89" s="63"/>
      <c r="BP89" s="1"/>
      <c r="BQ89" s="1"/>
      <c r="BR89" s="56"/>
      <c r="BS89" s="63"/>
      <c r="BT89" s="1"/>
      <c r="BU89" s="1"/>
      <c r="BV89" s="56"/>
      <c r="BW89" s="63"/>
      <c r="BX89" s="56"/>
      <c r="BY89" s="63"/>
      <c r="BZ89" s="56"/>
      <c r="CA89" s="63"/>
      <c r="CB89" s="1"/>
      <c r="CC89" s="1"/>
      <c r="CD89" s="56"/>
      <c r="CE89" s="63"/>
      <c r="CF89" s="1"/>
      <c r="CG89" s="1"/>
      <c r="CH89" s="56"/>
      <c r="CI89" s="63"/>
      <c r="CJ89" s="56"/>
      <c r="CK89" s="63"/>
      <c r="CL89" s="56"/>
      <c r="CM89" s="63"/>
      <c r="CN89" s="1"/>
      <c r="CO89" s="1"/>
      <c r="CP89" s="56"/>
      <c r="CQ89" s="63"/>
      <c r="CR89" s="1"/>
      <c r="CS89" s="1"/>
      <c r="CT89" s="56"/>
      <c r="CU89" s="63"/>
      <c r="CV89" s="1"/>
      <c r="CW89" s="1"/>
      <c r="CX89" s="56"/>
      <c r="CY89" s="63"/>
      <c r="CZ89" s="1"/>
      <c r="DA89" s="1"/>
      <c r="DB89" s="56"/>
      <c r="DC89" s="63"/>
      <c r="DD89" s="56"/>
      <c r="DE89" s="63"/>
      <c r="DF89" s="56"/>
      <c r="DG89" s="63"/>
      <c r="DH89" s="56"/>
      <c r="DI89" s="63"/>
      <c r="DJ89" s="56"/>
      <c r="DK89" s="63"/>
      <c r="DL89" s="56"/>
      <c r="DM89" s="63"/>
      <c r="DN89" s="56"/>
      <c r="DO89" s="63"/>
      <c r="DP89" s="56"/>
      <c r="DQ89" s="63"/>
    </row>
    <row r="90" spans="1:121" x14ac:dyDescent="0.25">
      <c r="I90" s="21">
        <v>28</v>
      </c>
      <c r="J90" s="116"/>
      <c r="K90" s="117" t="str">
        <f t="shared" si="152"/>
        <v/>
      </c>
      <c r="L90" s="118"/>
      <c r="M90" s="118" t="str">
        <f t="shared" si="153"/>
        <v/>
      </c>
      <c r="N90" s="116"/>
      <c r="O90" s="117" t="str">
        <f t="shared" si="154"/>
        <v/>
      </c>
      <c r="P90" s="116"/>
      <c r="Q90" s="117" t="str">
        <f t="shared" si="155"/>
        <v/>
      </c>
      <c r="R90" s="116"/>
      <c r="S90" s="117" t="str">
        <f t="shared" si="155"/>
        <v/>
      </c>
      <c r="T90" s="118"/>
      <c r="U90" s="118" t="str">
        <f t="shared" ref="U90" si="346">IF(ISBLANK(U59),"",U59)</f>
        <v/>
      </c>
      <c r="V90" s="116"/>
      <c r="W90" s="117" t="str">
        <f t="shared" ref="W90" si="347">IF(ISBLANK(W59),"",W59)</f>
        <v/>
      </c>
      <c r="X90" s="118"/>
      <c r="Y90" s="118" t="str">
        <f t="shared" ref="Y90" si="348">IF(ISBLANK(Y59),"",Y59)</f>
        <v/>
      </c>
      <c r="Z90" s="116"/>
      <c r="AA90" s="117" t="str">
        <f t="shared" ref="AA90" si="349">IF(ISBLANK(AA59),"",AA59)</f>
        <v/>
      </c>
      <c r="AB90" s="118"/>
      <c r="AC90" s="118" t="str">
        <f t="shared" ref="AC90:AE90" si="350">IF(ISBLANK(AC59),"",AC59)</f>
        <v/>
      </c>
      <c r="AD90" s="116"/>
      <c r="AE90" s="117" t="str">
        <f t="shared" si="350"/>
        <v/>
      </c>
      <c r="AF90" s="118"/>
      <c r="AG90" s="118" t="str">
        <f t="shared" ref="AG90" si="351">IF(ISBLANK(AG59),"",AG59)</f>
        <v/>
      </c>
      <c r="AH90" s="116"/>
      <c r="AI90" s="117" t="str">
        <f t="shared" ref="AI90" si="352">IF(ISBLANK(AI59),"",AI59)</f>
        <v/>
      </c>
      <c r="AJ90" s="118"/>
      <c r="AK90" s="118" t="str">
        <f t="shared" ref="AK90" si="353">IF(ISBLANK(AK59),"",AK59)</f>
        <v/>
      </c>
      <c r="AL90" s="116"/>
      <c r="AM90" s="117" t="str">
        <f t="shared" ref="AM90" si="354">IF(ISBLANK(AM59),"",AM59)</f>
        <v/>
      </c>
      <c r="AN90" s="118"/>
      <c r="AO90" s="118" t="str">
        <f t="shared" ref="AO90" si="355">IF(ISBLANK(AO59),"",AO59)</f>
        <v/>
      </c>
      <c r="AP90" s="116"/>
      <c r="AQ90" s="117" t="str">
        <f t="shared" ref="AQ90" si="356">IF(ISBLANK(AQ59),"",AQ59)</f>
        <v/>
      </c>
      <c r="AR90" s="118"/>
      <c r="AS90" s="118" t="str">
        <f t="shared" ref="AS90" si="357">IF(ISBLANK(AS59),"",AS59)</f>
        <v/>
      </c>
      <c r="AT90" s="116"/>
      <c r="AU90" s="117" t="str">
        <f t="shared" ref="AU90" si="358">IF(ISBLANK(AU59),"",AU59)</f>
        <v/>
      </c>
      <c r="AV90" s="118"/>
      <c r="AW90" s="118" t="str">
        <f t="shared" ref="AW90" si="359">IF(ISBLANK(AW59),"",AW59)</f>
        <v/>
      </c>
      <c r="AX90" s="116"/>
      <c r="AY90" s="117" t="str">
        <f t="shared" si="170"/>
        <v>PWRP3010</v>
      </c>
      <c r="AZ90" s="116"/>
      <c r="BA90" s="117" t="str">
        <f t="shared" si="171"/>
        <v>PWRP3010</v>
      </c>
      <c r="BB90" s="116"/>
      <c r="BC90" s="117" t="str">
        <f t="shared" si="172"/>
        <v/>
      </c>
      <c r="BD90" s="116"/>
      <c r="BE90" s="117" t="str">
        <f t="shared" si="173"/>
        <v/>
      </c>
      <c r="BF90" s="116"/>
      <c r="BG90" s="117" t="str">
        <f t="shared" si="174"/>
        <v/>
      </c>
      <c r="BH90" s="118"/>
      <c r="BI90" s="118" t="str">
        <f t="shared" si="175"/>
        <v/>
      </c>
      <c r="BJ90" s="116"/>
      <c r="BK90" s="117" t="str">
        <f t="shared" si="176"/>
        <v/>
      </c>
      <c r="BL90" s="116"/>
      <c r="BM90" s="132" t="str">
        <f t="shared" si="177"/>
        <v/>
      </c>
      <c r="BN90" s="138"/>
      <c r="BO90" s="63"/>
      <c r="BP90" s="1"/>
      <c r="BQ90" s="1"/>
      <c r="BR90" s="56"/>
      <c r="BS90" s="63"/>
      <c r="BT90" s="1"/>
      <c r="BU90" s="1"/>
      <c r="BV90" s="56"/>
      <c r="BW90" s="63"/>
      <c r="BX90" s="56"/>
      <c r="BY90" s="63"/>
      <c r="BZ90" s="56"/>
      <c r="CA90" s="63"/>
      <c r="CB90" s="1"/>
      <c r="CC90" s="1"/>
      <c r="CD90" s="56"/>
      <c r="CE90" s="63"/>
      <c r="CF90" s="1"/>
      <c r="CG90" s="1"/>
      <c r="CH90" s="56"/>
      <c r="CI90" s="63"/>
      <c r="CJ90" s="56"/>
      <c r="CK90" s="63"/>
      <c r="CL90" s="56"/>
      <c r="CM90" s="63"/>
      <c r="CN90" s="1"/>
      <c r="CO90" s="1"/>
      <c r="CP90" s="56"/>
      <c r="CQ90" s="63"/>
      <c r="CR90" s="1"/>
      <c r="CS90" s="1"/>
      <c r="CT90" s="56"/>
      <c r="CU90" s="63"/>
      <c r="CV90" s="1"/>
      <c r="CW90" s="1"/>
      <c r="CX90" s="56"/>
      <c r="CY90" s="63"/>
      <c r="CZ90" s="1"/>
      <c r="DA90" s="1"/>
      <c r="DB90" s="56"/>
      <c r="DC90" s="63"/>
      <c r="DD90" s="56"/>
      <c r="DE90" s="63"/>
      <c r="DF90" s="56"/>
      <c r="DG90" s="63"/>
      <c r="DH90" s="56"/>
      <c r="DI90" s="63"/>
      <c r="DJ90" s="56"/>
      <c r="DK90" s="63"/>
      <c r="DL90" s="56"/>
      <c r="DM90" s="63"/>
      <c r="DN90" s="56"/>
      <c r="DO90" s="63"/>
      <c r="DP90" s="56"/>
      <c r="DQ90" s="63"/>
    </row>
    <row r="91" spans="1:121" x14ac:dyDescent="0.25">
      <c r="I91" s="21">
        <v>29</v>
      </c>
      <c r="J91" s="119"/>
      <c r="K91" s="121" t="str">
        <f t="shared" si="152"/>
        <v/>
      </c>
      <c r="L91" s="120"/>
      <c r="M91" s="120" t="str">
        <f t="shared" si="153"/>
        <v/>
      </c>
      <c r="N91" s="119"/>
      <c r="O91" s="121" t="str">
        <f t="shared" si="154"/>
        <v/>
      </c>
      <c r="P91" s="119"/>
      <c r="Q91" s="121" t="str">
        <f t="shared" si="155"/>
        <v/>
      </c>
      <c r="R91" s="119"/>
      <c r="S91" s="121" t="str">
        <f t="shared" si="155"/>
        <v/>
      </c>
      <c r="T91" s="120"/>
      <c r="U91" s="120" t="str">
        <f t="shared" ref="U91" si="360">IF(ISBLANK(U60),"",U60)</f>
        <v/>
      </c>
      <c r="V91" s="119"/>
      <c r="W91" s="121" t="str">
        <f t="shared" ref="W91" si="361">IF(ISBLANK(W60),"",W60)</f>
        <v/>
      </c>
      <c r="X91" s="120"/>
      <c r="Y91" s="120" t="str">
        <f t="shared" ref="Y91" si="362">IF(ISBLANK(Y60),"",Y60)</f>
        <v/>
      </c>
      <c r="Z91" s="119"/>
      <c r="AA91" s="121" t="str">
        <f t="shared" ref="AA91" si="363">IF(ISBLANK(AA60),"",AA60)</f>
        <v/>
      </c>
      <c r="AB91" s="120"/>
      <c r="AC91" s="120" t="str">
        <f t="shared" ref="AC91:AE91" si="364">IF(ISBLANK(AC60),"",AC60)</f>
        <v/>
      </c>
      <c r="AD91" s="119"/>
      <c r="AE91" s="121" t="str">
        <f t="shared" si="364"/>
        <v/>
      </c>
      <c r="AF91" s="120"/>
      <c r="AG91" s="120" t="str">
        <f t="shared" ref="AG91" si="365">IF(ISBLANK(AG60),"",AG60)</f>
        <v/>
      </c>
      <c r="AH91" s="119"/>
      <c r="AI91" s="121" t="str">
        <f t="shared" ref="AI91" si="366">IF(ISBLANK(AI60),"",AI60)</f>
        <v/>
      </c>
      <c r="AJ91" s="120"/>
      <c r="AK91" s="120" t="str">
        <f t="shared" ref="AK91" si="367">IF(ISBLANK(AK60),"",AK60)</f>
        <v/>
      </c>
      <c r="AL91" s="119"/>
      <c r="AM91" s="121" t="str">
        <f t="shared" ref="AM91" si="368">IF(ISBLANK(AM60),"",AM60)</f>
        <v/>
      </c>
      <c r="AN91" s="120"/>
      <c r="AO91" s="120" t="str">
        <f t="shared" ref="AO91" si="369">IF(ISBLANK(AO60),"",AO60)</f>
        <v/>
      </c>
      <c r="AP91" s="119"/>
      <c r="AQ91" s="121" t="str">
        <f t="shared" ref="AQ91" si="370">IF(ISBLANK(AQ60),"",AQ60)</f>
        <v/>
      </c>
      <c r="AR91" s="120"/>
      <c r="AS91" s="120" t="str">
        <f t="shared" ref="AS91" si="371">IF(ISBLANK(AS60),"",AS60)</f>
        <v/>
      </c>
      <c r="AT91" s="119"/>
      <c r="AU91" s="121" t="str">
        <f t="shared" ref="AU91" si="372">IF(ISBLANK(AU60),"",AU60)</f>
        <v/>
      </c>
      <c r="AV91" s="120"/>
      <c r="AW91" s="120" t="str">
        <f t="shared" ref="AW91" si="373">IF(ISBLANK(AW60),"",AW60)</f>
        <v/>
      </c>
      <c r="AX91" s="119"/>
      <c r="AY91" s="121" t="str">
        <f t="shared" si="170"/>
        <v>SCST3010</v>
      </c>
      <c r="AZ91" s="119"/>
      <c r="BA91" s="121" t="str">
        <f t="shared" si="171"/>
        <v>SCST3010</v>
      </c>
      <c r="BB91" s="119"/>
      <c r="BC91" s="121" t="str">
        <f t="shared" si="172"/>
        <v/>
      </c>
      <c r="BD91" s="119"/>
      <c r="BE91" s="121" t="str">
        <f t="shared" si="173"/>
        <v/>
      </c>
      <c r="BF91" s="119"/>
      <c r="BG91" s="121" t="str">
        <f t="shared" si="174"/>
        <v/>
      </c>
      <c r="BH91" s="120"/>
      <c r="BI91" s="120" t="str">
        <f t="shared" si="175"/>
        <v/>
      </c>
      <c r="BJ91" s="119"/>
      <c r="BK91" s="121" t="str">
        <f t="shared" si="176"/>
        <v/>
      </c>
      <c r="BL91" s="119"/>
      <c r="BM91" s="133" t="str">
        <f t="shared" si="177"/>
        <v/>
      </c>
      <c r="BN91" s="139"/>
      <c r="BO91" s="61"/>
      <c r="BP91" s="87"/>
      <c r="BQ91" s="87"/>
      <c r="BR91" s="57"/>
      <c r="BS91" s="61"/>
      <c r="BT91" s="87"/>
      <c r="BU91" s="87"/>
      <c r="BV91" s="57"/>
      <c r="BW91" s="61"/>
      <c r="BX91" s="57"/>
      <c r="BY91" s="61"/>
      <c r="BZ91" s="57"/>
      <c r="CA91" s="61"/>
      <c r="CB91" s="87"/>
      <c r="CC91" s="87"/>
      <c r="CD91" s="57"/>
      <c r="CE91" s="61"/>
      <c r="CF91" s="87"/>
      <c r="CG91" s="87"/>
      <c r="CH91" s="57"/>
      <c r="CI91" s="61"/>
      <c r="CJ91" s="57"/>
      <c r="CK91" s="61"/>
      <c r="CL91" s="57"/>
      <c r="CM91" s="61"/>
      <c r="CN91" s="87"/>
      <c r="CO91" s="87"/>
      <c r="CP91" s="57"/>
      <c r="CQ91" s="61"/>
      <c r="CR91" s="87"/>
      <c r="CS91" s="87"/>
      <c r="CT91" s="57"/>
      <c r="CU91" s="61"/>
      <c r="CV91" s="87"/>
      <c r="CW91" s="87"/>
      <c r="CX91" s="57"/>
      <c r="CY91" s="61"/>
      <c r="CZ91" s="87"/>
      <c r="DA91" s="87"/>
      <c r="DB91" s="57"/>
      <c r="DC91" s="61"/>
      <c r="DD91" s="57"/>
      <c r="DE91" s="61"/>
      <c r="DF91" s="57"/>
      <c r="DG91" s="61"/>
      <c r="DH91" s="57"/>
      <c r="DI91" s="61"/>
      <c r="DJ91" s="57"/>
      <c r="DK91" s="61"/>
      <c r="DL91" s="57"/>
      <c r="DM91" s="61"/>
      <c r="DN91" s="57"/>
      <c r="DO91" s="61"/>
      <c r="DP91" s="57"/>
      <c r="DQ91" s="61"/>
    </row>
    <row r="92" spans="1:121" ht="33.75" x14ac:dyDescent="0.25">
      <c r="BW92" s="92"/>
      <c r="BY92" s="92"/>
      <c r="CC92" s="92"/>
      <c r="CE92" s="105"/>
      <c r="CG92" s="105"/>
      <c r="CI92" s="100"/>
      <c r="CP92" s="92"/>
      <c r="CQ92" s="232" t="s">
        <v>345</v>
      </c>
      <c r="CS92" s="232" t="s">
        <v>345</v>
      </c>
      <c r="CU92" s="92"/>
      <c r="CW92" s="92"/>
      <c r="DG92" s="92" t="s">
        <v>497</v>
      </c>
      <c r="DI92" s="92" t="s">
        <v>497</v>
      </c>
    </row>
    <row r="93" spans="1:121" x14ac:dyDescent="0.25">
      <c r="BW93" s="105"/>
      <c r="BY93" s="105"/>
      <c r="CU93" s="105"/>
      <c r="CW93" s="105"/>
    </row>
    <row r="94" spans="1:121" x14ac:dyDescent="0.25">
      <c r="H94"/>
    </row>
    <row r="95" spans="1:121" x14ac:dyDescent="0.25">
      <c r="H95"/>
    </row>
    <row r="96" spans="1:121" x14ac:dyDescent="0.25">
      <c r="H96"/>
    </row>
    <row r="97" spans="8:8" x14ac:dyDescent="0.25">
      <c r="H97"/>
    </row>
    <row r="98" spans="8:8" x14ac:dyDescent="0.25">
      <c r="H98"/>
    </row>
    <row r="99" spans="8:8" x14ac:dyDescent="0.25">
      <c r="H99"/>
    </row>
    <row r="100" spans="8:8" x14ac:dyDescent="0.25">
      <c r="H100"/>
    </row>
    <row r="101" spans="8:8" x14ac:dyDescent="0.25">
      <c r="H101"/>
    </row>
    <row r="102" spans="8:8" x14ac:dyDescent="0.25">
      <c r="H102"/>
    </row>
    <row r="103" spans="8:8" x14ac:dyDescent="0.25">
      <c r="H103"/>
    </row>
    <row r="104" spans="8:8" x14ac:dyDescent="0.25">
      <c r="H104"/>
    </row>
    <row r="105" spans="8:8" x14ac:dyDescent="0.25">
      <c r="H105"/>
    </row>
    <row r="106" spans="8:8" x14ac:dyDescent="0.25">
      <c r="H106"/>
    </row>
    <row r="107" spans="8:8" x14ac:dyDescent="0.25">
      <c r="H107"/>
    </row>
    <row r="108" spans="8:8" x14ac:dyDescent="0.25">
      <c r="H108"/>
    </row>
    <row r="109" spans="8:8" x14ac:dyDescent="0.25">
      <c r="H109"/>
    </row>
    <row r="110" spans="8:8" x14ac:dyDescent="0.25">
      <c r="H110"/>
    </row>
    <row r="111" spans="8:8" x14ac:dyDescent="0.25">
      <c r="H111"/>
    </row>
    <row r="112" spans="8:8" x14ac:dyDescent="0.25">
      <c r="H112"/>
    </row>
    <row r="113" spans="8:8" x14ac:dyDescent="0.25">
      <c r="H113"/>
    </row>
    <row r="114" spans="8:8" x14ac:dyDescent="0.25">
      <c r="H114"/>
    </row>
    <row r="115" spans="8:8" x14ac:dyDescent="0.25">
      <c r="H115"/>
    </row>
    <row r="116" spans="8:8" x14ac:dyDescent="0.25">
      <c r="H116"/>
    </row>
    <row r="117" spans="8:8" x14ac:dyDescent="0.25">
      <c r="H117"/>
    </row>
    <row r="118" spans="8:8" x14ac:dyDescent="0.25">
      <c r="H118"/>
    </row>
    <row r="119" spans="8:8" x14ac:dyDescent="0.25">
      <c r="H119"/>
    </row>
    <row r="120" spans="8:8" x14ac:dyDescent="0.25">
      <c r="H120"/>
    </row>
    <row r="121" spans="8:8" x14ac:dyDescent="0.25">
      <c r="H121"/>
    </row>
    <row r="122" spans="8:8" x14ac:dyDescent="0.25">
      <c r="H122"/>
    </row>
    <row r="123" spans="8:8" x14ac:dyDescent="0.25">
      <c r="H123"/>
    </row>
    <row r="124" spans="8:8" x14ac:dyDescent="0.25">
      <c r="H124"/>
    </row>
    <row r="125" spans="8:8" x14ac:dyDescent="0.25">
      <c r="H125"/>
    </row>
    <row r="126" spans="8:8" x14ac:dyDescent="0.25">
      <c r="H126"/>
    </row>
  </sheetData>
  <pageMargins left="0.7" right="0.7" top="0.75" bottom="0.75" header="0.3" footer="0.3"/>
  <pageSetup paperSize="9" orientation="portrait"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O343"/>
  <sheetViews>
    <sheetView zoomScale="85" zoomScaleNormal="85" workbookViewId="0">
      <pane xSplit="5" ySplit="3" topLeftCell="F4" activePane="bottomRight" state="frozen"/>
      <selection activeCell="G63" sqref="G63"/>
      <selection pane="topRight" activeCell="G63" sqref="G63"/>
      <selection pane="bottomLeft" activeCell="G63" sqref="G63"/>
      <selection pane="bottomRight" activeCell="G63" sqref="G63"/>
    </sheetView>
  </sheetViews>
  <sheetFormatPr defaultRowHeight="15.75" x14ac:dyDescent="0.25"/>
  <cols>
    <col min="1" max="1" width="16" bestFit="1" customWidth="1"/>
    <col min="2" max="2" width="6" style="2" bestFit="1" customWidth="1"/>
    <col min="3" max="3" width="9.125" bestFit="1" customWidth="1"/>
    <col min="4" max="4" width="58.75" bestFit="1" customWidth="1"/>
    <col min="5" max="5" width="8.625" style="2" bestFit="1" customWidth="1"/>
    <col min="6" max="6" width="34.875" customWidth="1"/>
    <col min="7" max="7" width="7.75" style="2" bestFit="1" customWidth="1"/>
    <col min="8" max="8" width="7.375" style="2" bestFit="1" customWidth="1"/>
    <col min="9" max="9" width="7.75" style="2" bestFit="1" customWidth="1"/>
    <col min="10" max="10" width="7.375" style="2" bestFit="1" customWidth="1"/>
    <col min="11" max="11" width="37.875" bestFit="1" customWidth="1"/>
    <col min="12" max="12" width="10.125" bestFit="1" customWidth="1"/>
    <col min="13" max="14" width="5.375" bestFit="1" customWidth="1"/>
    <col min="15" max="15" width="6" bestFit="1" customWidth="1"/>
    <col min="16" max="17" width="5.375" bestFit="1" customWidth="1"/>
    <col min="18" max="18" width="5.375" customWidth="1"/>
    <col min="19" max="20" width="5.375" bestFit="1" customWidth="1"/>
    <col min="21" max="21" width="6" bestFit="1" customWidth="1"/>
    <col min="22" max="22" width="6.5" bestFit="1" customWidth="1"/>
    <col min="23" max="24" width="6" bestFit="1" customWidth="1"/>
    <col min="25" max="25" width="6.5" bestFit="1" customWidth="1"/>
    <col min="26" max="26" width="6.5" customWidth="1"/>
    <col min="27" max="27" width="5.375" bestFit="1" customWidth="1"/>
    <col min="28" max="40" width="6.5" customWidth="1"/>
  </cols>
  <sheetData>
    <row r="1" spans="1:41" x14ac:dyDescent="0.25">
      <c r="A1" s="29">
        <v>1</v>
      </c>
      <c r="B1" s="29">
        <v>2</v>
      </c>
      <c r="C1" s="29">
        <v>3</v>
      </c>
      <c r="D1" s="29">
        <v>4</v>
      </c>
      <c r="E1" s="29">
        <v>5</v>
      </c>
      <c r="F1" s="29">
        <v>6</v>
      </c>
      <c r="G1" s="29">
        <v>7</v>
      </c>
      <c r="H1" s="29">
        <v>8</v>
      </c>
      <c r="I1" s="29">
        <v>9</v>
      </c>
      <c r="J1" s="29">
        <v>10</v>
      </c>
      <c r="K1" s="29">
        <v>11</v>
      </c>
      <c r="L1" s="29">
        <v>12</v>
      </c>
      <c r="M1" s="29">
        <v>13</v>
      </c>
      <c r="N1" s="29">
        <v>14</v>
      </c>
      <c r="O1" s="29">
        <v>15</v>
      </c>
      <c r="P1" s="29">
        <v>16</v>
      </c>
      <c r="Q1" s="29">
        <v>17</v>
      </c>
      <c r="R1" s="29"/>
      <c r="S1" s="29">
        <v>18</v>
      </c>
      <c r="T1" s="29">
        <v>19</v>
      </c>
      <c r="U1" s="29">
        <v>20</v>
      </c>
      <c r="V1" s="29">
        <v>21</v>
      </c>
      <c r="W1" s="29">
        <v>22</v>
      </c>
      <c r="X1" s="29">
        <v>23</v>
      </c>
      <c r="Y1" s="29">
        <v>24</v>
      </c>
      <c r="Z1" s="29">
        <v>25</v>
      </c>
      <c r="AA1" s="29">
        <v>26</v>
      </c>
      <c r="AB1" s="29">
        <v>27</v>
      </c>
      <c r="AC1" s="29">
        <v>28</v>
      </c>
      <c r="AD1" s="29">
        <v>29</v>
      </c>
      <c r="AE1" s="29">
        <v>30</v>
      </c>
      <c r="AF1" s="29">
        <v>31</v>
      </c>
      <c r="AG1" s="29">
        <v>32</v>
      </c>
      <c r="AH1" s="29">
        <v>33</v>
      </c>
      <c r="AI1" s="29">
        <v>34</v>
      </c>
      <c r="AJ1" s="29">
        <v>35</v>
      </c>
      <c r="AK1" s="29">
        <v>36</v>
      </c>
      <c r="AL1" s="29">
        <v>37</v>
      </c>
      <c r="AM1" s="29">
        <v>38</v>
      </c>
      <c r="AN1" s="29">
        <v>39</v>
      </c>
    </row>
    <row r="2" spans="1:41" x14ac:dyDescent="0.25">
      <c r="A2" s="22"/>
      <c r="B2" s="23"/>
      <c r="C2" s="23"/>
      <c r="D2" s="22"/>
      <c r="E2" s="23"/>
      <c r="F2" s="22"/>
      <c r="G2" s="28"/>
      <c r="H2" s="23"/>
      <c r="I2" s="26"/>
      <c r="J2" s="27"/>
      <c r="K2" s="3"/>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3"/>
    </row>
    <row r="3" spans="1:41" ht="73.5" x14ac:dyDescent="0.25">
      <c r="A3" s="33" t="s">
        <v>0</v>
      </c>
      <c r="B3" s="33" t="s">
        <v>1</v>
      </c>
      <c r="C3" s="33" t="s">
        <v>2</v>
      </c>
      <c r="D3" s="33" t="s">
        <v>498</v>
      </c>
      <c r="E3" s="33" t="s">
        <v>5</v>
      </c>
      <c r="F3" s="33" t="s">
        <v>4</v>
      </c>
      <c r="G3" s="36" t="s">
        <v>499</v>
      </c>
      <c r="H3" s="37" t="s">
        <v>500</v>
      </c>
      <c r="I3" s="37" t="s">
        <v>501</v>
      </c>
      <c r="J3" s="38" t="s">
        <v>502</v>
      </c>
      <c r="K3" s="71" t="s">
        <v>503</v>
      </c>
      <c r="L3" s="45" t="s">
        <v>90</v>
      </c>
      <c r="M3" s="45" t="s">
        <v>110</v>
      </c>
      <c r="N3" s="45" t="s">
        <v>115</v>
      </c>
      <c r="O3" s="45" t="s">
        <v>119</v>
      </c>
      <c r="P3" s="45" t="s">
        <v>130</v>
      </c>
      <c r="Q3" s="45" t="s">
        <v>133</v>
      </c>
      <c r="R3" s="45" t="s">
        <v>136</v>
      </c>
      <c r="S3" s="45" t="s">
        <v>139</v>
      </c>
      <c r="T3" s="45" t="s">
        <v>142</v>
      </c>
      <c r="U3" s="45" t="s">
        <v>144</v>
      </c>
      <c r="V3" s="45" t="s">
        <v>147</v>
      </c>
      <c r="W3" s="45" t="s">
        <v>124</v>
      </c>
      <c r="X3" s="45" t="s">
        <v>121</v>
      </c>
      <c r="Y3" s="45" t="s">
        <v>151</v>
      </c>
      <c r="Z3" s="45" t="s">
        <v>154</v>
      </c>
      <c r="AA3" s="45" t="s">
        <v>504</v>
      </c>
      <c r="AB3" s="45" t="s">
        <v>313</v>
      </c>
      <c r="AC3" s="45" t="s">
        <v>315</v>
      </c>
      <c r="AD3" s="45" t="s">
        <v>347</v>
      </c>
      <c r="AE3" s="45" t="s">
        <v>317</v>
      </c>
      <c r="AF3" s="45" t="s">
        <v>320</v>
      </c>
      <c r="AG3" s="45" t="s">
        <v>322</v>
      </c>
      <c r="AH3" s="45" t="s">
        <v>324</v>
      </c>
      <c r="AI3" s="45" t="s">
        <v>327</v>
      </c>
      <c r="AJ3" s="45" t="s">
        <v>329</v>
      </c>
      <c r="AK3" s="45" t="s">
        <v>331</v>
      </c>
      <c r="AL3" s="45" t="s">
        <v>333</v>
      </c>
      <c r="AM3" s="45" t="s">
        <v>337</v>
      </c>
      <c r="AN3" s="45" t="s">
        <v>342</v>
      </c>
      <c r="AO3" s="3"/>
    </row>
    <row r="4" spans="1:41" x14ac:dyDescent="0.25">
      <c r="A4" s="8" t="s">
        <v>277</v>
      </c>
      <c r="B4" s="9"/>
      <c r="C4" s="8"/>
      <c r="D4" s="8" t="s">
        <v>505</v>
      </c>
      <c r="E4" s="9"/>
      <c r="F4" s="49"/>
      <c r="G4" s="34" t="str">
        <f>IFERROR(IF(VLOOKUP(TableHandbook[[#This Row],[UDC]],TableAvailabilities[],2,FALSE)&gt;0,"Y",""),"")</f>
        <v/>
      </c>
      <c r="H4" s="43" t="str">
        <f>IFERROR(IF(VLOOKUP(TableHandbook[[#This Row],[UDC]],TableAvailabilities[],3,FALSE)&gt;0,"Y",""),"")</f>
        <v/>
      </c>
      <c r="I4" s="44" t="str">
        <f>IFERROR(IF(VLOOKUP(TableHandbook[[#This Row],[UDC]],TableAvailabilities[],4,FALSE)&gt;0,"Y",""),"")</f>
        <v/>
      </c>
      <c r="J4" s="35" t="str">
        <f>IFERROR(IF(VLOOKUP(TableHandbook[[#This Row],[UDC]],TableAvailabilities[],5,FALSE)&gt;0,"Y",""),"")</f>
        <v/>
      </c>
      <c r="K4" s="163"/>
      <c r="L4" s="46" t="str">
        <f>IFERROR(VLOOKUP(TableHandbook[[#This Row],[UDC]],TableBARTS[],7,FALSE),"")</f>
        <v/>
      </c>
      <c r="M4" s="47" t="str">
        <f>IFERROR(VLOOKUP(TableHandbook[[#This Row],[UDC]],TableMJRUANTSO[],7,FALSE),"")</f>
        <v/>
      </c>
      <c r="N4" s="47" t="str">
        <f>IFERROR(VLOOKUP(TableHandbook[[#This Row],[UDC]],TableMJRUCHNSE[],7,FALSE),"")</f>
        <v/>
      </c>
      <c r="O4" s="47" t="str">
        <f>IFERROR(VLOOKUP(TableHandbook[[#This Row],[UDC]],TableMJRUCRWRI[],7,FALSE),"")</f>
        <v/>
      </c>
      <c r="P4" s="47" t="str">
        <f>IFERROR(VLOOKUP(TableHandbook[[#This Row],[UDC]],TableMJRUGEOGR[],7,FALSE),"")</f>
        <v/>
      </c>
      <c r="Q4" s="47" t="str">
        <f>IFERROR(VLOOKUP(TableHandbook[[#This Row],[UDC]],TableMJRUHISTR[],7,FALSE),"")</f>
        <v/>
      </c>
      <c r="R4" s="47" t="str">
        <f>IFERROR(VLOOKUP(TableHandbook[[#This Row],[UDC]],TableMJRUINAUC[],7,FALSE),"")</f>
        <v/>
      </c>
      <c r="S4" s="47" t="str">
        <f>IFERROR(VLOOKUP(TableHandbook[[#This Row],[UDC]],TableMJRUINTRL[],7,FALSE),"")</f>
        <v/>
      </c>
      <c r="T4" s="47" t="str">
        <f>IFERROR(VLOOKUP(TableHandbook[[#This Row],[UDC]],TableMJRUJAPAN[],7,FALSE),"")</f>
        <v/>
      </c>
      <c r="U4" s="47" t="str">
        <f>IFERROR(VLOOKUP(TableHandbook[[#This Row],[UDC]],TableMJRUJOURN[],7,FALSE),"")</f>
        <v/>
      </c>
      <c r="V4" s="47" t="str">
        <f>IFERROR(VLOOKUP(TableHandbook[[#This Row],[UDC]],TableMJRUKORES[],7,FALSE),"")</f>
        <v/>
      </c>
      <c r="W4" s="47" t="str">
        <f>IFERROR(VLOOKUP(TableHandbook[[#This Row],[UDC]],TableMJRULITCU[],7,FALSE),"")</f>
        <v/>
      </c>
      <c r="X4" s="47" t="str">
        <f>IFERROR(VLOOKUP(TableHandbook[[#This Row],[UDC]],TableMJRUNETCM[],7,FALSE),"")</f>
        <v/>
      </c>
      <c r="Y4" s="47" t="str">
        <f>IFERROR(VLOOKUP(TableHandbook[[#This Row],[UDC]],TableMJRUPRWRP[],7,FALSE),"")</f>
        <v/>
      </c>
      <c r="Z4" s="48" t="str">
        <f>IFERROR(VLOOKUP(TableHandbook[[#This Row],[UDC]],TableMJRUSCSTR[],7,FALSE),"")</f>
        <v/>
      </c>
      <c r="AA4" s="73"/>
      <c r="AB4" s="48" t="str">
        <f>IFERROR(VLOOKUP(TableHandbook[[#This Row],[UDC]],TableMJRUBSLAW[],7,FALSE),"")</f>
        <v/>
      </c>
      <c r="AC4" s="48" t="str">
        <f>IFERROR(VLOOKUP(TableHandbook[[#This Row],[UDC]],TableMJRUECONS[],7,FALSE),"")</f>
        <v/>
      </c>
      <c r="AD4" s="48" t="str">
        <f>IFERROR(VLOOKUP(TableHandbook[[#This Row],[UDC]],TableMJRUFINAR[],7,FALSE),"")</f>
        <v/>
      </c>
      <c r="AE4" s="48" t="str">
        <f>IFERROR(VLOOKUP(TableHandbook[[#This Row],[UDC]],TableMJRUFINCE[],7,FALSE),"")</f>
        <v/>
      </c>
      <c r="AF4" s="48" t="str">
        <f>IFERROR(VLOOKUP(TableHandbook[[#This Row],[UDC]],TableMJRUHRMGM[],7,FALSE),"")</f>
        <v/>
      </c>
      <c r="AG4" s="48" t="str">
        <f>IFERROR(VLOOKUP(TableHandbook[[#This Row],[UDC]],TableMJRUINTBU[],7,FALSE),"")</f>
        <v/>
      </c>
      <c r="AH4" s="48" t="str">
        <f>IFERROR(VLOOKUP(TableHandbook[[#This Row],[UDC]],TableMJRULGSCM[],7,FALSE),"")</f>
        <v/>
      </c>
      <c r="AI4" s="48" t="str">
        <f>IFERROR(VLOOKUP(TableHandbook[[#This Row],[UDC]],TableMJRUMNGMT[],7,FALSE),"")</f>
        <v/>
      </c>
      <c r="AJ4" s="48" t="str">
        <f>IFERROR(VLOOKUP(TableHandbook[[#This Row],[UDC]],TableMJRUMRKTG[],7,FALSE),"")</f>
        <v/>
      </c>
      <c r="AK4" s="48" t="str">
        <f>IFERROR(VLOOKUP(TableHandbook[[#This Row],[UDC]],TableMJRUPRPTY[],7,FALSE),"")</f>
        <v/>
      </c>
      <c r="AL4" s="48" t="str">
        <f>IFERROR(VLOOKUP(TableHandbook[[#This Row],[UDC]],TableMJRUSCRAR[],7,FALSE),"")</f>
        <v/>
      </c>
      <c r="AM4" s="48" t="str">
        <f>IFERROR(VLOOKUP(TableHandbook[[#This Row],[UDC]],TableMJRUTHTRA[],7,FALSE),"")</f>
        <v/>
      </c>
      <c r="AN4" s="48" t="str">
        <f>IFERROR(VLOOKUP(TableHandbook[[#This Row],[UDC]],TableMJRUTRHOS[],7,FALSE),"")</f>
        <v/>
      </c>
      <c r="AO4" s="3"/>
    </row>
    <row r="5" spans="1:41" x14ac:dyDescent="0.25">
      <c r="A5" s="98" t="s">
        <v>299</v>
      </c>
      <c r="B5" s="9"/>
      <c r="C5" s="8"/>
      <c r="D5" s="8" t="s">
        <v>506</v>
      </c>
      <c r="E5" s="9"/>
      <c r="F5" s="49"/>
      <c r="G5" s="67" t="str">
        <f>IFERROR(IF(VLOOKUP(TableHandbook[[#This Row],[UDC]],TableAvailabilities[],2,FALSE)&gt;0,"Y",""),"")</f>
        <v/>
      </c>
      <c r="H5" s="68" t="str">
        <f>IFERROR(IF(VLOOKUP(TableHandbook[[#This Row],[UDC]],TableAvailabilities[],3,FALSE)&gt;0,"Y",""),"")</f>
        <v/>
      </c>
      <c r="I5" s="69" t="str">
        <f>IFERROR(IF(VLOOKUP(TableHandbook[[#This Row],[UDC]],TableAvailabilities[],4,FALSE)&gt;0,"Y",""),"")</f>
        <v/>
      </c>
      <c r="J5" s="70" t="str">
        <f>IFERROR(IF(VLOOKUP(TableHandbook[[#This Row],[UDC]],TableAvailabilities[],5,FALSE)&gt;0,"Y",""),"")</f>
        <v/>
      </c>
      <c r="K5" s="164"/>
      <c r="L5" s="64" t="str">
        <f>IFERROR(VLOOKUP(TableHandbook[[#This Row],[UDC]],TableBARTS[],7,FALSE),"")</f>
        <v/>
      </c>
      <c r="M5" s="65" t="str">
        <f>IFERROR(VLOOKUP(TableHandbook[[#This Row],[UDC]],TableMJRUANTSO[],7,FALSE),"")</f>
        <v/>
      </c>
      <c r="N5" s="47" t="str">
        <f>IFERROR(VLOOKUP(TableHandbook[[#This Row],[UDC]],TableMJRUCHNSE[],7,FALSE),"")</f>
        <v/>
      </c>
      <c r="O5" s="47" t="str">
        <f>IFERROR(VLOOKUP(TableHandbook[[#This Row],[UDC]],TableMJRUCRWRI[],7,FALSE),"")</f>
        <v/>
      </c>
      <c r="P5" s="47" t="str">
        <f>IFERROR(VLOOKUP(TableHandbook[[#This Row],[UDC]],TableMJRUGEOGR[],7,FALSE),"")</f>
        <v/>
      </c>
      <c r="Q5" s="47" t="str">
        <f>IFERROR(VLOOKUP(TableHandbook[[#This Row],[UDC]],TableMJRUHISTR[],7,FALSE),"")</f>
        <v/>
      </c>
      <c r="R5" s="47" t="str">
        <f>IFERROR(VLOOKUP(TableHandbook[[#This Row],[UDC]],TableMJRUINAUC[],7,FALSE),"")</f>
        <v/>
      </c>
      <c r="S5" s="47" t="str">
        <f>IFERROR(VLOOKUP(TableHandbook[[#This Row],[UDC]],TableMJRUINTRL[],7,FALSE),"")</f>
        <v/>
      </c>
      <c r="T5" s="47" t="str">
        <f>IFERROR(VLOOKUP(TableHandbook[[#This Row],[UDC]],TableMJRUJAPAN[],7,FALSE),"")</f>
        <v/>
      </c>
      <c r="U5" s="47" t="str">
        <f>IFERROR(VLOOKUP(TableHandbook[[#This Row],[UDC]],TableMJRUJOURN[],7,FALSE),"")</f>
        <v/>
      </c>
      <c r="V5" s="65" t="str">
        <f>IFERROR(VLOOKUP(TableHandbook[[#This Row],[UDC]],TableMJRUKORES[],7,FALSE),"")</f>
        <v/>
      </c>
      <c r="W5" s="65" t="str">
        <f>IFERROR(VLOOKUP(TableHandbook[[#This Row],[UDC]],TableMJRULITCU[],7,FALSE),"")</f>
        <v/>
      </c>
      <c r="X5" s="65" t="str">
        <f>IFERROR(VLOOKUP(TableHandbook[[#This Row],[UDC]],TableMJRUNETCM[],7,FALSE),"")</f>
        <v/>
      </c>
      <c r="Y5" s="65" t="str">
        <f>IFERROR(VLOOKUP(TableHandbook[[#This Row],[UDC]],TableMJRUPRWRP[],7,FALSE),"")</f>
        <v/>
      </c>
      <c r="Z5" s="65" t="str">
        <f>IFERROR(VLOOKUP(TableHandbook[[#This Row],[UDC]],TableMJRUSCSTR[],7,FALSE),"")</f>
        <v/>
      </c>
      <c r="AA5" s="74"/>
      <c r="AB5" s="66" t="str">
        <f>IFERROR(VLOOKUP(TableHandbook[[#This Row],[UDC]],TableMJRUBSLAW[],7,FALSE),"")</f>
        <v/>
      </c>
      <c r="AC5" s="66" t="str">
        <f>IFERROR(VLOOKUP(TableHandbook[[#This Row],[UDC]],TableMJRUECONS[],7,FALSE),"")</f>
        <v/>
      </c>
      <c r="AD5" s="66" t="str">
        <f>IFERROR(VLOOKUP(TableHandbook[[#This Row],[UDC]],TableMJRUFINAR[],7,FALSE),"")</f>
        <v/>
      </c>
      <c r="AE5" s="66" t="str">
        <f>IFERROR(VLOOKUP(TableHandbook[[#This Row],[UDC]],TableMJRUFINCE[],7,FALSE),"")</f>
        <v/>
      </c>
      <c r="AF5" s="66" t="str">
        <f>IFERROR(VLOOKUP(TableHandbook[[#This Row],[UDC]],TableMJRUHRMGM[],7,FALSE),"")</f>
        <v/>
      </c>
      <c r="AG5" s="66" t="str">
        <f>IFERROR(VLOOKUP(TableHandbook[[#This Row],[UDC]],TableMJRUINTBU[],7,FALSE),"")</f>
        <v/>
      </c>
      <c r="AH5" s="66" t="str">
        <f>IFERROR(VLOOKUP(TableHandbook[[#This Row],[UDC]],TableMJRULGSCM[],7,FALSE),"")</f>
        <v/>
      </c>
      <c r="AI5" s="66" t="str">
        <f>IFERROR(VLOOKUP(TableHandbook[[#This Row],[UDC]],TableMJRUMNGMT[],7,FALSE),"")</f>
        <v/>
      </c>
      <c r="AJ5" s="66" t="str">
        <f>IFERROR(VLOOKUP(TableHandbook[[#This Row],[UDC]],TableMJRUMRKTG[],7,FALSE),"")</f>
        <v/>
      </c>
      <c r="AK5" s="66" t="str">
        <f>IFERROR(VLOOKUP(TableHandbook[[#This Row],[UDC]],TableMJRUPRPTY[],7,FALSE),"")</f>
        <v/>
      </c>
      <c r="AL5" s="66" t="str">
        <f>IFERROR(VLOOKUP(TableHandbook[[#This Row],[UDC]],TableMJRUSCRAR[],7,FALSE),"")</f>
        <v/>
      </c>
      <c r="AM5" s="66" t="str">
        <f>IFERROR(VLOOKUP(TableHandbook[[#This Row],[UDC]],TableMJRUTHTRA[],7,FALSE),"")</f>
        <v/>
      </c>
      <c r="AN5" s="66" t="str">
        <f>IFERROR(VLOOKUP(TableHandbook[[#This Row],[UDC]],TableMJRUTRHOS[],7,FALSE),"")</f>
        <v/>
      </c>
    </row>
    <row r="6" spans="1:41" x14ac:dyDescent="0.25">
      <c r="A6" s="98" t="s">
        <v>507</v>
      </c>
      <c r="B6" s="9"/>
      <c r="C6" s="8"/>
      <c r="D6" s="8" t="s">
        <v>508</v>
      </c>
      <c r="E6" s="9"/>
      <c r="F6" s="49"/>
      <c r="G6" s="67" t="str">
        <f>IFERROR(IF(VLOOKUP(TableHandbook[[#This Row],[UDC]],TableAvailabilities[],2,FALSE)&gt;0,"Y",""),"")</f>
        <v/>
      </c>
      <c r="H6" s="68" t="str">
        <f>IFERROR(IF(VLOOKUP(TableHandbook[[#This Row],[UDC]],TableAvailabilities[],3,FALSE)&gt;0,"Y",""),"")</f>
        <v/>
      </c>
      <c r="I6" s="69" t="str">
        <f>IFERROR(IF(VLOOKUP(TableHandbook[[#This Row],[UDC]],TableAvailabilities[],4,FALSE)&gt;0,"Y",""),"")</f>
        <v/>
      </c>
      <c r="J6" s="70" t="str">
        <f>IFERROR(IF(VLOOKUP(TableHandbook[[#This Row],[UDC]],TableAvailabilities[],5,FALSE)&gt;0,"Y",""),"")</f>
        <v/>
      </c>
      <c r="K6" s="164"/>
      <c r="L6" s="160" t="str">
        <f>IFERROR(VLOOKUP(TableHandbook[[#This Row],[UDC]],TableBARTS[],7,FALSE),"")</f>
        <v/>
      </c>
      <c r="M6" s="65" t="str">
        <f>IFERROR(VLOOKUP(TableHandbook[[#This Row],[UDC]],TableMJRUANTSO[],7,FALSE),"")</f>
        <v/>
      </c>
      <c r="N6" s="47" t="str">
        <f>IFERROR(VLOOKUP(TableHandbook[[#This Row],[UDC]],TableMJRUCHNSE[],7,FALSE),"")</f>
        <v/>
      </c>
      <c r="O6" s="47" t="str">
        <f>IFERROR(VLOOKUP(TableHandbook[[#This Row],[UDC]],TableMJRUCRWRI[],7,FALSE),"")</f>
        <v/>
      </c>
      <c r="P6" s="47" t="str">
        <f>IFERROR(VLOOKUP(TableHandbook[[#This Row],[UDC]],TableMJRUGEOGR[],7,FALSE),"")</f>
        <v/>
      </c>
      <c r="Q6" s="47" t="str">
        <f>IFERROR(VLOOKUP(TableHandbook[[#This Row],[UDC]],TableMJRUHISTR[],7,FALSE),"")</f>
        <v/>
      </c>
      <c r="R6" s="47" t="str">
        <f>IFERROR(VLOOKUP(TableHandbook[[#This Row],[UDC]],TableMJRUINAUC[],7,FALSE),"")</f>
        <v/>
      </c>
      <c r="S6" s="47" t="str">
        <f>IFERROR(VLOOKUP(TableHandbook[[#This Row],[UDC]],TableMJRUINTRL[],7,FALSE),"")</f>
        <v/>
      </c>
      <c r="T6" s="47" t="str">
        <f>IFERROR(VLOOKUP(TableHandbook[[#This Row],[UDC]],TableMJRUJAPAN[],7,FALSE),"")</f>
        <v/>
      </c>
      <c r="U6" s="47" t="str">
        <f>IFERROR(VLOOKUP(TableHandbook[[#This Row],[UDC]],TableMJRUJOURN[],7,FALSE),"")</f>
        <v/>
      </c>
      <c r="V6" s="65" t="str">
        <f>IFERROR(VLOOKUP(TableHandbook[[#This Row],[UDC]],TableMJRUKORES[],7,FALSE),"")</f>
        <v/>
      </c>
      <c r="W6" s="65" t="str">
        <f>IFERROR(VLOOKUP(TableHandbook[[#This Row],[UDC]],TableMJRULITCU[],7,FALSE),"")</f>
        <v/>
      </c>
      <c r="X6" s="65" t="str">
        <f>IFERROR(VLOOKUP(TableHandbook[[#This Row],[UDC]],TableMJRUNETCM[],7,FALSE),"")</f>
        <v/>
      </c>
      <c r="Y6" s="65" t="str">
        <f>IFERROR(VLOOKUP(TableHandbook[[#This Row],[UDC]],TableMJRUPRWRP[],7,FALSE),"")</f>
        <v/>
      </c>
      <c r="Z6" s="65" t="str">
        <f>IFERROR(VLOOKUP(TableHandbook[[#This Row],[UDC]],TableMJRUSCSTR[],7,FALSE),"")</f>
        <v/>
      </c>
      <c r="AA6" s="74"/>
      <c r="AB6" s="66" t="str">
        <f>IFERROR(VLOOKUP(TableHandbook[[#This Row],[UDC]],TableMJRUBSLAW[],7,FALSE),"")</f>
        <v/>
      </c>
      <c r="AC6" s="66" t="str">
        <f>IFERROR(VLOOKUP(TableHandbook[[#This Row],[UDC]],TableMJRUECONS[],7,FALSE),"")</f>
        <v/>
      </c>
      <c r="AD6" s="66" t="str">
        <f>IFERROR(VLOOKUP(TableHandbook[[#This Row],[UDC]],TableMJRUFINAR[],7,FALSE),"")</f>
        <v/>
      </c>
      <c r="AE6" s="66" t="str">
        <f>IFERROR(VLOOKUP(TableHandbook[[#This Row],[UDC]],TableMJRUFINCE[],7,FALSE),"")</f>
        <v/>
      </c>
      <c r="AF6" s="66" t="str">
        <f>IFERROR(VLOOKUP(TableHandbook[[#This Row],[UDC]],TableMJRUHRMGM[],7,FALSE),"")</f>
        <v/>
      </c>
      <c r="AG6" s="66" t="str">
        <f>IFERROR(VLOOKUP(TableHandbook[[#This Row],[UDC]],TableMJRUINTBU[],7,FALSE),"")</f>
        <v/>
      </c>
      <c r="AH6" s="66" t="str">
        <f>IFERROR(VLOOKUP(TableHandbook[[#This Row],[UDC]],TableMJRULGSCM[],7,FALSE),"")</f>
        <v/>
      </c>
      <c r="AI6" s="66" t="str">
        <f>IFERROR(VLOOKUP(TableHandbook[[#This Row],[UDC]],TableMJRUMNGMT[],7,FALSE),"")</f>
        <v/>
      </c>
      <c r="AJ6" s="66" t="str">
        <f>IFERROR(VLOOKUP(TableHandbook[[#This Row],[UDC]],TableMJRUMRKTG[],7,FALSE),"")</f>
        <v/>
      </c>
      <c r="AK6" s="66" t="str">
        <f>IFERROR(VLOOKUP(TableHandbook[[#This Row],[UDC]],TableMJRUPRPTY[],7,FALSE),"")</f>
        <v/>
      </c>
      <c r="AL6" s="66" t="str">
        <f>IFERROR(VLOOKUP(TableHandbook[[#This Row],[UDC]],TableMJRUSCRAR[],7,FALSE),"")</f>
        <v/>
      </c>
      <c r="AM6" s="66" t="str">
        <f>IFERROR(VLOOKUP(TableHandbook[[#This Row],[UDC]],TableMJRUTHTRA[],7,FALSE),"")</f>
        <v/>
      </c>
      <c r="AN6" s="66" t="str">
        <f>IFERROR(VLOOKUP(TableHandbook[[#This Row],[UDC]],TableMJRUTRHOS[],7,FALSE),"")</f>
        <v/>
      </c>
    </row>
    <row r="7" spans="1:41" x14ac:dyDescent="0.25">
      <c r="A7" s="8" t="s">
        <v>442</v>
      </c>
      <c r="B7" s="9">
        <v>0</v>
      </c>
      <c r="C7" s="8"/>
      <c r="D7" s="8" t="s">
        <v>509</v>
      </c>
      <c r="E7" s="9">
        <v>25</v>
      </c>
      <c r="F7" s="49" t="s">
        <v>510</v>
      </c>
      <c r="G7" s="67" t="str">
        <f>IFERROR(IF(VLOOKUP(TableHandbook[[#This Row],[UDC]],TableAvailabilities[],2,FALSE)&gt;0,"Y",""),"")</f>
        <v/>
      </c>
      <c r="H7" s="68" t="str">
        <f>IFERROR(IF(VLOOKUP(TableHandbook[[#This Row],[UDC]],TableAvailabilities[],3,FALSE)&gt;0,"Y",""),"")</f>
        <v/>
      </c>
      <c r="I7" s="69" t="str">
        <f>IFERROR(IF(VLOOKUP(TableHandbook[[#This Row],[UDC]],TableAvailabilities[],4,FALSE)&gt;0,"Y",""),"")</f>
        <v/>
      </c>
      <c r="J7" s="70" t="str">
        <f>IFERROR(IF(VLOOKUP(TableHandbook[[#This Row],[UDC]],TableAvailabilities[],5,FALSE)&gt;0,"Y",""),"")</f>
        <v/>
      </c>
      <c r="K7" s="163"/>
      <c r="L7" s="64" t="str">
        <f>IFERROR(VLOOKUP(TableHandbook[[#This Row],[UDC]],TableBARTS[],7,FALSE),"")</f>
        <v/>
      </c>
      <c r="M7" s="65" t="str">
        <f>IFERROR(VLOOKUP(TableHandbook[[#This Row],[UDC]],TableMJRUANTSO[],7,FALSE),"")</f>
        <v/>
      </c>
      <c r="N7" s="65" t="str">
        <f>IFERROR(VLOOKUP(TableHandbook[[#This Row],[UDC]],TableMJRUCHNSE[],7,FALSE),"")</f>
        <v/>
      </c>
      <c r="O7" s="65" t="str">
        <f>IFERROR(VLOOKUP(TableHandbook[[#This Row],[UDC]],TableMJRUCRWRI[],7,FALSE),"")</f>
        <v/>
      </c>
      <c r="P7" s="65" t="str">
        <f>IFERROR(VLOOKUP(TableHandbook[[#This Row],[UDC]],TableMJRUGEOGR[],7,FALSE),"")</f>
        <v/>
      </c>
      <c r="Q7" s="65" t="str">
        <f>IFERROR(VLOOKUP(TableHandbook[[#This Row],[UDC]],TableMJRUHISTR[],7,FALSE),"")</f>
        <v/>
      </c>
      <c r="R7" s="65" t="str">
        <f>IFERROR(VLOOKUP(TableHandbook[[#This Row],[UDC]],TableMJRUINAUC[],7,FALSE),"")</f>
        <v/>
      </c>
      <c r="S7" s="65" t="str">
        <f>IFERROR(VLOOKUP(TableHandbook[[#This Row],[UDC]],TableMJRUINTRL[],7,FALSE),"")</f>
        <v/>
      </c>
      <c r="T7" s="65" t="str">
        <f>IFERROR(VLOOKUP(TableHandbook[[#This Row],[UDC]],TableMJRUJAPAN[],7,FALSE),"")</f>
        <v/>
      </c>
      <c r="U7" s="65" t="str">
        <f>IFERROR(VLOOKUP(TableHandbook[[#This Row],[UDC]],TableMJRUJOURN[],7,FALSE),"")</f>
        <v/>
      </c>
      <c r="V7" s="65" t="str">
        <f>IFERROR(VLOOKUP(TableHandbook[[#This Row],[UDC]],TableMJRUKORES[],7,FALSE),"")</f>
        <v/>
      </c>
      <c r="W7" s="65" t="str">
        <f>IFERROR(VLOOKUP(TableHandbook[[#This Row],[UDC]],TableMJRULITCU[],7,FALSE),"")</f>
        <v/>
      </c>
      <c r="X7" s="65" t="str">
        <f>IFERROR(VLOOKUP(TableHandbook[[#This Row],[UDC]],TableMJRUNETCM[],7,FALSE),"")</f>
        <v/>
      </c>
      <c r="Y7" s="65" t="str">
        <f>IFERROR(VLOOKUP(TableHandbook[[#This Row],[UDC]],TableMJRUPRWRP[],7,FALSE),"")</f>
        <v/>
      </c>
      <c r="Z7" s="66" t="str">
        <f>IFERROR(VLOOKUP(TableHandbook[[#This Row],[UDC]],TableMJRUSCSTR[],7,FALSE),"")</f>
        <v/>
      </c>
      <c r="AA7" s="74"/>
      <c r="AB7" s="66" t="str">
        <f>IFERROR(VLOOKUP(TableHandbook[[#This Row],[UDC]],TableMJRUBSLAW[],7,FALSE),"")</f>
        <v>AltCore</v>
      </c>
      <c r="AC7" s="66" t="str">
        <f>IFERROR(VLOOKUP(TableHandbook[[#This Row],[UDC]],TableMJRUECONS[],7,FALSE),"")</f>
        <v/>
      </c>
      <c r="AD7" s="66" t="str">
        <f>IFERROR(VLOOKUP(TableHandbook[[#This Row],[UDC]],TableMJRUFINAR[],7,FALSE),"")</f>
        <v/>
      </c>
      <c r="AE7" s="66" t="str">
        <f>IFERROR(VLOOKUP(TableHandbook[[#This Row],[UDC]],TableMJRUFINCE[],7,FALSE),"")</f>
        <v/>
      </c>
      <c r="AF7" s="66" t="str">
        <f>IFERROR(VLOOKUP(TableHandbook[[#This Row],[UDC]],TableMJRUHRMGM[],7,FALSE),"")</f>
        <v/>
      </c>
      <c r="AG7" s="66" t="str">
        <f>IFERROR(VLOOKUP(TableHandbook[[#This Row],[UDC]],TableMJRUINTBU[],7,FALSE),"")</f>
        <v/>
      </c>
      <c r="AH7" s="66" t="str">
        <f>IFERROR(VLOOKUP(TableHandbook[[#This Row],[UDC]],TableMJRULGSCM[],7,FALSE),"")</f>
        <v/>
      </c>
      <c r="AI7" s="66" t="str">
        <f>IFERROR(VLOOKUP(TableHandbook[[#This Row],[UDC]],TableMJRUMNGMT[],7,FALSE),"")</f>
        <v/>
      </c>
      <c r="AJ7" s="66" t="str">
        <f>IFERROR(VLOOKUP(TableHandbook[[#This Row],[UDC]],TableMJRUMRKTG[],7,FALSE),"")</f>
        <v/>
      </c>
      <c r="AK7" s="66" t="str">
        <f>IFERROR(VLOOKUP(TableHandbook[[#This Row],[UDC]],TableMJRUPRPTY[],7,FALSE),"")</f>
        <v/>
      </c>
      <c r="AL7" s="66" t="str">
        <f>IFERROR(VLOOKUP(TableHandbook[[#This Row],[UDC]],TableMJRUSCRAR[],7,FALSE),"")</f>
        <v/>
      </c>
      <c r="AM7" s="66" t="str">
        <f>IFERROR(VLOOKUP(TableHandbook[[#This Row],[UDC]],TableMJRUTHTRA[],7,FALSE),"")</f>
        <v/>
      </c>
      <c r="AN7" s="66" t="str">
        <f>IFERROR(VLOOKUP(TableHandbook[[#This Row],[UDC]],TableMJRUTRHOS[],7,FALSE),"")</f>
        <v/>
      </c>
    </row>
    <row r="8" spans="1:41" x14ac:dyDescent="0.25">
      <c r="A8" s="8" t="s">
        <v>438</v>
      </c>
      <c r="B8" s="9">
        <v>0</v>
      </c>
      <c r="C8" s="8"/>
      <c r="D8" s="8" t="s">
        <v>511</v>
      </c>
      <c r="E8" s="9">
        <v>25</v>
      </c>
      <c r="F8" s="49" t="s">
        <v>510</v>
      </c>
      <c r="G8" s="67" t="str">
        <f>IFERROR(IF(VLOOKUP(TableHandbook[[#This Row],[UDC]],TableAvailabilities[],2,FALSE)&gt;0,"Y",""),"")</f>
        <v/>
      </c>
      <c r="H8" s="68" t="str">
        <f>IFERROR(IF(VLOOKUP(TableHandbook[[#This Row],[UDC]],TableAvailabilities[],3,FALSE)&gt;0,"Y",""),"")</f>
        <v/>
      </c>
      <c r="I8" s="69" t="str">
        <f>IFERROR(IF(VLOOKUP(TableHandbook[[#This Row],[UDC]],TableAvailabilities[],4,FALSE)&gt;0,"Y",""),"")</f>
        <v/>
      </c>
      <c r="J8" s="70" t="str">
        <f>IFERROR(IF(VLOOKUP(TableHandbook[[#This Row],[UDC]],TableAvailabilities[],5,FALSE)&gt;0,"Y",""),"")</f>
        <v/>
      </c>
      <c r="K8" s="163"/>
      <c r="L8" s="64" t="str">
        <f>IFERROR(VLOOKUP(TableHandbook[[#This Row],[UDC]],TableBARTS[],7,FALSE),"")</f>
        <v/>
      </c>
      <c r="M8" s="65" t="str">
        <f>IFERROR(VLOOKUP(TableHandbook[[#This Row],[UDC]],TableMJRUANTSO[],7,FALSE),"")</f>
        <v/>
      </c>
      <c r="N8" s="65" t="str">
        <f>IFERROR(VLOOKUP(TableHandbook[[#This Row],[UDC]],TableMJRUCHNSE[],7,FALSE),"")</f>
        <v/>
      </c>
      <c r="O8" s="65" t="str">
        <f>IFERROR(VLOOKUP(TableHandbook[[#This Row],[UDC]],TableMJRUCRWRI[],7,FALSE),"")</f>
        <v/>
      </c>
      <c r="P8" s="65" t="str">
        <f>IFERROR(VLOOKUP(TableHandbook[[#This Row],[UDC]],TableMJRUGEOGR[],7,FALSE),"")</f>
        <v/>
      </c>
      <c r="Q8" s="65" t="str">
        <f>IFERROR(VLOOKUP(TableHandbook[[#This Row],[UDC]],TableMJRUHISTR[],7,FALSE),"")</f>
        <v/>
      </c>
      <c r="R8" s="65" t="str">
        <f>IFERROR(VLOOKUP(TableHandbook[[#This Row],[UDC]],TableMJRUINAUC[],7,FALSE),"")</f>
        <v/>
      </c>
      <c r="S8" s="65" t="str">
        <f>IFERROR(VLOOKUP(TableHandbook[[#This Row],[UDC]],TableMJRUINTRL[],7,FALSE),"")</f>
        <v/>
      </c>
      <c r="T8" s="65" t="str">
        <f>IFERROR(VLOOKUP(TableHandbook[[#This Row],[UDC]],TableMJRUJAPAN[],7,FALSE),"")</f>
        <v/>
      </c>
      <c r="U8" s="65" t="str">
        <f>IFERROR(VLOOKUP(TableHandbook[[#This Row],[UDC]],TableMJRUJOURN[],7,FALSE),"")</f>
        <v/>
      </c>
      <c r="V8" s="65" t="str">
        <f>IFERROR(VLOOKUP(TableHandbook[[#This Row],[UDC]],TableMJRUKORES[],7,FALSE),"")</f>
        <v/>
      </c>
      <c r="W8" s="65" t="str">
        <f>IFERROR(VLOOKUP(TableHandbook[[#This Row],[UDC]],TableMJRULITCU[],7,FALSE),"")</f>
        <v/>
      </c>
      <c r="X8" s="65" t="str">
        <f>IFERROR(VLOOKUP(TableHandbook[[#This Row],[UDC]],TableMJRUNETCM[],7,FALSE),"")</f>
        <v/>
      </c>
      <c r="Y8" s="65" t="str">
        <f>IFERROR(VLOOKUP(TableHandbook[[#This Row],[UDC]],TableMJRUPRWRP[],7,FALSE),"")</f>
        <v/>
      </c>
      <c r="Z8" s="66" t="str">
        <f>IFERROR(VLOOKUP(TableHandbook[[#This Row],[UDC]],TableMJRUSCSTR[],7,FALSE),"")</f>
        <v/>
      </c>
      <c r="AA8" s="74"/>
      <c r="AB8" s="66" t="str">
        <f>IFERROR(VLOOKUP(TableHandbook[[#This Row],[UDC]],TableMJRUBSLAW[],7,FALSE),"")</f>
        <v/>
      </c>
      <c r="AC8" s="66" t="str">
        <f>IFERROR(VLOOKUP(TableHandbook[[#This Row],[UDC]],TableMJRUECONS[],7,FALSE),"")</f>
        <v>AltCore</v>
      </c>
      <c r="AD8" s="66" t="str">
        <f>IFERROR(VLOOKUP(TableHandbook[[#This Row],[UDC]],TableMJRUFINAR[],7,FALSE),"")</f>
        <v/>
      </c>
      <c r="AE8" s="66" t="str">
        <f>IFERROR(VLOOKUP(TableHandbook[[#This Row],[UDC]],TableMJRUFINCE[],7,FALSE),"")</f>
        <v/>
      </c>
      <c r="AF8" s="66" t="str">
        <f>IFERROR(VLOOKUP(TableHandbook[[#This Row],[UDC]],TableMJRUHRMGM[],7,FALSE),"")</f>
        <v/>
      </c>
      <c r="AG8" s="66" t="str">
        <f>IFERROR(VLOOKUP(TableHandbook[[#This Row],[UDC]],TableMJRUINTBU[],7,FALSE),"")</f>
        <v/>
      </c>
      <c r="AH8" s="66" t="str">
        <f>IFERROR(VLOOKUP(TableHandbook[[#This Row],[UDC]],TableMJRULGSCM[],7,FALSE),"")</f>
        <v/>
      </c>
      <c r="AI8" s="66" t="str">
        <f>IFERROR(VLOOKUP(TableHandbook[[#This Row],[UDC]],TableMJRUMNGMT[],7,FALSE),"")</f>
        <v/>
      </c>
      <c r="AJ8" s="66" t="str">
        <f>IFERROR(VLOOKUP(TableHandbook[[#This Row],[UDC]],TableMJRUMRKTG[],7,FALSE),"")</f>
        <v/>
      </c>
      <c r="AK8" s="66" t="str">
        <f>IFERROR(VLOOKUP(TableHandbook[[#This Row],[UDC]],TableMJRUPRPTY[],7,FALSE),"")</f>
        <v/>
      </c>
      <c r="AL8" s="66" t="str">
        <f>IFERROR(VLOOKUP(TableHandbook[[#This Row],[UDC]],TableMJRUSCRAR[],7,FALSE),"")</f>
        <v/>
      </c>
      <c r="AM8" s="66" t="str">
        <f>IFERROR(VLOOKUP(TableHandbook[[#This Row],[UDC]],TableMJRUTHTRA[],7,FALSE),"")</f>
        <v/>
      </c>
      <c r="AN8" s="66" t="str">
        <f>IFERROR(VLOOKUP(TableHandbook[[#This Row],[UDC]],TableMJRUTRHOS[],7,FALSE),"")</f>
        <v/>
      </c>
    </row>
    <row r="9" spans="1:41" x14ac:dyDescent="0.25">
      <c r="A9" s="8" t="s">
        <v>461</v>
      </c>
      <c r="B9" s="9">
        <v>0</v>
      </c>
      <c r="C9" s="8"/>
      <c r="D9" s="8" t="s">
        <v>512</v>
      </c>
      <c r="E9" s="9">
        <v>25</v>
      </c>
      <c r="F9" s="49" t="s">
        <v>510</v>
      </c>
      <c r="G9" s="67" t="str">
        <f>IFERROR(IF(VLOOKUP(TableHandbook[[#This Row],[UDC]],TableAvailabilities[],2,FALSE)&gt;0,"Y",""),"")</f>
        <v/>
      </c>
      <c r="H9" s="68" t="str">
        <f>IFERROR(IF(VLOOKUP(TableHandbook[[#This Row],[UDC]],TableAvailabilities[],3,FALSE)&gt;0,"Y",""),"")</f>
        <v/>
      </c>
      <c r="I9" s="69" t="str">
        <f>IFERROR(IF(VLOOKUP(TableHandbook[[#This Row],[UDC]],TableAvailabilities[],4,FALSE)&gt;0,"Y",""),"")</f>
        <v/>
      </c>
      <c r="J9" s="70" t="str">
        <f>IFERROR(IF(VLOOKUP(TableHandbook[[#This Row],[UDC]],TableAvailabilities[],5,FALSE)&gt;0,"Y",""),"")</f>
        <v/>
      </c>
      <c r="K9" s="163"/>
      <c r="L9" s="64" t="str">
        <f>IFERROR(VLOOKUP(TableHandbook[[#This Row],[UDC]],TableBARTS[],7,FALSE),"")</f>
        <v/>
      </c>
      <c r="M9" s="65" t="str">
        <f>IFERROR(VLOOKUP(TableHandbook[[#This Row],[UDC]],TableMJRUANTSO[],7,FALSE),"")</f>
        <v/>
      </c>
      <c r="N9" s="65" t="str">
        <f>IFERROR(VLOOKUP(TableHandbook[[#This Row],[UDC]],TableMJRUCHNSE[],7,FALSE),"")</f>
        <v/>
      </c>
      <c r="O9" s="65" t="str">
        <f>IFERROR(VLOOKUP(TableHandbook[[#This Row],[UDC]],TableMJRUCRWRI[],7,FALSE),"")</f>
        <v/>
      </c>
      <c r="P9" s="65" t="str">
        <f>IFERROR(VLOOKUP(TableHandbook[[#This Row],[UDC]],TableMJRUGEOGR[],7,FALSE),"")</f>
        <v/>
      </c>
      <c r="Q9" s="65" t="str">
        <f>IFERROR(VLOOKUP(TableHandbook[[#This Row],[UDC]],TableMJRUHISTR[],7,FALSE),"")</f>
        <v/>
      </c>
      <c r="R9" s="65" t="str">
        <f>IFERROR(VLOOKUP(TableHandbook[[#This Row],[UDC]],TableMJRUINAUC[],7,FALSE),"")</f>
        <v/>
      </c>
      <c r="S9" s="65" t="str">
        <f>IFERROR(VLOOKUP(TableHandbook[[#This Row],[UDC]],TableMJRUINTRL[],7,FALSE),"")</f>
        <v/>
      </c>
      <c r="T9" s="65" t="str">
        <f>IFERROR(VLOOKUP(TableHandbook[[#This Row],[UDC]],TableMJRUJAPAN[],7,FALSE),"")</f>
        <v/>
      </c>
      <c r="U9" s="65" t="str">
        <f>IFERROR(VLOOKUP(TableHandbook[[#This Row],[UDC]],TableMJRUJOURN[],7,FALSE),"")</f>
        <v/>
      </c>
      <c r="V9" s="65" t="str">
        <f>IFERROR(VLOOKUP(TableHandbook[[#This Row],[UDC]],TableMJRUKORES[],7,FALSE),"")</f>
        <v/>
      </c>
      <c r="W9" s="65" t="str">
        <f>IFERROR(VLOOKUP(TableHandbook[[#This Row],[UDC]],TableMJRULITCU[],7,FALSE),"")</f>
        <v/>
      </c>
      <c r="X9" s="65" t="str">
        <f>IFERROR(VLOOKUP(TableHandbook[[#This Row],[UDC]],TableMJRUNETCM[],7,FALSE),"")</f>
        <v/>
      </c>
      <c r="Y9" s="65" t="str">
        <f>IFERROR(VLOOKUP(TableHandbook[[#This Row],[UDC]],TableMJRUPRWRP[],7,FALSE),"")</f>
        <v/>
      </c>
      <c r="Z9" s="66" t="str">
        <f>IFERROR(VLOOKUP(TableHandbook[[#This Row],[UDC]],TableMJRUSCSTR[],7,FALSE),"")</f>
        <v/>
      </c>
      <c r="AA9" s="74"/>
      <c r="AB9" s="66" t="str">
        <f>IFERROR(VLOOKUP(TableHandbook[[#This Row],[UDC]],TableMJRUBSLAW[],7,FALSE),"")</f>
        <v/>
      </c>
      <c r="AC9" s="66" t="str">
        <f>IFERROR(VLOOKUP(TableHandbook[[#This Row],[UDC]],TableMJRUECONS[],7,FALSE),"")</f>
        <v>AltCore</v>
      </c>
      <c r="AD9" s="66" t="str">
        <f>IFERROR(VLOOKUP(TableHandbook[[#This Row],[UDC]],TableMJRUFINAR[],7,FALSE),"")</f>
        <v/>
      </c>
      <c r="AE9" s="66" t="str">
        <f>IFERROR(VLOOKUP(TableHandbook[[#This Row],[UDC]],TableMJRUFINCE[],7,FALSE),"")</f>
        <v/>
      </c>
      <c r="AF9" s="66" t="str">
        <f>IFERROR(VLOOKUP(TableHandbook[[#This Row],[UDC]],TableMJRUHRMGM[],7,FALSE),"")</f>
        <v/>
      </c>
      <c r="AG9" s="66" t="str">
        <f>IFERROR(VLOOKUP(TableHandbook[[#This Row],[UDC]],TableMJRUINTBU[],7,FALSE),"")</f>
        <v/>
      </c>
      <c r="AH9" s="66" t="str">
        <f>IFERROR(VLOOKUP(TableHandbook[[#This Row],[UDC]],TableMJRULGSCM[],7,FALSE),"")</f>
        <v/>
      </c>
      <c r="AI9" s="66" t="str">
        <f>IFERROR(VLOOKUP(TableHandbook[[#This Row],[UDC]],TableMJRUMNGMT[],7,FALSE),"")</f>
        <v/>
      </c>
      <c r="AJ9" s="66" t="str">
        <f>IFERROR(VLOOKUP(TableHandbook[[#This Row],[UDC]],TableMJRUMRKTG[],7,FALSE),"")</f>
        <v/>
      </c>
      <c r="AK9" s="66" t="str">
        <f>IFERROR(VLOOKUP(TableHandbook[[#This Row],[UDC]],TableMJRUPRPTY[],7,FALSE),"")</f>
        <v/>
      </c>
      <c r="AL9" s="66" t="str">
        <f>IFERROR(VLOOKUP(TableHandbook[[#This Row],[UDC]],TableMJRUSCRAR[],7,FALSE),"")</f>
        <v/>
      </c>
      <c r="AM9" s="66" t="str">
        <f>IFERROR(VLOOKUP(TableHandbook[[#This Row],[UDC]],TableMJRUTHTRA[],7,FALSE),"")</f>
        <v/>
      </c>
      <c r="AN9" s="66" t="str">
        <f>IFERROR(VLOOKUP(TableHandbook[[#This Row],[UDC]],TableMJRUTRHOS[],7,FALSE),"")</f>
        <v/>
      </c>
    </row>
    <row r="10" spans="1:41" x14ac:dyDescent="0.25">
      <c r="A10" s="8" t="s">
        <v>418</v>
      </c>
      <c r="B10" s="9">
        <v>0</v>
      </c>
      <c r="C10" s="8"/>
      <c r="D10" s="8" t="s">
        <v>513</v>
      </c>
      <c r="E10" s="9">
        <v>25</v>
      </c>
      <c r="F10" s="49" t="s">
        <v>510</v>
      </c>
      <c r="G10" s="67" t="str">
        <f>IFERROR(IF(VLOOKUP(TableHandbook[[#This Row],[UDC]],TableAvailabilities[],2,FALSE)&gt;0,"Y",""),"")</f>
        <v/>
      </c>
      <c r="H10" s="68" t="str">
        <f>IFERROR(IF(VLOOKUP(TableHandbook[[#This Row],[UDC]],TableAvailabilities[],3,FALSE)&gt;0,"Y",""),"")</f>
        <v/>
      </c>
      <c r="I10" s="69" t="str">
        <f>IFERROR(IF(VLOOKUP(TableHandbook[[#This Row],[UDC]],TableAvailabilities[],4,FALSE)&gt;0,"Y",""),"")</f>
        <v/>
      </c>
      <c r="J10" s="70" t="str">
        <f>IFERROR(IF(VLOOKUP(TableHandbook[[#This Row],[UDC]],TableAvailabilities[],5,FALSE)&gt;0,"Y",""),"")</f>
        <v/>
      </c>
      <c r="K10" s="163"/>
      <c r="L10" s="64" t="str">
        <f>IFERROR(VLOOKUP(TableHandbook[[#This Row],[UDC]],TableBARTS[],7,FALSE),"")</f>
        <v/>
      </c>
      <c r="M10" s="65" t="str">
        <f>IFERROR(VLOOKUP(TableHandbook[[#This Row],[UDC]],TableMJRUANTSO[],7,FALSE),"")</f>
        <v/>
      </c>
      <c r="N10" s="65" t="str">
        <f>IFERROR(VLOOKUP(TableHandbook[[#This Row],[UDC]],TableMJRUCHNSE[],7,FALSE),"")</f>
        <v/>
      </c>
      <c r="O10" s="65" t="str">
        <f>IFERROR(VLOOKUP(TableHandbook[[#This Row],[UDC]],TableMJRUCRWRI[],7,FALSE),"")</f>
        <v/>
      </c>
      <c r="P10" s="65" t="str">
        <f>IFERROR(VLOOKUP(TableHandbook[[#This Row],[UDC]],TableMJRUGEOGR[],7,FALSE),"")</f>
        <v/>
      </c>
      <c r="Q10" s="65" t="str">
        <f>IFERROR(VLOOKUP(TableHandbook[[#This Row],[UDC]],TableMJRUHISTR[],7,FALSE),"")</f>
        <v/>
      </c>
      <c r="R10" s="65" t="str">
        <f>IFERROR(VLOOKUP(TableHandbook[[#This Row],[UDC]],TableMJRUINAUC[],7,FALSE),"")</f>
        <v/>
      </c>
      <c r="S10" s="65" t="str">
        <f>IFERROR(VLOOKUP(TableHandbook[[#This Row],[UDC]],TableMJRUINTRL[],7,FALSE),"")</f>
        <v/>
      </c>
      <c r="T10" s="65" t="str">
        <f>IFERROR(VLOOKUP(TableHandbook[[#This Row],[UDC]],TableMJRUJAPAN[],7,FALSE),"")</f>
        <v/>
      </c>
      <c r="U10" s="65" t="str">
        <f>IFERROR(VLOOKUP(TableHandbook[[#This Row],[UDC]],TableMJRUJOURN[],7,FALSE),"")</f>
        <v/>
      </c>
      <c r="V10" s="65" t="str">
        <f>IFERROR(VLOOKUP(TableHandbook[[#This Row],[UDC]],TableMJRUKORES[],7,FALSE),"")</f>
        <v/>
      </c>
      <c r="W10" s="65" t="str">
        <f>IFERROR(VLOOKUP(TableHandbook[[#This Row],[UDC]],TableMJRULITCU[],7,FALSE),"")</f>
        <v/>
      </c>
      <c r="X10" s="65" t="str">
        <f>IFERROR(VLOOKUP(TableHandbook[[#This Row],[UDC]],TableMJRUNETCM[],7,FALSE),"")</f>
        <v/>
      </c>
      <c r="Y10" s="65" t="str">
        <f>IFERROR(VLOOKUP(TableHandbook[[#This Row],[UDC]],TableMJRUPRWRP[],7,FALSE),"")</f>
        <v/>
      </c>
      <c r="Z10" s="66" t="str">
        <f>IFERROR(VLOOKUP(TableHandbook[[#This Row],[UDC]],TableMJRUSCSTR[],7,FALSE),"")</f>
        <v/>
      </c>
      <c r="AA10" s="74"/>
      <c r="AB10" s="66" t="str">
        <f>IFERROR(VLOOKUP(TableHandbook[[#This Row],[UDC]],TableMJRUBSLAW[],7,FALSE),"")</f>
        <v/>
      </c>
      <c r="AC10" s="66" t="str">
        <f>IFERROR(VLOOKUP(TableHandbook[[#This Row],[UDC]],TableMJRUECONS[],7,FALSE),"")</f>
        <v/>
      </c>
      <c r="AD10" s="66" t="str">
        <f>IFERROR(VLOOKUP(TableHandbook[[#This Row],[UDC]],TableMJRUFINAR[],7,FALSE),"")</f>
        <v/>
      </c>
      <c r="AE10" s="66" t="str">
        <f>IFERROR(VLOOKUP(TableHandbook[[#This Row],[UDC]],TableMJRUFINCE[],7,FALSE),"")</f>
        <v>AltCore</v>
      </c>
      <c r="AF10" s="66" t="str">
        <f>IFERROR(VLOOKUP(TableHandbook[[#This Row],[UDC]],TableMJRUHRMGM[],7,FALSE),"")</f>
        <v/>
      </c>
      <c r="AG10" s="66" t="str">
        <f>IFERROR(VLOOKUP(TableHandbook[[#This Row],[UDC]],TableMJRUINTBU[],7,FALSE),"")</f>
        <v/>
      </c>
      <c r="AH10" s="66" t="str">
        <f>IFERROR(VLOOKUP(TableHandbook[[#This Row],[UDC]],TableMJRULGSCM[],7,FALSE),"")</f>
        <v/>
      </c>
      <c r="AI10" s="66" t="str">
        <f>IFERROR(VLOOKUP(TableHandbook[[#This Row],[UDC]],TableMJRUMNGMT[],7,FALSE),"")</f>
        <v/>
      </c>
      <c r="AJ10" s="66" t="str">
        <f>IFERROR(VLOOKUP(TableHandbook[[#This Row],[UDC]],TableMJRUMRKTG[],7,FALSE),"")</f>
        <v/>
      </c>
      <c r="AK10" s="66" t="str">
        <f>IFERROR(VLOOKUP(TableHandbook[[#This Row],[UDC]],TableMJRUPRPTY[],7,FALSE),"")</f>
        <v/>
      </c>
      <c r="AL10" s="66" t="str">
        <f>IFERROR(VLOOKUP(TableHandbook[[#This Row],[UDC]],TableMJRUSCRAR[],7,FALSE),"")</f>
        <v/>
      </c>
      <c r="AM10" s="66" t="str">
        <f>IFERROR(VLOOKUP(TableHandbook[[#This Row],[UDC]],TableMJRUTHTRA[],7,FALSE),"")</f>
        <v/>
      </c>
      <c r="AN10" s="66" t="str">
        <f>IFERROR(VLOOKUP(TableHandbook[[#This Row],[UDC]],TableMJRUTRHOS[],7,FALSE),"")</f>
        <v/>
      </c>
    </row>
    <row r="11" spans="1:41" x14ac:dyDescent="0.25">
      <c r="A11" s="8" t="s">
        <v>514</v>
      </c>
      <c r="B11" s="9">
        <v>0</v>
      </c>
      <c r="C11" s="8"/>
      <c r="D11" s="8" t="s">
        <v>515</v>
      </c>
      <c r="E11" s="9">
        <v>25</v>
      </c>
      <c r="F11" s="49" t="s">
        <v>510</v>
      </c>
      <c r="G11" s="67" t="str">
        <f>IFERROR(IF(VLOOKUP(TableHandbook[[#This Row],[UDC]],TableAvailabilities[],2,FALSE)&gt;0,"Y",""),"")</f>
        <v/>
      </c>
      <c r="H11" s="68" t="str">
        <f>IFERROR(IF(VLOOKUP(TableHandbook[[#This Row],[UDC]],TableAvailabilities[],3,FALSE)&gt;0,"Y",""),"")</f>
        <v/>
      </c>
      <c r="I11" s="69" t="str">
        <f>IFERROR(IF(VLOOKUP(TableHandbook[[#This Row],[UDC]],TableAvailabilities[],4,FALSE)&gt;0,"Y",""),"")</f>
        <v/>
      </c>
      <c r="J11" s="70" t="str">
        <f>IFERROR(IF(VLOOKUP(TableHandbook[[#This Row],[UDC]],TableAvailabilities[],5,FALSE)&gt;0,"Y",""),"")</f>
        <v/>
      </c>
      <c r="K11" s="163"/>
      <c r="L11" s="64" t="str">
        <f>IFERROR(VLOOKUP(TableHandbook[[#This Row],[UDC]],TableBARTS[],7,FALSE),"")</f>
        <v/>
      </c>
      <c r="M11" s="65" t="str">
        <f>IFERROR(VLOOKUP(TableHandbook[[#This Row],[UDC]],TableMJRUANTSO[],7,FALSE),"")</f>
        <v/>
      </c>
      <c r="N11" s="65" t="str">
        <f>IFERROR(VLOOKUP(TableHandbook[[#This Row],[UDC]],TableMJRUCHNSE[],7,FALSE),"")</f>
        <v/>
      </c>
      <c r="O11" s="65" t="str">
        <f>IFERROR(VLOOKUP(TableHandbook[[#This Row],[UDC]],TableMJRUCRWRI[],7,FALSE),"")</f>
        <v/>
      </c>
      <c r="P11" s="65" t="str">
        <f>IFERROR(VLOOKUP(TableHandbook[[#This Row],[UDC]],TableMJRUGEOGR[],7,FALSE),"")</f>
        <v/>
      </c>
      <c r="Q11" s="65" t="str">
        <f>IFERROR(VLOOKUP(TableHandbook[[#This Row],[UDC]],TableMJRUHISTR[],7,FALSE),"")</f>
        <v/>
      </c>
      <c r="R11" s="65" t="str">
        <f>IFERROR(VLOOKUP(TableHandbook[[#This Row],[UDC]],TableMJRUINAUC[],7,FALSE),"")</f>
        <v/>
      </c>
      <c r="S11" s="65" t="str">
        <f>IFERROR(VLOOKUP(TableHandbook[[#This Row],[UDC]],TableMJRUINTRL[],7,FALSE),"")</f>
        <v/>
      </c>
      <c r="T11" s="65" t="str">
        <f>IFERROR(VLOOKUP(TableHandbook[[#This Row],[UDC]],TableMJRUJAPAN[],7,FALSE),"")</f>
        <v/>
      </c>
      <c r="U11" s="65" t="str">
        <f>IFERROR(VLOOKUP(TableHandbook[[#This Row],[UDC]],TableMJRUJOURN[],7,FALSE),"")</f>
        <v/>
      </c>
      <c r="V11" s="65" t="str">
        <f>IFERROR(VLOOKUP(TableHandbook[[#This Row],[UDC]],TableMJRUKORES[],7,FALSE),"")</f>
        <v/>
      </c>
      <c r="W11" s="65" t="str">
        <f>IFERROR(VLOOKUP(TableHandbook[[#This Row],[UDC]],TableMJRULITCU[],7,FALSE),"")</f>
        <v/>
      </c>
      <c r="X11" s="65" t="str">
        <f>IFERROR(VLOOKUP(TableHandbook[[#This Row],[UDC]],TableMJRUNETCM[],7,FALSE),"")</f>
        <v/>
      </c>
      <c r="Y11" s="65" t="str">
        <f>IFERROR(VLOOKUP(TableHandbook[[#This Row],[UDC]],TableMJRUPRWRP[],7,FALSE),"")</f>
        <v/>
      </c>
      <c r="Z11" s="66" t="str">
        <f>IFERROR(VLOOKUP(TableHandbook[[#This Row],[UDC]],TableMJRUSCSTR[],7,FALSE),"")</f>
        <v/>
      </c>
      <c r="AA11" s="74"/>
      <c r="AB11" s="66" t="str">
        <f>IFERROR(VLOOKUP(TableHandbook[[#This Row],[UDC]],TableMJRUBSLAW[],7,FALSE),"")</f>
        <v/>
      </c>
      <c r="AC11" s="66" t="str">
        <f>IFERROR(VLOOKUP(TableHandbook[[#This Row],[UDC]],TableMJRUECONS[],7,FALSE),"")</f>
        <v/>
      </c>
      <c r="AD11" s="66" t="str">
        <f>IFERROR(VLOOKUP(TableHandbook[[#This Row],[UDC]],TableMJRUFINAR[],7,FALSE),"")</f>
        <v/>
      </c>
      <c r="AE11" s="66" t="str">
        <f>IFERROR(VLOOKUP(TableHandbook[[#This Row],[UDC]],TableMJRUFINCE[],7,FALSE),"")</f>
        <v/>
      </c>
      <c r="AF11" s="66" t="str">
        <f>IFERROR(VLOOKUP(TableHandbook[[#This Row],[UDC]],TableMJRUHRMGM[],7,FALSE),"")</f>
        <v>AltCore</v>
      </c>
      <c r="AG11" s="66" t="str">
        <f>IFERROR(VLOOKUP(TableHandbook[[#This Row],[UDC]],TableMJRUINTBU[],7,FALSE),"")</f>
        <v/>
      </c>
      <c r="AH11" s="66" t="str">
        <f>IFERROR(VLOOKUP(TableHandbook[[#This Row],[UDC]],TableMJRULGSCM[],7,FALSE),"")</f>
        <v/>
      </c>
      <c r="AI11" s="66" t="str">
        <f>IFERROR(VLOOKUP(TableHandbook[[#This Row],[UDC]],TableMJRUMNGMT[],7,FALSE),"")</f>
        <v/>
      </c>
      <c r="AJ11" s="66" t="str">
        <f>IFERROR(VLOOKUP(TableHandbook[[#This Row],[UDC]],TableMJRUMRKTG[],7,FALSE),"")</f>
        <v/>
      </c>
      <c r="AK11" s="66" t="str">
        <f>IFERROR(VLOOKUP(TableHandbook[[#This Row],[UDC]],TableMJRUPRPTY[],7,FALSE),"")</f>
        <v/>
      </c>
      <c r="AL11" s="66" t="str">
        <f>IFERROR(VLOOKUP(TableHandbook[[#This Row],[UDC]],TableMJRUSCRAR[],7,FALSE),"")</f>
        <v/>
      </c>
      <c r="AM11" s="66" t="str">
        <f>IFERROR(VLOOKUP(TableHandbook[[#This Row],[UDC]],TableMJRUTHTRA[],7,FALSE),"")</f>
        <v/>
      </c>
      <c r="AN11" s="66" t="str">
        <f>IFERROR(VLOOKUP(TableHandbook[[#This Row],[UDC]],TableMJRUTRHOS[],7,FALSE),"")</f>
        <v/>
      </c>
    </row>
    <row r="12" spans="1:41" x14ac:dyDescent="0.25">
      <c r="A12" s="8" t="s">
        <v>420</v>
      </c>
      <c r="B12" s="9">
        <v>0</v>
      </c>
      <c r="C12" s="8"/>
      <c r="D12" s="8" t="s">
        <v>516</v>
      </c>
      <c r="E12" s="9">
        <v>25</v>
      </c>
      <c r="F12" s="49" t="s">
        <v>510</v>
      </c>
      <c r="G12" s="67" t="str">
        <f>IFERROR(IF(VLOOKUP(TableHandbook[[#This Row],[UDC]],TableAvailabilities[],2,FALSE)&gt;0,"Y",""),"")</f>
        <v/>
      </c>
      <c r="H12" s="68" t="str">
        <f>IFERROR(IF(VLOOKUP(TableHandbook[[#This Row],[UDC]],TableAvailabilities[],3,FALSE)&gt;0,"Y",""),"")</f>
        <v/>
      </c>
      <c r="I12" s="69" t="str">
        <f>IFERROR(IF(VLOOKUP(TableHandbook[[#This Row],[UDC]],TableAvailabilities[],4,FALSE)&gt;0,"Y",""),"")</f>
        <v/>
      </c>
      <c r="J12" s="70" t="str">
        <f>IFERROR(IF(VLOOKUP(TableHandbook[[#This Row],[UDC]],TableAvailabilities[],5,FALSE)&gt;0,"Y",""),"")</f>
        <v/>
      </c>
      <c r="K12" s="163"/>
      <c r="L12" s="64" t="str">
        <f>IFERROR(VLOOKUP(TableHandbook[[#This Row],[UDC]],TableBARTS[],7,FALSE),"")</f>
        <v/>
      </c>
      <c r="M12" s="65" t="str">
        <f>IFERROR(VLOOKUP(TableHandbook[[#This Row],[UDC]],TableMJRUANTSO[],7,FALSE),"")</f>
        <v/>
      </c>
      <c r="N12" s="65" t="str">
        <f>IFERROR(VLOOKUP(TableHandbook[[#This Row],[UDC]],TableMJRUCHNSE[],7,FALSE),"")</f>
        <v/>
      </c>
      <c r="O12" s="65" t="str">
        <f>IFERROR(VLOOKUP(TableHandbook[[#This Row],[UDC]],TableMJRUCRWRI[],7,FALSE),"")</f>
        <v/>
      </c>
      <c r="P12" s="65" t="str">
        <f>IFERROR(VLOOKUP(TableHandbook[[#This Row],[UDC]],TableMJRUGEOGR[],7,FALSE),"")</f>
        <v/>
      </c>
      <c r="Q12" s="65" t="str">
        <f>IFERROR(VLOOKUP(TableHandbook[[#This Row],[UDC]],TableMJRUHISTR[],7,FALSE),"")</f>
        <v/>
      </c>
      <c r="R12" s="65" t="str">
        <f>IFERROR(VLOOKUP(TableHandbook[[#This Row],[UDC]],TableMJRUINAUC[],7,FALSE),"")</f>
        <v/>
      </c>
      <c r="S12" s="65" t="str">
        <f>IFERROR(VLOOKUP(TableHandbook[[#This Row],[UDC]],TableMJRUINTRL[],7,FALSE),"")</f>
        <v/>
      </c>
      <c r="T12" s="65" t="str">
        <f>IFERROR(VLOOKUP(TableHandbook[[#This Row],[UDC]],TableMJRUJAPAN[],7,FALSE),"")</f>
        <v/>
      </c>
      <c r="U12" s="65" t="str">
        <f>IFERROR(VLOOKUP(TableHandbook[[#This Row],[UDC]],TableMJRUJOURN[],7,FALSE),"")</f>
        <v/>
      </c>
      <c r="V12" s="65" t="str">
        <f>IFERROR(VLOOKUP(TableHandbook[[#This Row],[UDC]],TableMJRUKORES[],7,FALSE),"")</f>
        <v/>
      </c>
      <c r="W12" s="65" t="str">
        <f>IFERROR(VLOOKUP(TableHandbook[[#This Row],[UDC]],TableMJRULITCU[],7,FALSE),"")</f>
        <v/>
      </c>
      <c r="X12" s="65" t="str">
        <f>IFERROR(VLOOKUP(TableHandbook[[#This Row],[UDC]],TableMJRUNETCM[],7,FALSE),"")</f>
        <v/>
      </c>
      <c r="Y12" s="65" t="str">
        <f>IFERROR(VLOOKUP(TableHandbook[[#This Row],[UDC]],TableMJRUPRWRP[],7,FALSE),"")</f>
        <v/>
      </c>
      <c r="Z12" s="66" t="str">
        <f>IFERROR(VLOOKUP(TableHandbook[[#This Row],[UDC]],TableMJRUSCSTR[],7,FALSE),"")</f>
        <v/>
      </c>
      <c r="AA12" s="74"/>
      <c r="AB12" s="66" t="str">
        <f>IFERROR(VLOOKUP(TableHandbook[[#This Row],[UDC]],TableMJRUBSLAW[],7,FALSE),"")</f>
        <v/>
      </c>
      <c r="AC12" s="66" t="str">
        <f>IFERROR(VLOOKUP(TableHandbook[[#This Row],[UDC]],TableMJRUECONS[],7,FALSE),"")</f>
        <v/>
      </c>
      <c r="AD12" s="66" t="str">
        <f>IFERROR(VLOOKUP(TableHandbook[[#This Row],[UDC]],TableMJRUFINAR[],7,FALSE),"")</f>
        <v/>
      </c>
      <c r="AE12" s="66" t="str">
        <f>IFERROR(VLOOKUP(TableHandbook[[#This Row],[UDC]],TableMJRUFINCE[],7,FALSE),"")</f>
        <v/>
      </c>
      <c r="AF12" s="66" t="str">
        <f>IFERROR(VLOOKUP(TableHandbook[[#This Row],[UDC]],TableMJRUHRMGM[],7,FALSE),"")</f>
        <v/>
      </c>
      <c r="AG12" s="66" t="str">
        <f>IFERROR(VLOOKUP(TableHandbook[[#This Row],[UDC]],TableMJRUINTBU[],7,FALSE),"")</f>
        <v>AltCore</v>
      </c>
      <c r="AH12" s="66" t="str">
        <f>IFERROR(VLOOKUP(TableHandbook[[#This Row],[UDC]],TableMJRULGSCM[],7,FALSE),"")</f>
        <v/>
      </c>
      <c r="AI12" s="66" t="str">
        <f>IFERROR(VLOOKUP(TableHandbook[[#This Row],[UDC]],TableMJRUMNGMT[],7,FALSE),"")</f>
        <v/>
      </c>
      <c r="AJ12" s="66" t="str">
        <f>IFERROR(VLOOKUP(TableHandbook[[#This Row],[UDC]],TableMJRUMRKTG[],7,FALSE),"")</f>
        <v/>
      </c>
      <c r="AK12" s="66" t="str">
        <f>IFERROR(VLOOKUP(TableHandbook[[#This Row],[UDC]],TableMJRUPRPTY[],7,FALSE),"")</f>
        <v/>
      </c>
      <c r="AL12" s="66" t="str">
        <f>IFERROR(VLOOKUP(TableHandbook[[#This Row],[UDC]],TableMJRUSCRAR[],7,FALSE),"")</f>
        <v/>
      </c>
      <c r="AM12" s="66" t="str">
        <f>IFERROR(VLOOKUP(TableHandbook[[#This Row],[UDC]],TableMJRUTHTRA[],7,FALSE),"")</f>
        <v/>
      </c>
      <c r="AN12" s="66" t="str">
        <f>IFERROR(VLOOKUP(TableHandbook[[#This Row],[UDC]],TableMJRUTRHOS[],7,FALSE),"")</f>
        <v/>
      </c>
    </row>
    <row r="13" spans="1:41" x14ac:dyDescent="0.25">
      <c r="A13" s="8" t="s">
        <v>246</v>
      </c>
      <c r="B13" s="9">
        <v>0</v>
      </c>
      <c r="C13" s="8"/>
      <c r="D13" s="8" t="s">
        <v>517</v>
      </c>
      <c r="E13" s="9">
        <v>25</v>
      </c>
      <c r="F13" s="49" t="s">
        <v>510</v>
      </c>
      <c r="G13" s="67" t="str">
        <f>IFERROR(IF(VLOOKUP(TableHandbook[[#This Row],[UDC]],TableAvailabilities[],2,FALSE)&gt;0,"Y",""),"")</f>
        <v/>
      </c>
      <c r="H13" s="68" t="str">
        <f>IFERROR(IF(VLOOKUP(TableHandbook[[#This Row],[UDC]],TableAvailabilities[],3,FALSE)&gt;0,"Y",""),"")</f>
        <v/>
      </c>
      <c r="I13" s="69" t="str">
        <f>IFERROR(IF(VLOOKUP(TableHandbook[[#This Row],[UDC]],TableAvailabilities[],4,FALSE)&gt;0,"Y",""),"")</f>
        <v/>
      </c>
      <c r="J13" s="70" t="str">
        <f>IFERROR(IF(VLOOKUP(TableHandbook[[#This Row],[UDC]],TableAvailabilities[],5,FALSE)&gt;0,"Y",""),"")</f>
        <v/>
      </c>
      <c r="K13" s="163"/>
      <c r="L13" s="64" t="str">
        <f>IFERROR(VLOOKUP(TableHandbook[[#This Row],[UDC]],TableBARTS[],7,FALSE),"")</f>
        <v/>
      </c>
      <c r="M13" s="65" t="str">
        <f>IFERROR(VLOOKUP(TableHandbook[[#This Row],[UDC]],TableMJRUANTSO[],7,FALSE),"")</f>
        <v/>
      </c>
      <c r="N13" s="65" t="str">
        <f>IFERROR(VLOOKUP(TableHandbook[[#This Row],[UDC]],TableMJRUCHNSE[],7,FALSE),"")</f>
        <v/>
      </c>
      <c r="O13" s="65" t="str">
        <f>IFERROR(VLOOKUP(TableHandbook[[#This Row],[UDC]],TableMJRUCRWRI[],7,FALSE),"")</f>
        <v/>
      </c>
      <c r="P13" s="65" t="str">
        <f>IFERROR(VLOOKUP(TableHandbook[[#This Row],[UDC]],TableMJRUGEOGR[],7,FALSE),"")</f>
        <v/>
      </c>
      <c r="Q13" s="65" t="str">
        <f>IFERROR(VLOOKUP(TableHandbook[[#This Row],[UDC]],TableMJRUHISTR[],7,FALSE),"")</f>
        <v/>
      </c>
      <c r="R13" s="65" t="str">
        <f>IFERROR(VLOOKUP(TableHandbook[[#This Row],[UDC]],TableMJRUINAUC[],7,FALSE),"")</f>
        <v/>
      </c>
      <c r="S13" s="65" t="str">
        <f>IFERROR(VLOOKUP(TableHandbook[[#This Row],[UDC]],TableMJRUINTRL[],7,FALSE),"")</f>
        <v/>
      </c>
      <c r="T13" s="65" t="str">
        <f>IFERROR(VLOOKUP(TableHandbook[[#This Row],[UDC]],TableMJRUJAPAN[],7,FALSE),"")</f>
        <v/>
      </c>
      <c r="U13" s="65" t="str">
        <f>IFERROR(VLOOKUP(TableHandbook[[#This Row],[UDC]],TableMJRUJOURN[],7,FALSE),"")</f>
        <v/>
      </c>
      <c r="V13" s="65" t="str">
        <f>IFERROR(VLOOKUP(TableHandbook[[#This Row],[UDC]],TableMJRUKORES[],7,FALSE),"")</f>
        <v>AltCore</v>
      </c>
      <c r="W13" s="65" t="str">
        <f>IFERROR(VLOOKUP(TableHandbook[[#This Row],[UDC]],TableMJRULITCU[],7,FALSE),"")</f>
        <v/>
      </c>
      <c r="X13" s="65" t="str">
        <f>IFERROR(VLOOKUP(TableHandbook[[#This Row],[UDC]],TableMJRUNETCM[],7,FALSE),"")</f>
        <v/>
      </c>
      <c r="Y13" s="65" t="str">
        <f>IFERROR(VLOOKUP(TableHandbook[[#This Row],[UDC]],TableMJRUPRWRP[],7,FALSE),"")</f>
        <v/>
      </c>
      <c r="Z13" s="66" t="str">
        <f>IFERROR(VLOOKUP(TableHandbook[[#This Row],[UDC]],TableMJRUSCSTR[],7,FALSE),"")</f>
        <v/>
      </c>
      <c r="AA13" s="74"/>
      <c r="AB13" s="66" t="str">
        <f>IFERROR(VLOOKUP(TableHandbook[[#This Row],[UDC]],TableMJRUBSLAW[],7,FALSE),"")</f>
        <v/>
      </c>
      <c r="AC13" s="66" t="str">
        <f>IFERROR(VLOOKUP(TableHandbook[[#This Row],[UDC]],TableMJRUECONS[],7,FALSE),"")</f>
        <v/>
      </c>
      <c r="AD13" s="66" t="str">
        <f>IFERROR(VLOOKUP(TableHandbook[[#This Row],[UDC]],TableMJRUFINAR[],7,FALSE),"")</f>
        <v/>
      </c>
      <c r="AE13" s="66" t="str">
        <f>IFERROR(VLOOKUP(TableHandbook[[#This Row],[UDC]],TableMJRUFINCE[],7,FALSE),"")</f>
        <v/>
      </c>
      <c r="AF13" s="66" t="str">
        <f>IFERROR(VLOOKUP(TableHandbook[[#This Row],[UDC]],TableMJRUHRMGM[],7,FALSE),"")</f>
        <v/>
      </c>
      <c r="AG13" s="66" t="str">
        <f>IFERROR(VLOOKUP(TableHandbook[[#This Row],[UDC]],TableMJRUINTBU[],7,FALSE),"")</f>
        <v/>
      </c>
      <c r="AH13" s="66" t="str">
        <f>IFERROR(VLOOKUP(TableHandbook[[#This Row],[UDC]],TableMJRULGSCM[],7,FALSE),"")</f>
        <v/>
      </c>
      <c r="AI13" s="66" t="str">
        <f>IFERROR(VLOOKUP(TableHandbook[[#This Row],[UDC]],TableMJRUMNGMT[],7,FALSE),"")</f>
        <v/>
      </c>
      <c r="AJ13" s="66" t="str">
        <f>IFERROR(VLOOKUP(TableHandbook[[#This Row],[UDC]],TableMJRUMRKTG[],7,FALSE),"")</f>
        <v/>
      </c>
      <c r="AK13" s="66" t="str">
        <f>IFERROR(VLOOKUP(TableHandbook[[#This Row],[UDC]],TableMJRUPRPTY[],7,FALSE),"")</f>
        <v/>
      </c>
      <c r="AL13" s="66" t="str">
        <f>IFERROR(VLOOKUP(TableHandbook[[#This Row],[UDC]],TableMJRUSCRAR[],7,FALSE),"")</f>
        <v/>
      </c>
      <c r="AM13" s="66" t="str">
        <f>IFERROR(VLOOKUP(TableHandbook[[#This Row],[UDC]],TableMJRUTHTRA[],7,FALSE),"")</f>
        <v/>
      </c>
      <c r="AN13" s="66" t="str">
        <f>IFERROR(VLOOKUP(TableHandbook[[#This Row],[UDC]],TableMJRUTRHOS[],7,FALSE),"")</f>
        <v/>
      </c>
    </row>
    <row r="14" spans="1:41" x14ac:dyDescent="0.25">
      <c r="A14" s="8" t="s">
        <v>424</v>
      </c>
      <c r="B14" s="9">
        <v>0</v>
      </c>
      <c r="C14" s="8"/>
      <c r="D14" s="8" t="s">
        <v>518</v>
      </c>
      <c r="E14" s="9">
        <v>25</v>
      </c>
      <c r="F14" s="49" t="s">
        <v>510</v>
      </c>
      <c r="G14" s="67" t="str">
        <f>IFERROR(IF(VLOOKUP(TableHandbook[[#This Row],[UDC]],TableAvailabilities[],2,FALSE)&gt;0,"Y",""),"")</f>
        <v/>
      </c>
      <c r="H14" s="68" t="str">
        <f>IFERROR(IF(VLOOKUP(TableHandbook[[#This Row],[UDC]],TableAvailabilities[],3,FALSE)&gt;0,"Y",""),"")</f>
        <v/>
      </c>
      <c r="I14" s="69" t="str">
        <f>IFERROR(IF(VLOOKUP(TableHandbook[[#This Row],[UDC]],TableAvailabilities[],4,FALSE)&gt;0,"Y",""),"")</f>
        <v/>
      </c>
      <c r="J14" s="70" t="str">
        <f>IFERROR(IF(VLOOKUP(TableHandbook[[#This Row],[UDC]],TableAvailabilities[],5,FALSE)&gt;0,"Y",""),"")</f>
        <v/>
      </c>
      <c r="K14" s="163"/>
      <c r="L14" s="64" t="str">
        <f>IFERROR(VLOOKUP(TableHandbook[[#This Row],[UDC]],TableBARTS[],7,FALSE),"")</f>
        <v/>
      </c>
      <c r="M14" s="65" t="str">
        <f>IFERROR(VLOOKUP(TableHandbook[[#This Row],[UDC]],TableMJRUANTSO[],7,FALSE),"")</f>
        <v/>
      </c>
      <c r="N14" s="65" t="str">
        <f>IFERROR(VLOOKUP(TableHandbook[[#This Row],[UDC]],TableMJRUCHNSE[],7,FALSE),"")</f>
        <v/>
      </c>
      <c r="O14" s="65" t="str">
        <f>IFERROR(VLOOKUP(TableHandbook[[#This Row],[UDC]],TableMJRUCRWRI[],7,FALSE),"")</f>
        <v/>
      </c>
      <c r="P14" s="65" t="str">
        <f>IFERROR(VLOOKUP(TableHandbook[[#This Row],[UDC]],TableMJRUGEOGR[],7,FALSE),"")</f>
        <v/>
      </c>
      <c r="Q14" s="65" t="str">
        <f>IFERROR(VLOOKUP(TableHandbook[[#This Row],[UDC]],TableMJRUHISTR[],7,FALSE),"")</f>
        <v/>
      </c>
      <c r="R14" s="65" t="str">
        <f>IFERROR(VLOOKUP(TableHandbook[[#This Row],[UDC]],TableMJRUINAUC[],7,FALSE),"")</f>
        <v/>
      </c>
      <c r="S14" s="65" t="str">
        <f>IFERROR(VLOOKUP(TableHandbook[[#This Row],[UDC]],TableMJRUINTRL[],7,FALSE),"")</f>
        <v/>
      </c>
      <c r="T14" s="65" t="str">
        <f>IFERROR(VLOOKUP(TableHandbook[[#This Row],[UDC]],TableMJRUJAPAN[],7,FALSE),"")</f>
        <v/>
      </c>
      <c r="U14" s="65" t="str">
        <f>IFERROR(VLOOKUP(TableHandbook[[#This Row],[UDC]],TableMJRUJOURN[],7,FALSE),"")</f>
        <v/>
      </c>
      <c r="V14" s="65" t="str">
        <f>IFERROR(VLOOKUP(TableHandbook[[#This Row],[UDC]],TableMJRUKORES[],7,FALSE),"")</f>
        <v/>
      </c>
      <c r="W14" s="65" t="str">
        <f>IFERROR(VLOOKUP(TableHandbook[[#This Row],[UDC]],TableMJRULITCU[],7,FALSE),"")</f>
        <v/>
      </c>
      <c r="X14" s="65" t="str">
        <f>IFERROR(VLOOKUP(TableHandbook[[#This Row],[UDC]],TableMJRUNETCM[],7,FALSE),"")</f>
        <v/>
      </c>
      <c r="Y14" s="65" t="str">
        <f>IFERROR(VLOOKUP(TableHandbook[[#This Row],[UDC]],TableMJRUPRWRP[],7,FALSE),"")</f>
        <v/>
      </c>
      <c r="Z14" s="66" t="str">
        <f>IFERROR(VLOOKUP(TableHandbook[[#This Row],[UDC]],TableMJRUSCSTR[],7,FALSE),"")</f>
        <v/>
      </c>
      <c r="AA14" s="74"/>
      <c r="AB14" s="66" t="str">
        <f>IFERROR(VLOOKUP(TableHandbook[[#This Row],[UDC]],TableMJRUBSLAW[],7,FALSE),"")</f>
        <v/>
      </c>
      <c r="AC14" s="66" t="str">
        <f>IFERROR(VLOOKUP(TableHandbook[[#This Row],[UDC]],TableMJRUECONS[],7,FALSE),"")</f>
        <v/>
      </c>
      <c r="AD14" s="66" t="str">
        <f>IFERROR(VLOOKUP(TableHandbook[[#This Row],[UDC]],TableMJRUFINAR[],7,FALSE),"")</f>
        <v/>
      </c>
      <c r="AE14" s="66" t="str">
        <f>IFERROR(VLOOKUP(TableHandbook[[#This Row],[UDC]],TableMJRUFINCE[],7,FALSE),"")</f>
        <v/>
      </c>
      <c r="AF14" s="66" t="str">
        <f>IFERROR(VLOOKUP(TableHandbook[[#This Row],[UDC]],TableMJRUHRMGM[],7,FALSE),"")</f>
        <v/>
      </c>
      <c r="AG14" s="66" t="str">
        <f>IFERROR(VLOOKUP(TableHandbook[[#This Row],[UDC]],TableMJRUINTBU[],7,FALSE),"")</f>
        <v/>
      </c>
      <c r="AH14" s="66" t="str">
        <f>IFERROR(VLOOKUP(TableHandbook[[#This Row],[UDC]],TableMJRULGSCM[],7,FALSE),"")</f>
        <v/>
      </c>
      <c r="AI14" s="66" t="str">
        <f>IFERROR(VLOOKUP(TableHandbook[[#This Row],[UDC]],TableMJRUMNGMT[],7,FALSE),"")</f>
        <v>AltCore</v>
      </c>
      <c r="AJ14" s="66" t="str">
        <f>IFERROR(VLOOKUP(TableHandbook[[#This Row],[UDC]],TableMJRUMRKTG[],7,FALSE),"")</f>
        <v/>
      </c>
      <c r="AK14" s="66" t="str">
        <f>IFERROR(VLOOKUP(TableHandbook[[#This Row],[UDC]],TableMJRUPRPTY[],7,FALSE),"")</f>
        <v/>
      </c>
      <c r="AL14" s="66" t="str">
        <f>IFERROR(VLOOKUP(TableHandbook[[#This Row],[UDC]],TableMJRUSCRAR[],7,FALSE),"")</f>
        <v/>
      </c>
      <c r="AM14" s="66" t="str">
        <f>IFERROR(VLOOKUP(TableHandbook[[#This Row],[UDC]],TableMJRUTHTRA[],7,FALSE),"")</f>
        <v/>
      </c>
      <c r="AN14" s="66" t="str">
        <f>IFERROR(VLOOKUP(TableHandbook[[#This Row],[UDC]],TableMJRUTRHOS[],7,FALSE),"")</f>
        <v/>
      </c>
    </row>
    <row r="15" spans="1:41" x14ac:dyDescent="0.25">
      <c r="A15" s="8" t="s">
        <v>426</v>
      </c>
      <c r="B15" s="9">
        <v>0</v>
      </c>
      <c r="C15" s="8"/>
      <c r="D15" s="8" t="s">
        <v>519</v>
      </c>
      <c r="E15" s="9">
        <v>25</v>
      </c>
      <c r="F15" s="49" t="s">
        <v>510</v>
      </c>
      <c r="G15" s="67" t="str">
        <f>IFERROR(IF(VLOOKUP(TableHandbook[[#This Row],[UDC]],TableAvailabilities[],2,FALSE)&gt;0,"Y",""),"")</f>
        <v/>
      </c>
      <c r="H15" s="68" t="str">
        <f>IFERROR(IF(VLOOKUP(TableHandbook[[#This Row],[UDC]],TableAvailabilities[],3,FALSE)&gt;0,"Y",""),"")</f>
        <v/>
      </c>
      <c r="I15" s="69" t="str">
        <f>IFERROR(IF(VLOOKUP(TableHandbook[[#This Row],[UDC]],TableAvailabilities[],4,FALSE)&gt;0,"Y",""),"")</f>
        <v/>
      </c>
      <c r="J15" s="70" t="str">
        <f>IFERROR(IF(VLOOKUP(TableHandbook[[#This Row],[UDC]],TableAvailabilities[],5,FALSE)&gt;0,"Y",""),"")</f>
        <v/>
      </c>
      <c r="K15" s="163"/>
      <c r="L15" s="64" t="str">
        <f>IFERROR(VLOOKUP(TableHandbook[[#This Row],[UDC]],TableBARTS[],7,FALSE),"")</f>
        <v/>
      </c>
      <c r="M15" s="65" t="str">
        <f>IFERROR(VLOOKUP(TableHandbook[[#This Row],[UDC]],TableMJRUANTSO[],7,FALSE),"")</f>
        <v/>
      </c>
      <c r="N15" s="65" t="str">
        <f>IFERROR(VLOOKUP(TableHandbook[[#This Row],[UDC]],TableMJRUCHNSE[],7,FALSE),"")</f>
        <v/>
      </c>
      <c r="O15" s="65" t="str">
        <f>IFERROR(VLOOKUP(TableHandbook[[#This Row],[UDC]],TableMJRUCRWRI[],7,FALSE),"")</f>
        <v/>
      </c>
      <c r="P15" s="65" t="str">
        <f>IFERROR(VLOOKUP(TableHandbook[[#This Row],[UDC]],TableMJRUGEOGR[],7,FALSE),"")</f>
        <v/>
      </c>
      <c r="Q15" s="65" t="str">
        <f>IFERROR(VLOOKUP(TableHandbook[[#This Row],[UDC]],TableMJRUHISTR[],7,FALSE),"")</f>
        <v/>
      </c>
      <c r="R15" s="65" t="str">
        <f>IFERROR(VLOOKUP(TableHandbook[[#This Row],[UDC]],TableMJRUINAUC[],7,FALSE),"")</f>
        <v/>
      </c>
      <c r="S15" s="65" t="str">
        <f>IFERROR(VLOOKUP(TableHandbook[[#This Row],[UDC]],TableMJRUINTRL[],7,FALSE),"")</f>
        <v/>
      </c>
      <c r="T15" s="65" t="str">
        <f>IFERROR(VLOOKUP(TableHandbook[[#This Row],[UDC]],TableMJRUJAPAN[],7,FALSE),"")</f>
        <v/>
      </c>
      <c r="U15" s="65" t="str">
        <f>IFERROR(VLOOKUP(TableHandbook[[#This Row],[UDC]],TableMJRUJOURN[],7,FALSE),"")</f>
        <v/>
      </c>
      <c r="V15" s="65" t="str">
        <f>IFERROR(VLOOKUP(TableHandbook[[#This Row],[UDC]],TableMJRUKORES[],7,FALSE),"")</f>
        <v/>
      </c>
      <c r="W15" s="65" t="str">
        <f>IFERROR(VLOOKUP(TableHandbook[[#This Row],[UDC]],TableMJRULITCU[],7,FALSE),"")</f>
        <v/>
      </c>
      <c r="X15" s="65" t="str">
        <f>IFERROR(VLOOKUP(TableHandbook[[#This Row],[UDC]],TableMJRUNETCM[],7,FALSE),"")</f>
        <v/>
      </c>
      <c r="Y15" s="65" t="str">
        <f>IFERROR(VLOOKUP(TableHandbook[[#This Row],[UDC]],TableMJRUPRWRP[],7,FALSE),"")</f>
        <v/>
      </c>
      <c r="Z15" s="66" t="str">
        <f>IFERROR(VLOOKUP(TableHandbook[[#This Row],[UDC]],TableMJRUSCSTR[],7,FALSE),"")</f>
        <v/>
      </c>
      <c r="AA15" s="74"/>
      <c r="AB15" s="66" t="str">
        <f>IFERROR(VLOOKUP(TableHandbook[[#This Row],[UDC]],TableMJRUBSLAW[],7,FALSE),"")</f>
        <v/>
      </c>
      <c r="AC15" s="66" t="str">
        <f>IFERROR(VLOOKUP(TableHandbook[[#This Row],[UDC]],TableMJRUECONS[],7,FALSE),"")</f>
        <v/>
      </c>
      <c r="AD15" s="66" t="str">
        <f>IFERROR(VLOOKUP(TableHandbook[[#This Row],[UDC]],TableMJRUFINAR[],7,FALSE),"")</f>
        <v/>
      </c>
      <c r="AE15" s="66" t="str">
        <f>IFERROR(VLOOKUP(TableHandbook[[#This Row],[UDC]],TableMJRUFINCE[],7,FALSE),"")</f>
        <v/>
      </c>
      <c r="AF15" s="66" t="str">
        <f>IFERROR(VLOOKUP(TableHandbook[[#This Row],[UDC]],TableMJRUHRMGM[],7,FALSE),"")</f>
        <v/>
      </c>
      <c r="AG15" s="66" t="str">
        <f>IFERROR(VLOOKUP(TableHandbook[[#This Row],[UDC]],TableMJRUINTBU[],7,FALSE),"")</f>
        <v/>
      </c>
      <c r="AH15" s="66" t="str">
        <f>IFERROR(VLOOKUP(TableHandbook[[#This Row],[UDC]],TableMJRULGSCM[],7,FALSE),"")</f>
        <v/>
      </c>
      <c r="AI15" s="66" t="str">
        <f>IFERROR(VLOOKUP(TableHandbook[[#This Row],[UDC]],TableMJRUMNGMT[],7,FALSE),"")</f>
        <v/>
      </c>
      <c r="AJ15" s="66" t="str">
        <f>IFERROR(VLOOKUP(TableHandbook[[#This Row],[UDC]],TableMJRUMRKTG[],7,FALSE),"")</f>
        <v>AltCore</v>
      </c>
      <c r="AK15" s="66" t="str">
        <f>IFERROR(VLOOKUP(TableHandbook[[#This Row],[UDC]],TableMJRUPRPTY[],7,FALSE),"")</f>
        <v/>
      </c>
      <c r="AL15" s="66" t="str">
        <f>IFERROR(VLOOKUP(TableHandbook[[#This Row],[UDC]],TableMJRUSCRAR[],7,FALSE),"")</f>
        <v/>
      </c>
      <c r="AM15" s="66" t="str">
        <f>IFERROR(VLOOKUP(TableHandbook[[#This Row],[UDC]],TableMJRUTHTRA[],7,FALSE),"")</f>
        <v/>
      </c>
      <c r="AN15" s="66" t="str">
        <f>IFERROR(VLOOKUP(TableHandbook[[#This Row],[UDC]],TableMJRUTRHOS[],7,FALSE),"")</f>
        <v/>
      </c>
    </row>
    <row r="16" spans="1:41" x14ac:dyDescent="0.25">
      <c r="A16" s="8" t="s">
        <v>467</v>
      </c>
      <c r="B16" s="9">
        <v>0</v>
      </c>
      <c r="C16" s="8"/>
      <c r="D16" s="8" t="s">
        <v>520</v>
      </c>
      <c r="E16" s="9">
        <v>25</v>
      </c>
      <c r="F16" s="49" t="s">
        <v>510</v>
      </c>
      <c r="G16" s="67" t="str">
        <f>IFERROR(IF(VLOOKUP(TableHandbook[[#This Row],[UDC]],TableAvailabilities[],2,FALSE)&gt;0,"Y",""),"")</f>
        <v/>
      </c>
      <c r="H16" s="68" t="str">
        <f>IFERROR(IF(VLOOKUP(TableHandbook[[#This Row],[UDC]],TableAvailabilities[],3,FALSE)&gt;0,"Y",""),"")</f>
        <v/>
      </c>
      <c r="I16" s="69" t="str">
        <f>IFERROR(IF(VLOOKUP(TableHandbook[[#This Row],[UDC]],TableAvailabilities[],4,FALSE)&gt;0,"Y",""),"")</f>
        <v/>
      </c>
      <c r="J16" s="70" t="str">
        <f>IFERROR(IF(VLOOKUP(TableHandbook[[#This Row],[UDC]],TableAvailabilities[],5,FALSE)&gt;0,"Y",""),"")</f>
        <v/>
      </c>
      <c r="K16" s="163"/>
      <c r="L16" s="64" t="str">
        <f>IFERROR(VLOOKUP(TableHandbook[[#This Row],[UDC]],TableBARTS[],7,FALSE),"")</f>
        <v/>
      </c>
      <c r="M16" s="65" t="str">
        <f>IFERROR(VLOOKUP(TableHandbook[[#This Row],[UDC]],TableMJRUANTSO[],7,FALSE),"")</f>
        <v/>
      </c>
      <c r="N16" s="65" t="str">
        <f>IFERROR(VLOOKUP(TableHandbook[[#This Row],[UDC]],TableMJRUCHNSE[],7,FALSE),"")</f>
        <v/>
      </c>
      <c r="O16" s="65" t="str">
        <f>IFERROR(VLOOKUP(TableHandbook[[#This Row],[UDC]],TableMJRUCRWRI[],7,FALSE),"")</f>
        <v/>
      </c>
      <c r="P16" s="65" t="str">
        <f>IFERROR(VLOOKUP(TableHandbook[[#This Row],[UDC]],TableMJRUGEOGR[],7,FALSE),"")</f>
        <v/>
      </c>
      <c r="Q16" s="65" t="str">
        <f>IFERROR(VLOOKUP(TableHandbook[[#This Row],[UDC]],TableMJRUHISTR[],7,FALSE),"")</f>
        <v/>
      </c>
      <c r="R16" s="65" t="str">
        <f>IFERROR(VLOOKUP(TableHandbook[[#This Row],[UDC]],TableMJRUINAUC[],7,FALSE),"")</f>
        <v/>
      </c>
      <c r="S16" s="65" t="str">
        <f>IFERROR(VLOOKUP(TableHandbook[[#This Row],[UDC]],TableMJRUINTRL[],7,FALSE),"")</f>
        <v/>
      </c>
      <c r="T16" s="65" t="str">
        <f>IFERROR(VLOOKUP(TableHandbook[[#This Row],[UDC]],TableMJRUJAPAN[],7,FALSE),"")</f>
        <v/>
      </c>
      <c r="U16" s="65" t="str">
        <f>IFERROR(VLOOKUP(TableHandbook[[#This Row],[UDC]],TableMJRUJOURN[],7,FALSE),"")</f>
        <v/>
      </c>
      <c r="V16" s="65" t="str">
        <f>IFERROR(VLOOKUP(TableHandbook[[#This Row],[UDC]],TableMJRUKORES[],7,FALSE),"")</f>
        <v/>
      </c>
      <c r="W16" s="65" t="str">
        <f>IFERROR(VLOOKUP(TableHandbook[[#This Row],[UDC]],TableMJRULITCU[],7,FALSE),"")</f>
        <v/>
      </c>
      <c r="X16" s="65" t="str">
        <f>IFERROR(VLOOKUP(TableHandbook[[#This Row],[UDC]],TableMJRUNETCM[],7,FALSE),"")</f>
        <v/>
      </c>
      <c r="Y16" s="65" t="str">
        <f>IFERROR(VLOOKUP(TableHandbook[[#This Row],[UDC]],TableMJRUPRWRP[],7,FALSE),"")</f>
        <v/>
      </c>
      <c r="Z16" s="66" t="str">
        <f>IFERROR(VLOOKUP(TableHandbook[[#This Row],[UDC]],TableMJRUSCSTR[],7,FALSE),"")</f>
        <v/>
      </c>
      <c r="AA16" s="74"/>
      <c r="AB16" s="66" t="str">
        <f>IFERROR(VLOOKUP(TableHandbook[[#This Row],[UDC]],TableMJRUBSLAW[],7,FALSE),"")</f>
        <v/>
      </c>
      <c r="AC16" s="66" t="str">
        <f>IFERROR(VLOOKUP(TableHandbook[[#This Row],[UDC]],TableMJRUECONS[],7,FALSE),"")</f>
        <v/>
      </c>
      <c r="AD16" s="66" t="str">
        <f>IFERROR(VLOOKUP(TableHandbook[[#This Row],[UDC]],TableMJRUFINAR[],7,FALSE),"")</f>
        <v/>
      </c>
      <c r="AE16" s="66" t="str">
        <f>IFERROR(VLOOKUP(TableHandbook[[#This Row],[UDC]],TableMJRUFINCE[],7,FALSE),"")</f>
        <v/>
      </c>
      <c r="AF16" s="66" t="str">
        <f>IFERROR(VLOOKUP(TableHandbook[[#This Row],[UDC]],TableMJRUHRMGM[],7,FALSE),"")</f>
        <v/>
      </c>
      <c r="AG16" s="66" t="str">
        <f>IFERROR(VLOOKUP(TableHandbook[[#This Row],[UDC]],TableMJRUINTBU[],7,FALSE),"")</f>
        <v/>
      </c>
      <c r="AH16" s="66" t="str">
        <f>IFERROR(VLOOKUP(TableHandbook[[#This Row],[UDC]],TableMJRULGSCM[],7,FALSE),"")</f>
        <v/>
      </c>
      <c r="AI16" s="66" t="str">
        <f>IFERROR(VLOOKUP(TableHandbook[[#This Row],[UDC]],TableMJRUMNGMT[],7,FALSE),"")</f>
        <v/>
      </c>
      <c r="AJ16" s="66" t="str">
        <f>IFERROR(VLOOKUP(TableHandbook[[#This Row],[UDC]],TableMJRUMRKTG[],7,FALSE),"")</f>
        <v>AltCore</v>
      </c>
      <c r="AK16" s="66" t="str">
        <f>IFERROR(VLOOKUP(TableHandbook[[#This Row],[UDC]],TableMJRUPRPTY[],7,FALSE),"")</f>
        <v/>
      </c>
      <c r="AL16" s="66" t="str">
        <f>IFERROR(VLOOKUP(TableHandbook[[#This Row],[UDC]],TableMJRUSCRAR[],7,FALSE),"")</f>
        <v/>
      </c>
      <c r="AM16" s="66" t="str">
        <f>IFERROR(VLOOKUP(TableHandbook[[#This Row],[UDC]],TableMJRUTHTRA[],7,FALSE),"")</f>
        <v/>
      </c>
      <c r="AN16" s="66" t="str">
        <f>IFERROR(VLOOKUP(TableHandbook[[#This Row],[UDC]],TableMJRUTRHOS[],7,FALSE),"")</f>
        <v/>
      </c>
    </row>
    <row r="17" spans="1:40" x14ac:dyDescent="0.25">
      <c r="A17" s="8" t="s">
        <v>521</v>
      </c>
      <c r="B17" s="9">
        <v>0</v>
      </c>
      <c r="C17" s="8"/>
      <c r="D17" s="8" t="s">
        <v>522</v>
      </c>
      <c r="E17" s="9">
        <v>25</v>
      </c>
      <c r="F17" s="49" t="s">
        <v>510</v>
      </c>
      <c r="G17" s="67" t="str">
        <f>IFERROR(IF(VLOOKUP(TableHandbook[[#This Row],[UDC]],TableAvailabilities[],2,FALSE)&gt;0,"Y",""),"")</f>
        <v/>
      </c>
      <c r="H17" s="68" t="str">
        <f>IFERROR(IF(VLOOKUP(TableHandbook[[#This Row],[UDC]],TableAvailabilities[],3,FALSE)&gt;0,"Y",""),"")</f>
        <v/>
      </c>
      <c r="I17" s="69" t="str">
        <f>IFERROR(IF(VLOOKUP(TableHandbook[[#This Row],[UDC]],TableAvailabilities[],4,FALSE)&gt;0,"Y",""),"")</f>
        <v/>
      </c>
      <c r="J17" s="70" t="str">
        <f>IFERROR(IF(VLOOKUP(TableHandbook[[#This Row],[UDC]],TableAvailabilities[],5,FALSE)&gt;0,"Y",""),"")</f>
        <v/>
      </c>
      <c r="K17" s="163"/>
      <c r="L17" s="64" t="str">
        <f>IFERROR(VLOOKUP(TableHandbook[[#This Row],[UDC]],TableBARTS[],7,FALSE),"")</f>
        <v/>
      </c>
      <c r="M17" s="65" t="str">
        <f>IFERROR(VLOOKUP(TableHandbook[[#This Row],[UDC]],TableMJRUANTSO[],7,FALSE),"")</f>
        <v/>
      </c>
      <c r="N17" s="65" t="str">
        <f>IFERROR(VLOOKUP(TableHandbook[[#This Row],[UDC]],TableMJRUCHNSE[],7,FALSE),"")</f>
        <v/>
      </c>
      <c r="O17" s="65" t="str">
        <f>IFERROR(VLOOKUP(TableHandbook[[#This Row],[UDC]],TableMJRUCRWRI[],7,FALSE),"")</f>
        <v/>
      </c>
      <c r="P17" s="65" t="str">
        <f>IFERROR(VLOOKUP(TableHandbook[[#This Row],[UDC]],TableMJRUGEOGR[],7,FALSE),"")</f>
        <v/>
      </c>
      <c r="Q17" s="65" t="str">
        <f>IFERROR(VLOOKUP(TableHandbook[[#This Row],[UDC]],TableMJRUHISTR[],7,FALSE),"")</f>
        <v/>
      </c>
      <c r="R17" s="65" t="str">
        <f>IFERROR(VLOOKUP(TableHandbook[[#This Row],[UDC]],TableMJRUINAUC[],7,FALSE),"")</f>
        <v/>
      </c>
      <c r="S17" s="65" t="str">
        <f>IFERROR(VLOOKUP(TableHandbook[[#This Row],[UDC]],TableMJRUINTRL[],7,FALSE),"")</f>
        <v/>
      </c>
      <c r="T17" s="65" t="str">
        <f>IFERROR(VLOOKUP(TableHandbook[[#This Row],[UDC]],TableMJRUJAPAN[],7,FALSE),"")</f>
        <v/>
      </c>
      <c r="U17" s="65" t="str">
        <f>IFERROR(VLOOKUP(TableHandbook[[#This Row],[UDC]],TableMJRUJOURN[],7,FALSE),"")</f>
        <v/>
      </c>
      <c r="V17" s="65" t="str">
        <f>IFERROR(VLOOKUP(TableHandbook[[#This Row],[UDC]],TableMJRUKORES[],7,FALSE),"")</f>
        <v/>
      </c>
      <c r="W17" s="65" t="str">
        <f>IFERROR(VLOOKUP(TableHandbook[[#This Row],[UDC]],TableMJRULITCU[],7,FALSE),"")</f>
        <v/>
      </c>
      <c r="X17" s="65" t="str">
        <f>IFERROR(VLOOKUP(TableHandbook[[#This Row],[UDC]],TableMJRUNETCM[],7,FALSE),"")</f>
        <v/>
      </c>
      <c r="Y17" s="65" t="str">
        <f>IFERROR(VLOOKUP(TableHandbook[[#This Row],[UDC]],TableMJRUPRWRP[],7,FALSE),"")</f>
        <v/>
      </c>
      <c r="Z17" s="66" t="str">
        <f>IFERROR(VLOOKUP(TableHandbook[[#This Row],[UDC]],TableMJRUSCSTR[],7,FALSE),"")</f>
        <v/>
      </c>
      <c r="AA17" s="74"/>
      <c r="AB17" s="66" t="str">
        <f>IFERROR(VLOOKUP(TableHandbook[[#This Row],[UDC]],TableMJRUBSLAW[],7,FALSE),"")</f>
        <v/>
      </c>
      <c r="AC17" s="66" t="str">
        <f>IFERROR(VLOOKUP(TableHandbook[[#This Row],[UDC]],TableMJRUECONS[],7,FALSE),"")</f>
        <v/>
      </c>
      <c r="AD17" s="66" t="str">
        <f>IFERROR(VLOOKUP(TableHandbook[[#This Row],[UDC]],TableMJRUFINAR[],7,FALSE),"")</f>
        <v/>
      </c>
      <c r="AE17" s="66" t="str">
        <f>IFERROR(VLOOKUP(TableHandbook[[#This Row],[UDC]],TableMJRUFINCE[],7,FALSE),"")</f>
        <v/>
      </c>
      <c r="AF17" s="66" t="str">
        <f>IFERROR(VLOOKUP(TableHandbook[[#This Row],[UDC]],TableMJRUHRMGM[],7,FALSE),"")</f>
        <v/>
      </c>
      <c r="AG17" s="66" t="str">
        <f>IFERROR(VLOOKUP(TableHandbook[[#This Row],[UDC]],TableMJRUINTBU[],7,FALSE),"")</f>
        <v/>
      </c>
      <c r="AH17" s="66" t="str">
        <f>IFERROR(VLOOKUP(TableHandbook[[#This Row],[UDC]],TableMJRULGSCM[],7,FALSE),"")</f>
        <v/>
      </c>
      <c r="AI17" s="66" t="str">
        <f>IFERROR(VLOOKUP(TableHandbook[[#This Row],[UDC]],TableMJRUMNGMT[],7,FALSE),"")</f>
        <v/>
      </c>
      <c r="AJ17" s="66" t="str">
        <f>IFERROR(VLOOKUP(TableHandbook[[#This Row],[UDC]],TableMJRUMRKTG[],7,FALSE),"")</f>
        <v/>
      </c>
      <c r="AK17" s="66" t="str">
        <f>IFERROR(VLOOKUP(TableHandbook[[#This Row],[UDC]],TableMJRUPRPTY[],7,FALSE),"")</f>
        <v/>
      </c>
      <c r="AL17" s="66" t="str">
        <f>IFERROR(VLOOKUP(TableHandbook[[#This Row],[UDC]],TableMJRUSCRAR[],7,FALSE),"")</f>
        <v>AltCore</v>
      </c>
      <c r="AM17" s="66" t="str">
        <f>IFERROR(VLOOKUP(TableHandbook[[#This Row],[UDC]],TableMJRUTHTRA[],7,FALSE),"")</f>
        <v/>
      </c>
      <c r="AN17" s="66" t="str">
        <f>IFERROR(VLOOKUP(TableHandbook[[#This Row],[UDC]],TableMJRUTRHOS[],7,FALSE),"")</f>
        <v/>
      </c>
    </row>
    <row r="18" spans="1:40" x14ac:dyDescent="0.25">
      <c r="A18" s="8" t="s">
        <v>435</v>
      </c>
      <c r="B18" s="9">
        <v>0</v>
      </c>
      <c r="C18" s="8"/>
      <c r="D18" s="8" t="s">
        <v>523</v>
      </c>
      <c r="E18" s="9">
        <v>25</v>
      </c>
      <c r="F18" s="49" t="s">
        <v>510</v>
      </c>
      <c r="G18" s="67" t="str">
        <f>IFERROR(IF(VLOOKUP(TableHandbook[[#This Row],[UDC]],TableAvailabilities[],2,FALSE)&gt;0,"Y",""),"")</f>
        <v/>
      </c>
      <c r="H18" s="68" t="str">
        <f>IFERROR(IF(VLOOKUP(TableHandbook[[#This Row],[UDC]],TableAvailabilities[],3,FALSE)&gt;0,"Y",""),"")</f>
        <v/>
      </c>
      <c r="I18" s="69" t="str">
        <f>IFERROR(IF(VLOOKUP(TableHandbook[[#This Row],[UDC]],TableAvailabilities[],4,FALSE)&gt;0,"Y",""),"")</f>
        <v/>
      </c>
      <c r="J18" s="70" t="str">
        <f>IFERROR(IF(VLOOKUP(TableHandbook[[#This Row],[UDC]],TableAvailabilities[],5,FALSE)&gt;0,"Y",""),"")</f>
        <v/>
      </c>
      <c r="K18" s="163"/>
      <c r="L18" s="64" t="str">
        <f>IFERROR(VLOOKUP(TableHandbook[[#This Row],[UDC]],TableBARTS[],7,FALSE),"")</f>
        <v/>
      </c>
      <c r="M18" s="65" t="str">
        <f>IFERROR(VLOOKUP(TableHandbook[[#This Row],[UDC]],TableMJRUANTSO[],7,FALSE),"")</f>
        <v/>
      </c>
      <c r="N18" s="65" t="str">
        <f>IFERROR(VLOOKUP(TableHandbook[[#This Row],[UDC]],TableMJRUCHNSE[],7,FALSE),"")</f>
        <v/>
      </c>
      <c r="O18" s="65" t="str">
        <f>IFERROR(VLOOKUP(TableHandbook[[#This Row],[UDC]],TableMJRUCRWRI[],7,FALSE),"")</f>
        <v/>
      </c>
      <c r="P18" s="65" t="str">
        <f>IFERROR(VLOOKUP(TableHandbook[[#This Row],[UDC]],TableMJRUGEOGR[],7,FALSE),"")</f>
        <v/>
      </c>
      <c r="Q18" s="65" t="str">
        <f>IFERROR(VLOOKUP(TableHandbook[[#This Row],[UDC]],TableMJRUHISTR[],7,FALSE),"")</f>
        <v/>
      </c>
      <c r="R18" s="65" t="str">
        <f>IFERROR(VLOOKUP(TableHandbook[[#This Row],[UDC]],TableMJRUINAUC[],7,FALSE),"")</f>
        <v/>
      </c>
      <c r="S18" s="65" t="str">
        <f>IFERROR(VLOOKUP(TableHandbook[[#This Row],[UDC]],TableMJRUINTRL[],7,FALSE),"")</f>
        <v/>
      </c>
      <c r="T18" s="65" t="str">
        <f>IFERROR(VLOOKUP(TableHandbook[[#This Row],[UDC]],TableMJRUJAPAN[],7,FALSE),"")</f>
        <v/>
      </c>
      <c r="U18" s="65" t="str">
        <f>IFERROR(VLOOKUP(TableHandbook[[#This Row],[UDC]],TableMJRUJOURN[],7,FALSE),"")</f>
        <v/>
      </c>
      <c r="V18" s="65" t="str">
        <f>IFERROR(VLOOKUP(TableHandbook[[#This Row],[UDC]],TableMJRUKORES[],7,FALSE),"")</f>
        <v/>
      </c>
      <c r="W18" s="65" t="str">
        <f>IFERROR(VLOOKUP(TableHandbook[[#This Row],[UDC]],TableMJRULITCU[],7,FALSE),"")</f>
        <v/>
      </c>
      <c r="X18" s="65" t="str">
        <f>IFERROR(VLOOKUP(TableHandbook[[#This Row],[UDC]],TableMJRUNETCM[],7,FALSE),"")</f>
        <v/>
      </c>
      <c r="Y18" s="65" t="str">
        <f>IFERROR(VLOOKUP(TableHandbook[[#This Row],[UDC]],TableMJRUPRWRP[],7,FALSE),"")</f>
        <v/>
      </c>
      <c r="Z18" s="66" t="str">
        <f>IFERROR(VLOOKUP(TableHandbook[[#This Row],[UDC]],TableMJRUSCSTR[],7,FALSE),"")</f>
        <v/>
      </c>
      <c r="AA18" s="74"/>
      <c r="AB18" s="66" t="str">
        <f>IFERROR(VLOOKUP(TableHandbook[[#This Row],[UDC]],TableMJRUBSLAW[],7,FALSE),"")</f>
        <v/>
      </c>
      <c r="AC18" s="66" t="str">
        <f>IFERROR(VLOOKUP(TableHandbook[[#This Row],[UDC]],TableMJRUECONS[],7,FALSE),"")</f>
        <v/>
      </c>
      <c r="AD18" s="66" t="str">
        <f>IFERROR(VLOOKUP(TableHandbook[[#This Row],[UDC]],TableMJRUFINAR[],7,FALSE),"")</f>
        <v/>
      </c>
      <c r="AE18" s="66" t="str">
        <f>IFERROR(VLOOKUP(TableHandbook[[#This Row],[UDC]],TableMJRUFINCE[],7,FALSE),"")</f>
        <v/>
      </c>
      <c r="AF18" s="66" t="str">
        <f>IFERROR(VLOOKUP(TableHandbook[[#This Row],[UDC]],TableMJRUHRMGM[],7,FALSE),"")</f>
        <v/>
      </c>
      <c r="AG18" s="66" t="str">
        <f>IFERROR(VLOOKUP(TableHandbook[[#This Row],[UDC]],TableMJRUINTBU[],7,FALSE),"")</f>
        <v/>
      </c>
      <c r="AH18" s="66" t="str">
        <f>IFERROR(VLOOKUP(TableHandbook[[#This Row],[UDC]],TableMJRULGSCM[],7,FALSE),"")</f>
        <v/>
      </c>
      <c r="AI18" s="66" t="str">
        <f>IFERROR(VLOOKUP(TableHandbook[[#This Row],[UDC]],TableMJRUMNGMT[],7,FALSE),"")</f>
        <v/>
      </c>
      <c r="AJ18" s="66" t="str">
        <f>IFERROR(VLOOKUP(TableHandbook[[#This Row],[UDC]],TableMJRUMRKTG[],7,FALSE),"")</f>
        <v/>
      </c>
      <c r="AK18" s="66" t="str">
        <f>IFERROR(VLOOKUP(TableHandbook[[#This Row],[UDC]],TableMJRUPRPTY[],7,FALSE),"")</f>
        <v/>
      </c>
      <c r="AL18" s="66" t="str">
        <f>IFERROR(VLOOKUP(TableHandbook[[#This Row],[UDC]],TableMJRUSCRAR[],7,FALSE),"")</f>
        <v/>
      </c>
      <c r="AM18" s="66" t="str">
        <f>IFERROR(VLOOKUP(TableHandbook[[#This Row],[UDC]],TableMJRUTHTRA[],7,FALSE),"")</f>
        <v/>
      </c>
      <c r="AN18" s="66" t="str">
        <f>IFERROR(VLOOKUP(TableHandbook[[#This Row],[UDC]],TableMJRUTRHOS[],7,FALSE),"")</f>
        <v>AltCore</v>
      </c>
    </row>
    <row r="19" spans="1:40" x14ac:dyDescent="0.25">
      <c r="A19" s="8" t="s">
        <v>458</v>
      </c>
      <c r="B19" s="9">
        <v>0</v>
      </c>
      <c r="C19" s="8"/>
      <c r="D19" s="8" t="s">
        <v>524</v>
      </c>
      <c r="E19" s="9">
        <v>25</v>
      </c>
      <c r="F19" s="49" t="s">
        <v>510</v>
      </c>
      <c r="G19" s="67" t="str">
        <f>IFERROR(IF(VLOOKUP(TableHandbook[[#This Row],[UDC]],TableAvailabilities[],2,FALSE)&gt;0,"Y",""),"")</f>
        <v/>
      </c>
      <c r="H19" s="68" t="str">
        <f>IFERROR(IF(VLOOKUP(TableHandbook[[#This Row],[UDC]],TableAvailabilities[],3,FALSE)&gt;0,"Y",""),"")</f>
        <v/>
      </c>
      <c r="I19" s="69" t="str">
        <f>IFERROR(IF(VLOOKUP(TableHandbook[[#This Row],[UDC]],TableAvailabilities[],4,FALSE)&gt;0,"Y",""),"")</f>
        <v/>
      </c>
      <c r="J19" s="70" t="str">
        <f>IFERROR(IF(VLOOKUP(TableHandbook[[#This Row],[UDC]],TableAvailabilities[],5,FALSE)&gt;0,"Y",""),"")</f>
        <v/>
      </c>
      <c r="K19" s="163"/>
      <c r="L19" s="64" t="str">
        <f>IFERROR(VLOOKUP(TableHandbook[[#This Row],[UDC]],TableBARTS[],7,FALSE),"")</f>
        <v/>
      </c>
      <c r="M19" s="65" t="str">
        <f>IFERROR(VLOOKUP(TableHandbook[[#This Row],[UDC]],TableMJRUANTSO[],7,FALSE),"")</f>
        <v/>
      </c>
      <c r="N19" s="65" t="str">
        <f>IFERROR(VLOOKUP(TableHandbook[[#This Row],[UDC]],TableMJRUCHNSE[],7,FALSE),"")</f>
        <v/>
      </c>
      <c r="O19" s="65" t="str">
        <f>IFERROR(VLOOKUP(TableHandbook[[#This Row],[UDC]],TableMJRUCRWRI[],7,FALSE),"")</f>
        <v/>
      </c>
      <c r="P19" s="65" t="str">
        <f>IFERROR(VLOOKUP(TableHandbook[[#This Row],[UDC]],TableMJRUGEOGR[],7,FALSE),"")</f>
        <v/>
      </c>
      <c r="Q19" s="65" t="str">
        <f>IFERROR(VLOOKUP(TableHandbook[[#This Row],[UDC]],TableMJRUHISTR[],7,FALSE),"")</f>
        <v/>
      </c>
      <c r="R19" s="65" t="str">
        <f>IFERROR(VLOOKUP(TableHandbook[[#This Row],[UDC]],TableMJRUINAUC[],7,FALSE),"")</f>
        <v/>
      </c>
      <c r="S19" s="65" t="str">
        <f>IFERROR(VLOOKUP(TableHandbook[[#This Row],[UDC]],TableMJRUINTRL[],7,FALSE),"")</f>
        <v/>
      </c>
      <c r="T19" s="65" t="str">
        <f>IFERROR(VLOOKUP(TableHandbook[[#This Row],[UDC]],TableMJRUJAPAN[],7,FALSE),"")</f>
        <v/>
      </c>
      <c r="U19" s="65" t="str">
        <f>IFERROR(VLOOKUP(TableHandbook[[#This Row],[UDC]],TableMJRUJOURN[],7,FALSE),"")</f>
        <v/>
      </c>
      <c r="V19" s="65" t="str">
        <f>IFERROR(VLOOKUP(TableHandbook[[#This Row],[UDC]],TableMJRUKORES[],7,FALSE),"")</f>
        <v/>
      </c>
      <c r="W19" s="65" t="str">
        <f>IFERROR(VLOOKUP(TableHandbook[[#This Row],[UDC]],TableMJRULITCU[],7,FALSE),"")</f>
        <v/>
      </c>
      <c r="X19" s="65" t="str">
        <f>IFERROR(VLOOKUP(TableHandbook[[#This Row],[UDC]],TableMJRUNETCM[],7,FALSE),"")</f>
        <v/>
      </c>
      <c r="Y19" s="65" t="str">
        <f>IFERROR(VLOOKUP(TableHandbook[[#This Row],[UDC]],TableMJRUPRWRP[],7,FALSE),"")</f>
        <v/>
      </c>
      <c r="Z19" s="66" t="str">
        <f>IFERROR(VLOOKUP(TableHandbook[[#This Row],[UDC]],TableMJRUSCSTR[],7,FALSE),"")</f>
        <v/>
      </c>
      <c r="AA19" s="74"/>
      <c r="AB19" s="66" t="str">
        <f>IFERROR(VLOOKUP(TableHandbook[[#This Row],[UDC]],TableMJRUBSLAW[],7,FALSE),"")</f>
        <v/>
      </c>
      <c r="AC19" s="66" t="str">
        <f>IFERROR(VLOOKUP(TableHandbook[[#This Row],[UDC]],TableMJRUECONS[],7,FALSE),"")</f>
        <v/>
      </c>
      <c r="AD19" s="66" t="str">
        <f>IFERROR(VLOOKUP(TableHandbook[[#This Row],[UDC]],TableMJRUFINAR[],7,FALSE),"")</f>
        <v/>
      </c>
      <c r="AE19" s="66" t="str">
        <f>IFERROR(VLOOKUP(TableHandbook[[#This Row],[UDC]],TableMJRUFINCE[],7,FALSE),"")</f>
        <v/>
      </c>
      <c r="AF19" s="66" t="str">
        <f>IFERROR(VLOOKUP(TableHandbook[[#This Row],[UDC]],TableMJRUHRMGM[],7,FALSE),"")</f>
        <v/>
      </c>
      <c r="AG19" s="66" t="str">
        <f>IFERROR(VLOOKUP(TableHandbook[[#This Row],[UDC]],TableMJRUINTBU[],7,FALSE),"")</f>
        <v/>
      </c>
      <c r="AH19" s="66" t="str">
        <f>IFERROR(VLOOKUP(TableHandbook[[#This Row],[UDC]],TableMJRULGSCM[],7,FALSE),"")</f>
        <v/>
      </c>
      <c r="AI19" s="66" t="str">
        <f>IFERROR(VLOOKUP(TableHandbook[[#This Row],[UDC]],TableMJRUMNGMT[],7,FALSE),"")</f>
        <v/>
      </c>
      <c r="AJ19" s="66" t="str">
        <f>IFERROR(VLOOKUP(TableHandbook[[#This Row],[UDC]],TableMJRUMRKTG[],7,FALSE),"")</f>
        <v/>
      </c>
      <c r="AK19" s="66" t="str">
        <f>IFERROR(VLOOKUP(TableHandbook[[#This Row],[UDC]],TableMJRUPRPTY[],7,FALSE),"")</f>
        <v/>
      </c>
      <c r="AL19" s="66" t="str">
        <f>IFERROR(VLOOKUP(TableHandbook[[#This Row],[UDC]],TableMJRUSCRAR[],7,FALSE),"")</f>
        <v/>
      </c>
      <c r="AM19" s="66" t="str">
        <f>IFERROR(VLOOKUP(TableHandbook[[#This Row],[UDC]],TableMJRUTHTRA[],7,FALSE),"")</f>
        <v/>
      </c>
      <c r="AN19" s="66" t="str">
        <f>IFERROR(VLOOKUP(TableHandbook[[#This Row],[UDC]],TableMJRUTRHOS[],7,FALSE),"")</f>
        <v>AltCore</v>
      </c>
    </row>
    <row r="20" spans="1:40" x14ac:dyDescent="0.25">
      <c r="A20" s="8" t="s">
        <v>39</v>
      </c>
      <c r="B20" s="9">
        <v>1</v>
      </c>
      <c r="C20" s="8"/>
      <c r="D20" s="8" t="s">
        <v>525</v>
      </c>
      <c r="E20" s="9">
        <v>25</v>
      </c>
      <c r="F20" s="49" t="s">
        <v>526</v>
      </c>
      <c r="G20" s="67" t="str">
        <f>IFERROR(IF(VLOOKUP(TableHandbook[[#This Row],[UDC]],TableAvailabilities[],2,FALSE)&gt;0,"Y",""),"")</f>
        <v>Y</v>
      </c>
      <c r="H20" s="68" t="str">
        <f>IFERROR(IF(VLOOKUP(TableHandbook[[#This Row],[UDC]],TableAvailabilities[],3,FALSE)&gt;0,"Y",""),"")</f>
        <v>Y</v>
      </c>
      <c r="I20" s="69" t="str">
        <f>IFERROR(IF(VLOOKUP(TableHandbook[[#This Row],[UDC]],TableAvailabilities[],4,FALSE)&gt;0,"Y",""),"")</f>
        <v/>
      </c>
      <c r="J20" s="70" t="str">
        <f>IFERROR(IF(VLOOKUP(TableHandbook[[#This Row],[UDC]],TableAvailabilities[],5,FALSE)&gt;0,"Y",""),"")</f>
        <v/>
      </c>
      <c r="K20" s="163"/>
      <c r="L20" s="64" t="str">
        <f>IFERROR(VLOOKUP(TableHandbook[[#This Row],[UDC]],TableBARTS[],7,FALSE),"")</f>
        <v>Option</v>
      </c>
      <c r="M20" s="65" t="str">
        <f>IFERROR(VLOOKUP(TableHandbook[[#This Row],[UDC]],TableMJRUANTSO[],7,FALSE),"")</f>
        <v/>
      </c>
      <c r="N20" s="65" t="str">
        <f>IFERROR(VLOOKUP(TableHandbook[[#This Row],[UDC]],TableMJRUCHNSE[],7,FALSE),"")</f>
        <v/>
      </c>
      <c r="O20" s="65" t="str">
        <f>IFERROR(VLOOKUP(TableHandbook[[#This Row],[UDC]],TableMJRUCRWRI[],7,FALSE),"")</f>
        <v/>
      </c>
      <c r="P20" s="65" t="str">
        <f>IFERROR(VLOOKUP(TableHandbook[[#This Row],[UDC]],TableMJRUGEOGR[],7,FALSE),"")</f>
        <v/>
      </c>
      <c r="Q20" s="65" t="str">
        <f>IFERROR(VLOOKUP(TableHandbook[[#This Row],[UDC]],TableMJRUHISTR[],7,FALSE),"")</f>
        <v/>
      </c>
      <c r="R20" s="65" t="str">
        <f>IFERROR(VLOOKUP(TableHandbook[[#This Row],[UDC]],TableMJRUINAUC[],7,FALSE),"")</f>
        <v/>
      </c>
      <c r="S20" s="65" t="str">
        <f>IFERROR(VLOOKUP(TableHandbook[[#This Row],[UDC]],TableMJRUINTRL[],7,FALSE),"")</f>
        <v/>
      </c>
      <c r="T20" s="65" t="str">
        <f>IFERROR(VLOOKUP(TableHandbook[[#This Row],[UDC]],TableMJRUJAPAN[],7,FALSE),"")</f>
        <v/>
      </c>
      <c r="U20" s="65" t="str">
        <f>IFERROR(VLOOKUP(TableHandbook[[#This Row],[UDC]],TableMJRUJOURN[],7,FALSE),"")</f>
        <v/>
      </c>
      <c r="V20" s="65" t="str">
        <f>IFERROR(VLOOKUP(TableHandbook[[#This Row],[UDC]],TableMJRUKORES[],7,FALSE),"")</f>
        <v/>
      </c>
      <c r="W20" s="65" t="str">
        <f>IFERROR(VLOOKUP(TableHandbook[[#This Row],[UDC]],TableMJRULITCU[],7,FALSE),"")</f>
        <v/>
      </c>
      <c r="X20" s="65" t="str">
        <f>IFERROR(VLOOKUP(TableHandbook[[#This Row],[UDC]],TableMJRUNETCM[],7,FALSE),"")</f>
        <v/>
      </c>
      <c r="Y20" s="65" t="str">
        <f>IFERROR(VLOOKUP(TableHandbook[[#This Row],[UDC]],TableMJRUPRWRP[],7,FALSE),"")</f>
        <v/>
      </c>
      <c r="Z20" s="66" t="str">
        <f>IFERROR(VLOOKUP(TableHandbook[[#This Row],[UDC]],TableMJRUSCSTR[],7,FALSE),"")</f>
        <v/>
      </c>
      <c r="AA20" s="74"/>
      <c r="AB20" s="66" t="str">
        <f>IFERROR(VLOOKUP(TableHandbook[[#This Row],[UDC]],TableMJRUBSLAW[],7,FALSE),"")</f>
        <v/>
      </c>
      <c r="AC20" s="66" t="str">
        <f>IFERROR(VLOOKUP(TableHandbook[[#This Row],[UDC]],TableMJRUECONS[],7,FALSE),"")</f>
        <v/>
      </c>
      <c r="AD20" s="66" t="str">
        <f>IFERROR(VLOOKUP(TableHandbook[[#This Row],[UDC]],TableMJRUFINAR[],7,FALSE),"")</f>
        <v/>
      </c>
      <c r="AE20" s="66" t="str">
        <f>IFERROR(VLOOKUP(TableHandbook[[#This Row],[UDC]],TableMJRUFINCE[],7,FALSE),"")</f>
        <v/>
      </c>
      <c r="AF20" s="66" t="str">
        <f>IFERROR(VLOOKUP(TableHandbook[[#This Row],[UDC]],TableMJRUHRMGM[],7,FALSE),"")</f>
        <v/>
      </c>
      <c r="AG20" s="66" t="str">
        <f>IFERROR(VLOOKUP(TableHandbook[[#This Row],[UDC]],TableMJRUINTBU[],7,FALSE),"")</f>
        <v/>
      </c>
      <c r="AH20" s="66" t="str">
        <f>IFERROR(VLOOKUP(TableHandbook[[#This Row],[UDC]],TableMJRULGSCM[],7,FALSE),"")</f>
        <v/>
      </c>
      <c r="AI20" s="66" t="str">
        <f>IFERROR(VLOOKUP(TableHandbook[[#This Row],[UDC]],TableMJRUMNGMT[],7,FALSE),"")</f>
        <v/>
      </c>
      <c r="AJ20" s="66" t="str">
        <f>IFERROR(VLOOKUP(TableHandbook[[#This Row],[UDC]],TableMJRUMRKTG[],7,FALSE),"")</f>
        <v/>
      </c>
      <c r="AK20" s="66" t="str">
        <f>IFERROR(VLOOKUP(TableHandbook[[#This Row],[UDC]],TableMJRUPRPTY[],7,FALSE),"")</f>
        <v/>
      </c>
      <c r="AL20" s="66" t="str">
        <f>IFERROR(VLOOKUP(TableHandbook[[#This Row],[UDC]],TableMJRUSCRAR[],7,FALSE),"")</f>
        <v/>
      </c>
      <c r="AM20" s="66" t="str">
        <f>IFERROR(VLOOKUP(TableHandbook[[#This Row],[UDC]],TableMJRUTHTRA[],7,FALSE),"")</f>
        <v/>
      </c>
      <c r="AN20" s="66" t="str">
        <f>IFERROR(VLOOKUP(TableHandbook[[#This Row],[UDC]],TableMJRUTRHOS[],7,FALSE),"")</f>
        <v/>
      </c>
    </row>
    <row r="21" spans="1:40" x14ac:dyDescent="0.25">
      <c r="A21" s="8" t="s">
        <v>41</v>
      </c>
      <c r="B21" s="9">
        <v>2</v>
      </c>
      <c r="C21" s="8"/>
      <c r="D21" s="8" t="s">
        <v>527</v>
      </c>
      <c r="E21" s="9">
        <v>25</v>
      </c>
      <c r="F21" s="49" t="s">
        <v>526</v>
      </c>
      <c r="G21" s="67" t="str">
        <f>IFERROR(IF(VLOOKUP(TableHandbook[[#This Row],[UDC]],TableAvailabilities[],2,FALSE)&gt;0,"Y",""),"")</f>
        <v/>
      </c>
      <c r="H21" s="68" t="str">
        <f>IFERROR(IF(VLOOKUP(TableHandbook[[#This Row],[UDC]],TableAvailabilities[],3,FALSE)&gt;0,"Y",""),"")</f>
        <v/>
      </c>
      <c r="I21" s="69" t="str">
        <f>IFERROR(IF(VLOOKUP(TableHandbook[[#This Row],[UDC]],TableAvailabilities[],4,FALSE)&gt;0,"Y",""),"")</f>
        <v>Y</v>
      </c>
      <c r="J21" s="70" t="str">
        <f>IFERROR(IF(VLOOKUP(TableHandbook[[#This Row],[UDC]],TableAvailabilities[],5,FALSE)&gt;0,"Y",""),"")</f>
        <v>Y</v>
      </c>
      <c r="K21" s="163"/>
      <c r="L21" s="64" t="str">
        <f>IFERROR(VLOOKUP(TableHandbook[[#This Row],[UDC]],TableBARTS[],7,FALSE),"")</f>
        <v>Option</v>
      </c>
      <c r="M21" s="65" t="str">
        <f>IFERROR(VLOOKUP(TableHandbook[[#This Row],[UDC]],TableMJRUANTSO[],7,FALSE),"")</f>
        <v/>
      </c>
      <c r="N21" s="65" t="str">
        <f>IFERROR(VLOOKUP(TableHandbook[[#This Row],[UDC]],TableMJRUCHNSE[],7,FALSE),"")</f>
        <v/>
      </c>
      <c r="O21" s="65" t="str">
        <f>IFERROR(VLOOKUP(TableHandbook[[#This Row],[UDC]],TableMJRUCRWRI[],7,FALSE),"")</f>
        <v/>
      </c>
      <c r="P21" s="65" t="str">
        <f>IFERROR(VLOOKUP(TableHandbook[[#This Row],[UDC]],TableMJRUGEOGR[],7,FALSE),"")</f>
        <v/>
      </c>
      <c r="Q21" s="65" t="str">
        <f>IFERROR(VLOOKUP(TableHandbook[[#This Row],[UDC]],TableMJRUHISTR[],7,FALSE),"")</f>
        <v/>
      </c>
      <c r="R21" s="65" t="str">
        <f>IFERROR(VLOOKUP(TableHandbook[[#This Row],[UDC]],TableMJRUINAUC[],7,FALSE),"")</f>
        <v/>
      </c>
      <c r="S21" s="65" t="str">
        <f>IFERROR(VLOOKUP(TableHandbook[[#This Row],[UDC]],TableMJRUINTRL[],7,FALSE),"")</f>
        <v/>
      </c>
      <c r="T21" s="65" t="str">
        <f>IFERROR(VLOOKUP(TableHandbook[[#This Row],[UDC]],TableMJRUJAPAN[],7,FALSE),"")</f>
        <v/>
      </c>
      <c r="U21" s="65" t="str">
        <f>IFERROR(VLOOKUP(TableHandbook[[#This Row],[UDC]],TableMJRUJOURN[],7,FALSE),"")</f>
        <v/>
      </c>
      <c r="V21" s="65" t="str">
        <f>IFERROR(VLOOKUP(TableHandbook[[#This Row],[UDC]],TableMJRUKORES[],7,FALSE),"")</f>
        <v/>
      </c>
      <c r="W21" s="65" t="str">
        <f>IFERROR(VLOOKUP(TableHandbook[[#This Row],[UDC]],TableMJRULITCU[],7,FALSE),"")</f>
        <v/>
      </c>
      <c r="X21" s="65" t="str">
        <f>IFERROR(VLOOKUP(TableHandbook[[#This Row],[UDC]],TableMJRUNETCM[],7,FALSE),"")</f>
        <v/>
      </c>
      <c r="Y21" s="65" t="str">
        <f>IFERROR(VLOOKUP(TableHandbook[[#This Row],[UDC]],TableMJRUPRWRP[],7,FALSE),"")</f>
        <v/>
      </c>
      <c r="Z21" s="66" t="str">
        <f>IFERROR(VLOOKUP(TableHandbook[[#This Row],[UDC]],TableMJRUSCSTR[],7,FALSE),"")</f>
        <v/>
      </c>
      <c r="AA21" s="74"/>
      <c r="AB21" s="66" t="str">
        <f>IFERROR(VLOOKUP(TableHandbook[[#This Row],[UDC]],TableMJRUBSLAW[],7,FALSE),"")</f>
        <v/>
      </c>
      <c r="AC21" s="66" t="str">
        <f>IFERROR(VLOOKUP(TableHandbook[[#This Row],[UDC]],TableMJRUECONS[],7,FALSE),"")</f>
        <v/>
      </c>
      <c r="AD21" s="66" t="str">
        <f>IFERROR(VLOOKUP(TableHandbook[[#This Row],[UDC]],TableMJRUFINAR[],7,FALSE),"")</f>
        <v/>
      </c>
      <c r="AE21" s="66" t="str">
        <f>IFERROR(VLOOKUP(TableHandbook[[#This Row],[UDC]],TableMJRUFINCE[],7,FALSE),"")</f>
        <v/>
      </c>
      <c r="AF21" s="66" t="str">
        <f>IFERROR(VLOOKUP(TableHandbook[[#This Row],[UDC]],TableMJRUHRMGM[],7,FALSE),"")</f>
        <v/>
      </c>
      <c r="AG21" s="66" t="str">
        <f>IFERROR(VLOOKUP(TableHandbook[[#This Row],[UDC]],TableMJRUINTBU[],7,FALSE),"")</f>
        <v/>
      </c>
      <c r="AH21" s="66" t="str">
        <f>IFERROR(VLOOKUP(TableHandbook[[#This Row],[UDC]],TableMJRULGSCM[],7,FALSE),"")</f>
        <v/>
      </c>
      <c r="AI21" s="66" t="str">
        <f>IFERROR(VLOOKUP(TableHandbook[[#This Row],[UDC]],TableMJRUMNGMT[],7,FALSE),"")</f>
        <v/>
      </c>
      <c r="AJ21" s="66" t="str">
        <f>IFERROR(VLOOKUP(TableHandbook[[#This Row],[UDC]],TableMJRUMRKTG[],7,FALSE),"")</f>
        <v/>
      </c>
      <c r="AK21" s="66" t="str">
        <f>IFERROR(VLOOKUP(TableHandbook[[#This Row],[UDC]],TableMJRUPRPTY[],7,FALSE),"")</f>
        <v/>
      </c>
      <c r="AL21" s="66" t="str">
        <f>IFERROR(VLOOKUP(TableHandbook[[#This Row],[UDC]],TableMJRUSCRAR[],7,FALSE),"")</f>
        <v/>
      </c>
      <c r="AM21" s="66" t="str">
        <f>IFERROR(VLOOKUP(TableHandbook[[#This Row],[UDC]],TableMJRUTHTRA[],7,FALSE),"")</f>
        <v/>
      </c>
      <c r="AN21" s="66" t="str">
        <f>IFERROR(VLOOKUP(TableHandbook[[#This Row],[UDC]],TableMJRUTRHOS[],7,FALSE),"")</f>
        <v/>
      </c>
    </row>
    <row r="22" spans="1:40" x14ac:dyDescent="0.25">
      <c r="A22" s="8" t="s">
        <v>195</v>
      </c>
      <c r="B22" s="9">
        <v>1</v>
      </c>
      <c r="C22" s="8"/>
      <c r="D22" s="8" t="s">
        <v>528</v>
      </c>
      <c r="E22" s="9">
        <v>25</v>
      </c>
      <c r="F22" s="49" t="s">
        <v>526</v>
      </c>
      <c r="G22" s="67" t="str">
        <f>IFERROR(IF(VLOOKUP(TableHandbook[[#This Row],[UDC]],TableAvailabilities[],2,FALSE)&gt;0,"Y",""),"")</f>
        <v/>
      </c>
      <c r="H22" s="68" t="str">
        <f>IFERROR(IF(VLOOKUP(TableHandbook[[#This Row],[UDC]],TableAvailabilities[],3,FALSE)&gt;0,"Y",""),"")</f>
        <v/>
      </c>
      <c r="I22" s="69" t="str">
        <f>IFERROR(IF(VLOOKUP(TableHandbook[[#This Row],[UDC]],TableAvailabilities[],4,FALSE)&gt;0,"Y",""),"")</f>
        <v>Y</v>
      </c>
      <c r="J22" s="70" t="str">
        <f>IFERROR(IF(VLOOKUP(TableHandbook[[#This Row],[UDC]],TableAvailabilities[],5,FALSE)&gt;0,"Y",""),"")</f>
        <v>Y</v>
      </c>
      <c r="K22" s="163"/>
      <c r="L22" s="64" t="str">
        <f>IFERROR(VLOOKUP(TableHandbook[[#This Row],[UDC]],TableBARTS[],7,FALSE),"")</f>
        <v/>
      </c>
      <c r="M22" s="65" t="str">
        <f>IFERROR(VLOOKUP(TableHandbook[[#This Row],[UDC]],TableMJRUANTSO[],7,FALSE),"")</f>
        <v>Core</v>
      </c>
      <c r="N22" s="65" t="str">
        <f>IFERROR(VLOOKUP(TableHandbook[[#This Row],[UDC]],TableMJRUCHNSE[],7,FALSE),"")</f>
        <v/>
      </c>
      <c r="O22" s="65" t="str">
        <f>IFERROR(VLOOKUP(TableHandbook[[#This Row],[UDC]],TableMJRUCRWRI[],7,FALSE),"")</f>
        <v/>
      </c>
      <c r="P22" s="65" t="str">
        <f>IFERROR(VLOOKUP(TableHandbook[[#This Row],[UDC]],TableMJRUGEOGR[],7,FALSE),"")</f>
        <v/>
      </c>
      <c r="Q22" s="65" t="str">
        <f>IFERROR(VLOOKUP(TableHandbook[[#This Row],[UDC]],TableMJRUHISTR[],7,FALSE),"")</f>
        <v/>
      </c>
      <c r="R22" s="65" t="str">
        <f>IFERROR(VLOOKUP(TableHandbook[[#This Row],[UDC]],TableMJRUINAUC[],7,FALSE),"")</f>
        <v/>
      </c>
      <c r="S22" s="65" t="str">
        <f>IFERROR(VLOOKUP(TableHandbook[[#This Row],[UDC]],TableMJRUINTRL[],7,FALSE),"")</f>
        <v/>
      </c>
      <c r="T22" s="65" t="str">
        <f>IFERROR(VLOOKUP(TableHandbook[[#This Row],[UDC]],TableMJRUJAPAN[],7,FALSE),"")</f>
        <v/>
      </c>
      <c r="U22" s="65" t="str">
        <f>IFERROR(VLOOKUP(TableHandbook[[#This Row],[UDC]],TableMJRUJOURN[],7,FALSE),"")</f>
        <v/>
      </c>
      <c r="V22" s="65" t="str">
        <f>IFERROR(VLOOKUP(TableHandbook[[#This Row],[UDC]],TableMJRUKORES[],7,FALSE),"")</f>
        <v/>
      </c>
      <c r="W22" s="65" t="str">
        <f>IFERROR(VLOOKUP(TableHandbook[[#This Row],[UDC]],TableMJRULITCU[],7,FALSE),"")</f>
        <v/>
      </c>
      <c r="X22" s="65" t="str">
        <f>IFERROR(VLOOKUP(TableHandbook[[#This Row],[UDC]],TableMJRUNETCM[],7,FALSE),"")</f>
        <v/>
      </c>
      <c r="Y22" s="65" t="str">
        <f>IFERROR(VLOOKUP(TableHandbook[[#This Row],[UDC]],TableMJRUPRWRP[],7,FALSE),"")</f>
        <v/>
      </c>
      <c r="Z22" s="66" t="str">
        <f>IFERROR(VLOOKUP(TableHandbook[[#This Row],[UDC]],TableMJRUSCSTR[],7,FALSE),"")</f>
        <v/>
      </c>
      <c r="AA22" s="74"/>
      <c r="AB22" s="66" t="str">
        <f>IFERROR(VLOOKUP(TableHandbook[[#This Row],[UDC]],TableMJRUBSLAW[],7,FALSE),"")</f>
        <v/>
      </c>
      <c r="AC22" s="66" t="str">
        <f>IFERROR(VLOOKUP(TableHandbook[[#This Row],[UDC]],TableMJRUECONS[],7,FALSE),"")</f>
        <v/>
      </c>
      <c r="AD22" s="66" t="str">
        <f>IFERROR(VLOOKUP(TableHandbook[[#This Row],[UDC]],TableMJRUFINAR[],7,FALSE),"")</f>
        <v/>
      </c>
      <c r="AE22" s="66" t="str">
        <f>IFERROR(VLOOKUP(TableHandbook[[#This Row],[UDC]],TableMJRUFINCE[],7,FALSE),"")</f>
        <v/>
      </c>
      <c r="AF22" s="66" t="str">
        <f>IFERROR(VLOOKUP(TableHandbook[[#This Row],[UDC]],TableMJRUHRMGM[],7,FALSE),"")</f>
        <v/>
      </c>
      <c r="AG22" s="66" t="str">
        <f>IFERROR(VLOOKUP(TableHandbook[[#This Row],[UDC]],TableMJRUINTBU[],7,FALSE),"")</f>
        <v/>
      </c>
      <c r="AH22" s="66" t="str">
        <f>IFERROR(VLOOKUP(TableHandbook[[#This Row],[UDC]],TableMJRULGSCM[],7,FALSE),"")</f>
        <v/>
      </c>
      <c r="AI22" s="66" t="str">
        <f>IFERROR(VLOOKUP(TableHandbook[[#This Row],[UDC]],TableMJRUMNGMT[],7,FALSE),"")</f>
        <v/>
      </c>
      <c r="AJ22" s="66" t="str">
        <f>IFERROR(VLOOKUP(TableHandbook[[#This Row],[UDC]],TableMJRUMRKTG[],7,FALSE),"")</f>
        <v/>
      </c>
      <c r="AK22" s="66" t="str">
        <f>IFERROR(VLOOKUP(TableHandbook[[#This Row],[UDC]],TableMJRUPRPTY[],7,FALSE),"")</f>
        <v/>
      </c>
      <c r="AL22" s="66" t="str">
        <f>IFERROR(VLOOKUP(TableHandbook[[#This Row],[UDC]],TableMJRUSCRAR[],7,FALSE),"")</f>
        <v/>
      </c>
      <c r="AM22" s="66" t="str">
        <f>IFERROR(VLOOKUP(TableHandbook[[#This Row],[UDC]],TableMJRUTHTRA[],7,FALSE),"")</f>
        <v/>
      </c>
      <c r="AN22" s="66" t="str">
        <f>IFERROR(VLOOKUP(TableHandbook[[#This Row],[UDC]],TableMJRUTRHOS[],7,FALSE),"")</f>
        <v/>
      </c>
    </row>
    <row r="23" spans="1:40" x14ac:dyDescent="0.25">
      <c r="A23" s="8" t="s">
        <v>219</v>
      </c>
      <c r="B23" s="9">
        <v>1</v>
      </c>
      <c r="C23" s="8"/>
      <c r="D23" s="8" t="s">
        <v>529</v>
      </c>
      <c r="E23" s="9">
        <v>25</v>
      </c>
      <c r="F23" s="49" t="s">
        <v>526</v>
      </c>
      <c r="G23" s="67" t="str">
        <f>IFERROR(IF(VLOOKUP(TableHandbook[[#This Row],[UDC]],TableAvailabilities[],2,FALSE)&gt;0,"Y",""),"")</f>
        <v/>
      </c>
      <c r="H23" s="68" t="str">
        <f>IFERROR(IF(VLOOKUP(TableHandbook[[#This Row],[UDC]],TableAvailabilities[],3,FALSE)&gt;0,"Y",""),"")</f>
        <v/>
      </c>
      <c r="I23" s="69" t="str">
        <f>IFERROR(IF(VLOOKUP(TableHandbook[[#This Row],[UDC]],TableAvailabilities[],4,FALSE)&gt;0,"Y",""),"")</f>
        <v>Y</v>
      </c>
      <c r="J23" s="70" t="str">
        <f>IFERROR(IF(VLOOKUP(TableHandbook[[#This Row],[UDC]],TableAvailabilities[],5,FALSE)&gt;0,"Y",""),"")</f>
        <v>Y</v>
      </c>
      <c r="K23" s="163"/>
      <c r="L23" s="64" t="str">
        <f>IFERROR(VLOOKUP(TableHandbook[[#This Row],[UDC]],TableBARTS[],7,FALSE),"")</f>
        <v/>
      </c>
      <c r="M23" s="65" t="str">
        <f>IFERROR(VLOOKUP(TableHandbook[[#This Row],[UDC]],TableMJRUANTSO[],7,FALSE),"")</f>
        <v>Core</v>
      </c>
      <c r="N23" s="65" t="str">
        <f>IFERROR(VLOOKUP(TableHandbook[[#This Row],[UDC]],TableMJRUCHNSE[],7,FALSE),"")</f>
        <v/>
      </c>
      <c r="O23" s="65" t="str">
        <f>IFERROR(VLOOKUP(TableHandbook[[#This Row],[UDC]],TableMJRUCRWRI[],7,FALSE),"")</f>
        <v/>
      </c>
      <c r="P23" s="65" t="str">
        <f>IFERROR(VLOOKUP(TableHandbook[[#This Row],[UDC]],TableMJRUGEOGR[],7,FALSE),"")</f>
        <v/>
      </c>
      <c r="Q23" s="65" t="str">
        <f>IFERROR(VLOOKUP(TableHandbook[[#This Row],[UDC]],TableMJRUHISTR[],7,FALSE),"")</f>
        <v/>
      </c>
      <c r="R23" s="65" t="str">
        <f>IFERROR(VLOOKUP(TableHandbook[[#This Row],[UDC]],TableMJRUINAUC[],7,FALSE),"")</f>
        <v/>
      </c>
      <c r="S23" s="65" t="str">
        <f>IFERROR(VLOOKUP(TableHandbook[[#This Row],[UDC]],TableMJRUINTRL[],7,FALSE),"")</f>
        <v/>
      </c>
      <c r="T23" s="65" t="str">
        <f>IFERROR(VLOOKUP(TableHandbook[[#This Row],[UDC]],TableMJRUJAPAN[],7,FALSE),"")</f>
        <v/>
      </c>
      <c r="U23" s="65" t="str">
        <f>IFERROR(VLOOKUP(TableHandbook[[#This Row],[UDC]],TableMJRUJOURN[],7,FALSE),"")</f>
        <v/>
      </c>
      <c r="V23" s="65" t="str">
        <f>IFERROR(VLOOKUP(TableHandbook[[#This Row],[UDC]],TableMJRUKORES[],7,FALSE),"")</f>
        <v/>
      </c>
      <c r="W23" s="65" t="str">
        <f>IFERROR(VLOOKUP(TableHandbook[[#This Row],[UDC]],TableMJRULITCU[],7,FALSE),"")</f>
        <v>Option</v>
      </c>
      <c r="X23" s="65" t="str">
        <f>IFERROR(VLOOKUP(TableHandbook[[#This Row],[UDC]],TableMJRUNETCM[],7,FALSE),"")</f>
        <v/>
      </c>
      <c r="Y23" s="65" t="str">
        <f>IFERROR(VLOOKUP(TableHandbook[[#This Row],[UDC]],TableMJRUPRWRP[],7,FALSE),"")</f>
        <v/>
      </c>
      <c r="Z23" s="66" t="str">
        <f>IFERROR(VLOOKUP(TableHandbook[[#This Row],[UDC]],TableMJRUSCSTR[],7,FALSE),"")</f>
        <v/>
      </c>
      <c r="AA23" s="74"/>
      <c r="AB23" s="66" t="str">
        <f>IFERROR(VLOOKUP(TableHandbook[[#This Row],[UDC]],TableMJRUBSLAW[],7,FALSE),"")</f>
        <v/>
      </c>
      <c r="AC23" s="66" t="str">
        <f>IFERROR(VLOOKUP(TableHandbook[[#This Row],[UDC]],TableMJRUECONS[],7,FALSE),"")</f>
        <v/>
      </c>
      <c r="AD23" s="66" t="str">
        <f>IFERROR(VLOOKUP(TableHandbook[[#This Row],[UDC]],TableMJRUFINAR[],7,FALSE),"")</f>
        <v/>
      </c>
      <c r="AE23" s="66" t="str">
        <f>IFERROR(VLOOKUP(TableHandbook[[#This Row],[UDC]],TableMJRUFINCE[],7,FALSE),"")</f>
        <v/>
      </c>
      <c r="AF23" s="66" t="str">
        <f>IFERROR(VLOOKUP(TableHandbook[[#This Row],[UDC]],TableMJRUHRMGM[],7,FALSE),"")</f>
        <v/>
      </c>
      <c r="AG23" s="66" t="str">
        <f>IFERROR(VLOOKUP(TableHandbook[[#This Row],[UDC]],TableMJRUINTBU[],7,FALSE),"")</f>
        <v/>
      </c>
      <c r="AH23" s="66" t="str">
        <f>IFERROR(VLOOKUP(TableHandbook[[#This Row],[UDC]],TableMJRULGSCM[],7,FALSE),"")</f>
        <v/>
      </c>
      <c r="AI23" s="66" t="str">
        <f>IFERROR(VLOOKUP(TableHandbook[[#This Row],[UDC]],TableMJRUMNGMT[],7,FALSE),"")</f>
        <v/>
      </c>
      <c r="AJ23" s="66" t="str">
        <f>IFERROR(VLOOKUP(TableHandbook[[#This Row],[UDC]],TableMJRUMRKTG[],7,FALSE),"")</f>
        <v/>
      </c>
      <c r="AK23" s="66" t="str">
        <f>IFERROR(VLOOKUP(TableHandbook[[#This Row],[UDC]],TableMJRUPRPTY[],7,FALSE),"")</f>
        <v/>
      </c>
      <c r="AL23" s="66" t="str">
        <f>IFERROR(VLOOKUP(TableHandbook[[#This Row],[UDC]],TableMJRUSCRAR[],7,FALSE),"")</f>
        <v/>
      </c>
      <c r="AM23" s="66" t="str">
        <f>IFERROR(VLOOKUP(TableHandbook[[#This Row],[UDC]],TableMJRUTHTRA[],7,FALSE),"")</f>
        <v/>
      </c>
      <c r="AN23" s="66" t="str">
        <f>IFERROR(VLOOKUP(TableHandbook[[#This Row],[UDC]],TableMJRUTRHOS[],7,FALSE),"")</f>
        <v/>
      </c>
    </row>
    <row r="24" spans="1:40" x14ac:dyDescent="0.25">
      <c r="A24" s="8" t="s">
        <v>194</v>
      </c>
      <c r="B24" s="9">
        <v>1</v>
      </c>
      <c r="C24" s="8"/>
      <c r="D24" s="8" t="s">
        <v>530</v>
      </c>
      <c r="E24" s="9">
        <v>25</v>
      </c>
      <c r="F24" s="49" t="s">
        <v>526</v>
      </c>
      <c r="G24" s="67" t="str">
        <f>IFERROR(IF(VLOOKUP(TableHandbook[[#This Row],[UDC]],TableAvailabilities[],2,FALSE)&gt;0,"Y",""),"")</f>
        <v>Y</v>
      </c>
      <c r="H24" s="68" t="str">
        <f>IFERROR(IF(VLOOKUP(TableHandbook[[#This Row],[UDC]],TableAvailabilities[],3,FALSE)&gt;0,"Y",""),"")</f>
        <v>Y</v>
      </c>
      <c r="I24" s="69" t="str">
        <f>IFERROR(IF(VLOOKUP(TableHandbook[[#This Row],[UDC]],TableAvailabilities[],4,FALSE)&gt;0,"Y",""),"")</f>
        <v/>
      </c>
      <c r="J24" s="70" t="str">
        <f>IFERROR(IF(VLOOKUP(TableHandbook[[#This Row],[UDC]],TableAvailabilities[],5,FALSE)&gt;0,"Y",""),"")</f>
        <v/>
      </c>
      <c r="K24" s="163"/>
      <c r="L24" s="64" t="str">
        <f>IFERROR(VLOOKUP(TableHandbook[[#This Row],[UDC]],TableBARTS[],7,FALSE),"")</f>
        <v/>
      </c>
      <c r="M24" s="65" t="str">
        <f>IFERROR(VLOOKUP(TableHandbook[[#This Row],[UDC]],TableMJRUANTSO[],7,FALSE),"")</f>
        <v>Core</v>
      </c>
      <c r="N24" s="65" t="str">
        <f>IFERROR(VLOOKUP(TableHandbook[[#This Row],[UDC]],TableMJRUCHNSE[],7,FALSE),"")</f>
        <v/>
      </c>
      <c r="O24" s="65" t="str">
        <f>IFERROR(VLOOKUP(TableHandbook[[#This Row],[UDC]],TableMJRUCRWRI[],7,FALSE),"")</f>
        <v/>
      </c>
      <c r="P24" s="65" t="str">
        <f>IFERROR(VLOOKUP(TableHandbook[[#This Row],[UDC]],TableMJRUGEOGR[],7,FALSE),"")</f>
        <v/>
      </c>
      <c r="Q24" s="65" t="str">
        <f>IFERROR(VLOOKUP(TableHandbook[[#This Row],[UDC]],TableMJRUHISTR[],7,FALSE),"")</f>
        <v/>
      </c>
      <c r="R24" s="65" t="str">
        <f>IFERROR(VLOOKUP(TableHandbook[[#This Row],[UDC]],TableMJRUINAUC[],7,FALSE),"")</f>
        <v/>
      </c>
      <c r="S24" s="65" t="str">
        <f>IFERROR(VLOOKUP(TableHandbook[[#This Row],[UDC]],TableMJRUINTRL[],7,FALSE),"")</f>
        <v/>
      </c>
      <c r="T24" s="65" t="str">
        <f>IFERROR(VLOOKUP(TableHandbook[[#This Row],[UDC]],TableMJRUJAPAN[],7,FALSE),"")</f>
        <v/>
      </c>
      <c r="U24" s="65" t="str">
        <f>IFERROR(VLOOKUP(TableHandbook[[#This Row],[UDC]],TableMJRUJOURN[],7,FALSE),"")</f>
        <v/>
      </c>
      <c r="V24" s="65" t="str">
        <f>IFERROR(VLOOKUP(TableHandbook[[#This Row],[UDC]],TableMJRUKORES[],7,FALSE),"")</f>
        <v/>
      </c>
      <c r="W24" s="65" t="str">
        <f>IFERROR(VLOOKUP(TableHandbook[[#This Row],[UDC]],TableMJRULITCU[],7,FALSE),"")</f>
        <v>Option</v>
      </c>
      <c r="X24" s="65" t="str">
        <f>IFERROR(VLOOKUP(TableHandbook[[#This Row],[UDC]],TableMJRUNETCM[],7,FALSE),"")</f>
        <v/>
      </c>
      <c r="Y24" s="65" t="str">
        <f>IFERROR(VLOOKUP(TableHandbook[[#This Row],[UDC]],TableMJRUPRWRP[],7,FALSE),"")</f>
        <v/>
      </c>
      <c r="Z24" s="66" t="str">
        <f>IFERROR(VLOOKUP(TableHandbook[[#This Row],[UDC]],TableMJRUSCSTR[],7,FALSE),"")</f>
        <v/>
      </c>
      <c r="AA24" s="74"/>
      <c r="AB24" s="66" t="str">
        <f>IFERROR(VLOOKUP(TableHandbook[[#This Row],[UDC]],TableMJRUBSLAW[],7,FALSE),"")</f>
        <v/>
      </c>
      <c r="AC24" s="66" t="str">
        <f>IFERROR(VLOOKUP(TableHandbook[[#This Row],[UDC]],TableMJRUECONS[],7,FALSE),"")</f>
        <v/>
      </c>
      <c r="AD24" s="66" t="str">
        <f>IFERROR(VLOOKUP(TableHandbook[[#This Row],[UDC]],TableMJRUFINAR[],7,FALSE),"")</f>
        <v/>
      </c>
      <c r="AE24" s="66" t="str">
        <f>IFERROR(VLOOKUP(TableHandbook[[#This Row],[UDC]],TableMJRUFINCE[],7,FALSE),"")</f>
        <v/>
      </c>
      <c r="AF24" s="66" t="str">
        <f>IFERROR(VLOOKUP(TableHandbook[[#This Row],[UDC]],TableMJRUHRMGM[],7,FALSE),"")</f>
        <v/>
      </c>
      <c r="AG24" s="66" t="str">
        <f>IFERROR(VLOOKUP(TableHandbook[[#This Row],[UDC]],TableMJRUINTBU[],7,FALSE),"")</f>
        <v/>
      </c>
      <c r="AH24" s="66" t="str">
        <f>IFERROR(VLOOKUP(TableHandbook[[#This Row],[UDC]],TableMJRULGSCM[],7,FALSE),"")</f>
        <v/>
      </c>
      <c r="AI24" s="66" t="str">
        <f>IFERROR(VLOOKUP(TableHandbook[[#This Row],[UDC]],TableMJRUMNGMT[],7,FALSE),"")</f>
        <v/>
      </c>
      <c r="AJ24" s="66" t="str">
        <f>IFERROR(VLOOKUP(TableHandbook[[#This Row],[UDC]],TableMJRUMRKTG[],7,FALSE),"")</f>
        <v/>
      </c>
      <c r="AK24" s="66" t="str">
        <f>IFERROR(VLOOKUP(TableHandbook[[#This Row],[UDC]],TableMJRUPRPTY[],7,FALSE),"")</f>
        <v/>
      </c>
      <c r="AL24" s="66" t="str">
        <f>IFERROR(VLOOKUP(TableHandbook[[#This Row],[UDC]],TableMJRUSCRAR[],7,FALSE),"")</f>
        <v/>
      </c>
      <c r="AM24" s="66" t="str">
        <f>IFERROR(VLOOKUP(TableHandbook[[#This Row],[UDC]],TableMJRUTHTRA[],7,FALSE),"")</f>
        <v/>
      </c>
      <c r="AN24" s="66" t="str">
        <f>IFERROR(VLOOKUP(TableHandbook[[#This Row],[UDC]],TableMJRUTRHOS[],7,FALSE),"")</f>
        <v/>
      </c>
    </row>
    <row r="25" spans="1:40" x14ac:dyDescent="0.25">
      <c r="A25" s="8" t="s">
        <v>273</v>
      </c>
      <c r="B25" s="9">
        <v>1</v>
      </c>
      <c r="C25" s="8"/>
      <c r="D25" s="8" t="s">
        <v>531</v>
      </c>
      <c r="E25" s="9">
        <v>25</v>
      </c>
      <c r="F25" s="49" t="s">
        <v>526</v>
      </c>
      <c r="G25" s="67" t="str">
        <f>IFERROR(IF(VLOOKUP(TableHandbook[[#This Row],[UDC]],TableAvailabilities[],2,FALSE)&gt;0,"Y",""),"")</f>
        <v/>
      </c>
      <c r="H25" s="68" t="str">
        <f>IFERROR(IF(VLOOKUP(TableHandbook[[#This Row],[UDC]],TableAvailabilities[],3,FALSE)&gt;0,"Y",""),"")</f>
        <v/>
      </c>
      <c r="I25" s="69" t="str">
        <f>IFERROR(IF(VLOOKUP(TableHandbook[[#This Row],[UDC]],TableAvailabilities[],4,FALSE)&gt;0,"Y",""),"")</f>
        <v>Y</v>
      </c>
      <c r="J25" s="70" t="str">
        <f>IFERROR(IF(VLOOKUP(TableHandbook[[#This Row],[UDC]],TableAvailabilities[],5,FALSE)&gt;0,"Y",""),"")</f>
        <v>Y</v>
      </c>
      <c r="K25" s="163"/>
      <c r="L25" s="64" t="str">
        <f>IFERROR(VLOOKUP(TableHandbook[[#This Row],[UDC]],TableBARTS[],7,FALSE),"")</f>
        <v/>
      </c>
      <c r="M25" s="65" t="str">
        <f>IFERROR(VLOOKUP(TableHandbook[[#This Row],[UDC]],TableMJRUANTSO[],7,FALSE),"")</f>
        <v>Core</v>
      </c>
      <c r="N25" s="65" t="str">
        <f>IFERROR(VLOOKUP(TableHandbook[[#This Row],[UDC]],TableMJRUCHNSE[],7,FALSE),"")</f>
        <v/>
      </c>
      <c r="O25" s="65" t="str">
        <f>IFERROR(VLOOKUP(TableHandbook[[#This Row],[UDC]],TableMJRUCRWRI[],7,FALSE),"")</f>
        <v/>
      </c>
      <c r="P25" s="65" t="str">
        <f>IFERROR(VLOOKUP(TableHandbook[[#This Row],[UDC]],TableMJRUGEOGR[],7,FALSE),"")</f>
        <v/>
      </c>
      <c r="Q25" s="65" t="str">
        <f>IFERROR(VLOOKUP(TableHandbook[[#This Row],[UDC]],TableMJRUHISTR[],7,FALSE),"")</f>
        <v/>
      </c>
      <c r="R25" s="65" t="str">
        <f>IFERROR(VLOOKUP(TableHandbook[[#This Row],[UDC]],TableMJRUINAUC[],7,FALSE),"")</f>
        <v/>
      </c>
      <c r="S25" s="65" t="str">
        <f>IFERROR(VLOOKUP(TableHandbook[[#This Row],[UDC]],TableMJRUINTRL[],7,FALSE),"")</f>
        <v/>
      </c>
      <c r="T25" s="65" t="str">
        <f>IFERROR(VLOOKUP(TableHandbook[[#This Row],[UDC]],TableMJRUJAPAN[],7,FALSE),"")</f>
        <v/>
      </c>
      <c r="U25" s="65" t="str">
        <f>IFERROR(VLOOKUP(TableHandbook[[#This Row],[UDC]],TableMJRUJOURN[],7,FALSE),"")</f>
        <v/>
      </c>
      <c r="V25" s="65" t="str">
        <f>IFERROR(VLOOKUP(TableHandbook[[#This Row],[UDC]],TableMJRUKORES[],7,FALSE),"")</f>
        <v/>
      </c>
      <c r="W25" s="65" t="str">
        <f>IFERROR(VLOOKUP(TableHandbook[[#This Row],[UDC]],TableMJRULITCU[],7,FALSE),"")</f>
        <v/>
      </c>
      <c r="X25" s="65" t="str">
        <f>IFERROR(VLOOKUP(TableHandbook[[#This Row],[UDC]],TableMJRUNETCM[],7,FALSE),"")</f>
        <v/>
      </c>
      <c r="Y25" s="65" t="str">
        <f>IFERROR(VLOOKUP(TableHandbook[[#This Row],[UDC]],TableMJRUPRWRP[],7,FALSE),"")</f>
        <v/>
      </c>
      <c r="Z25" s="66" t="str">
        <f>IFERROR(VLOOKUP(TableHandbook[[#This Row],[UDC]],TableMJRUSCSTR[],7,FALSE),"")</f>
        <v/>
      </c>
      <c r="AA25" s="74"/>
      <c r="AB25" s="66" t="str">
        <f>IFERROR(VLOOKUP(TableHandbook[[#This Row],[UDC]],TableMJRUBSLAW[],7,FALSE),"")</f>
        <v/>
      </c>
      <c r="AC25" s="66" t="str">
        <f>IFERROR(VLOOKUP(TableHandbook[[#This Row],[UDC]],TableMJRUECONS[],7,FALSE),"")</f>
        <v/>
      </c>
      <c r="AD25" s="66" t="str">
        <f>IFERROR(VLOOKUP(TableHandbook[[#This Row],[UDC]],TableMJRUFINAR[],7,FALSE),"")</f>
        <v/>
      </c>
      <c r="AE25" s="66" t="str">
        <f>IFERROR(VLOOKUP(TableHandbook[[#This Row],[UDC]],TableMJRUFINCE[],7,FALSE),"")</f>
        <v/>
      </c>
      <c r="AF25" s="66" t="str">
        <f>IFERROR(VLOOKUP(TableHandbook[[#This Row],[UDC]],TableMJRUHRMGM[],7,FALSE),"")</f>
        <v/>
      </c>
      <c r="AG25" s="66" t="str">
        <f>IFERROR(VLOOKUP(TableHandbook[[#This Row],[UDC]],TableMJRUINTBU[],7,FALSE),"")</f>
        <v/>
      </c>
      <c r="AH25" s="66" t="str">
        <f>IFERROR(VLOOKUP(TableHandbook[[#This Row],[UDC]],TableMJRULGSCM[],7,FALSE),"")</f>
        <v/>
      </c>
      <c r="AI25" s="66" t="str">
        <f>IFERROR(VLOOKUP(TableHandbook[[#This Row],[UDC]],TableMJRUMNGMT[],7,FALSE),"")</f>
        <v/>
      </c>
      <c r="AJ25" s="66" t="str">
        <f>IFERROR(VLOOKUP(TableHandbook[[#This Row],[UDC]],TableMJRUMRKTG[],7,FALSE),"")</f>
        <v/>
      </c>
      <c r="AK25" s="66" t="str">
        <f>IFERROR(VLOOKUP(TableHandbook[[#This Row],[UDC]],TableMJRUPRPTY[],7,FALSE),"")</f>
        <v/>
      </c>
      <c r="AL25" s="66" t="str">
        <f>IFERROR(VLOOKUP(TableHandbook[[#This Row],[UDC]],TableMJRUSCRAR[],7,FALSE),"")</f>
        <v/>
      </c>
      <c r="AM25" s="66" t="str">
        <f>IFERROR(VLOOKUP(TableHandbook[[#This Row],[UDC]],TableMJRUTHTRA[],7,FALSE),"")</f>
        <v/>
      </c>
      <c r="AN25" s="66" t="str">
        <f>IFERROR(VLOOKUP(TableHandbook[[#This Row],[UDC]],TableMJRUTRHOS[],7,FALSE),"")</f>
        <v/>
      </c>
    </row>
    <row r="26" spans="1:40" x14ac:dyDescent="0.25">
      <c r="A26" s="6" t="s">
        <v>248</v>
      </c>
      <c r="B26" s="107">
        <v>2</v>
      </c>
      <c r="C26" s="8"/>
      <c r="D26" s="8" t="s">
        <v>532</v>
      </c>
      <c r="E26" s="9">
        <v>25</v>
      </c>
      <c r="F26" s="174" t="s">
        <v>526</v>
      </c>
      <c r="G26" s="67" t="str">
        <f>IFERROR(IF(VLOOKUP(TableHandbook[[#This Row],[UDC]],TableAvailabilities[],2,FALSE)&gt;0,"Y",""),"")</f>
        <v/>
      </c>
      <c r="H26" s="68" t="str">
        <f>IFERROR(IF(VLOOKUP(TableHandbook[[#This Row],[UDC]],TableAvailabilities[],3,FALSE)&gt;0,"Y",""),"")</f>
        <v/>
      </c>
      <c r="I26" s="69" t="str">
        <f>IFERROR(IF(VLOOKUP(TableHandbook[[#This Row],[UDC]],TableAvailabilities[],4,FALSE)&gt;0,"Y",""),"")</f>
        <v>Y</v>
      </c>
      <c r="J26" s="70" t="str">
        <f>IFERROR(IF(VLOOKUP(TableHandbook[[#This Row],[UDC]],TableAvailabilities[],5,FALSE)&gt;0,"Y",""),"")</f>
        <v>Y</v>
      </c>
      <c r="K26" s="163" t="s">
        <v>533</v>
      </c>
      <c r="L26" s="64" t="str">
        <f>IFERROR(VLOOKUP(TableHandbook[[#This Row],[UDC]],TableBARTS[],7,FALSE),"")</f>
        <v/>
      </c>
      <c r="M26" s="65" t="str">
        <f>IFERROR(VLOOKUP(TableHandbook[[#This Row],[UDC]],TableMJRUANTSO[],7,FALSE),"")</f>
        <v>Core</v>
      </c>
      <c r="N26" s="65" t="str">
        <f>IFERROR(VLOOKUP(TableHandbook[[#This Row],[UDC]],TableMJRUCHNSE[],7,FALSE),"")</f>
        <v/>
      </c>
      <c r="O26" s="65" t="str">
        <f>IFERROR(VLOOKUP(TableHandbook[[#This Row],[UDC]],TableMJRUCRWRI[],7,FALSE),"")</f>
        <v/>
      </c>
      <c r="P26" s="65" t="str">
        <f>IFERROR(VLOOKUP(TableHandbook[[#This Row],[UDC]],TableMJRUGEOGR[],7,FALSE),"")</f>
        <v/>
      </c>
      <c r="Q26" s="65" t="str">
        <f>IFERROR(VLOOKUP(TableHandbook[[#This Row],[UDC]],TableMJRUHISTR[],7,FALSE),"")</f>
        <v/>
      </c>
      <c r="R26" s="65" t="str">
        <f>IFERROR(VLOOKUP(TableHandbook[[#This Row],[UDC]],TableMJRUINAUC[],7,FALSE),"")</f>
        <v/>
      </c>
      <c r="S26" s="65" t="str">
        <f>IFERROR(VLOOKUP(TableHandbook[[#This Row],[UDC]],TableMJRUINTRL[],7,FALSE),"")</f>
        <v/>
      </c>
      <c r="T26" s="65" t="str">
        <f>IFERROR(VLOOKUP(TableHandbook[[#This Row],[UDC]],TableMJRUJAPAN[],7,FALSE),"")</f>
        <v/>
      </c>
      <c r="U26" s="65" t="str">
        <f>IFERROR(VLOOKUP(TableHandbook[[#This Row],[UDC]],TableMJRUJOURN[],7,FALSE),"")</f>
        <v/>
      </c>
      <c r="V26" s="65" t="str">
        <f>IFERROR(VLOOKUP(TableHandbook[[#This Row],[UDC]],TableMJRUKORES[],7,FALSE),"")</f>
        <v/>
      </c>
      <c r="W26" s="65" t="str">
        <f>IFERROR(VLOOKUP(TableHandbook[[#This Row],[UDC]],TableMJRULITCU[],7,FALSE),"")</f>
        <v/>
      </c>
      <c r="X26" s="65" t="str">
        <f>IFERROR(VLOOKUP(TableHandbook[[#This Row],[UDC]],TableMJRUNETCM[],7,FALSE),"")</f>
        <v/>
      </c>
      <c r="Y26" s="65" t="str">
        <f>IFERROR(VLOOKUP(TableHandbook[[#This Row],[UDC]],TableMJRUPRWRP[],7,FALSE),"")</f>
        <v/>
      </c>
      <c r="Z26" s="66" t="str">
        <f>IFERROR(VLOOKUP(TableHandbook[[#This Row],[UDC]],TableMJRUSCSTR[],7,FALSE),"")</f>
        <v/>
      </c>
      <c r="AA26" s="74"/>
      <c r="AB26" s="66" t="str">
        <f>IFERROR(VLOOKUP(TableHandbook[[#This Row],[UDC]],TableMJRUBSLAW[],7,FALSE),"")</f>
        <v/>
      </c>
      <c r="AC26" s="66" t="str">
        <f>IFERROR(VLOOKUP(TableHandbook[[#This Row],[UDC]],TableMJRUECONS[],7,FALSE),"")</f>
        <v/>
      </c>
      <c r="AD26" s="66" t="str">
        <f>IFERROR(VLOOKUP(TableHandbook[[#This Row],[UDC]],TableMJRUFINAR[],7,FALSE),"")</f>
        <v/>
      </c>
      <c r="AE26" s="66" t="str">
        <f>IFERROR(VLOOKUP(TableHandbook[[#This Row],[UDC]],TableMJRUFINCE[],7,FALSE),"")</f>
        <v/>
      </c>
      <c r="AF26" s="66" t="str">
        <f>IFERROR(VLOOKUP(TableHandbook[[#This Row],[UDC]],TableMJRUHRMGM[],7,FALSE),"")</f>
        <v/>
      </c>
      <c r="AG26" s="66" t="str">
        <f>IFERROR(VLOOKUP(TableHandbook[[#This Row],[UDC]],TableMJRUINTBU[],7,FALSE),"")</f>
        <v/>
      </c>
      <c r="AH26" s="66" t="str">
        <f>IFERROR(VLOOKUP(TableHandbook[[#This Row],[UDC]],TableMJRULGSCM[],7,FALSE),"")</f>
        <v/>
      </c>
      <c r="AI26" s="66" t="str">
        <f>IFERROR(VLOOKUP(TableHandbook[[#This Row],[UDC]],TableMJRUMNGMT[],7,FALSE),"")</f>
        <v/>
      </c>
      <c r="AJ26" s="66" t="str">
        <f>IFERROR(VLOOKUP(TableHandbook[[#This Row],[UDC]],TableMJRUMRKTG[],7,FALSE),"")</f>
        <v/>
      </c>
      <c r="AK26" s="66" t="str">
        <f>IFERROR(VLOOKUP(TableHandbook[[#This Row],[UDC]],TableMJRUPRPTY[],7,FALSE),"")</f>
        <v/>
      </c>
      <c r="AL26" s="66" t="str">
        <f>IFERROR(VLOOKUP(TableHandbook[[#This Row],[UDC]],TableMJRUSCRAR[],7,FALSE),"")</f>
        <v/>
      </c>
      <c r="AM26" s="66" t="str">
        <f>IFERROR(VLOOKUP(TableHandbook[[#This Row],[UDC]],TableMJRUTHTRA[],7,FALSE),"")</f>
        <v/>
      </c>
      <c r="AN26" s="66" t="str">
        <f>IFERROR(VLOOKUP(TableHandbook[[#This Row],[UDC]],TableMJRUTRHOS[],7,FALSE),"")</f>
        <v/>
      </c>
    </row>
    <row r="27" spans="1:40" x14ac:dyDescent="0.25">
      <c r="A27" s="6" t="s">
        <v>534</v>
      </c>
      <c r="B27" s="9">
        <v>1</v>
      </c>
      <c r="C27" s="8"/>
      <c r="D27" s="8" t="s">
        <v>532</v>
      </c>
      <c r="E27" s="9">
        <v>25</v>
      </c>
      <c r="F27" s="49" t="s">
        <v>526</v>
      </c>
      <c r="G27" s="67" t="str">
        <f>IFERROR(IF(VLOOKUP(TableHandbook[[#This Row],[UDC]],TableAvailabilities[],2,FALSE)&gt;0,"Y",""),"")</f>
        <v/>
      </c>
      <c r="H27" s="68" t="str">
        <f>IFERROR(IF(VLOOKUP(TableHandbook[[#This Row],[UDC]],TableAvailabilities[],3,FALSE)&gt;0,"Y",""),"")</f>
        <v/>
      </c>
      <c r="I27" s="69" t="str">
        <f>IFERROR(IF(VLOOKUP(TableHandbook[[#This Row],[UDC]],TableAvailabilities[],4,FALSE)&gt;0,"Y",""),"")</f>
        <v/>
      </c>
      <c r="J27" s="70" t="str">
        <f>IFERROR(IF(VLOOKUP(TableHandbook[[#This Row],[UDC]],TableAvailabilities[],5,FALSE)&gt;0,"Y",""),"")</f>
        <v/>
      </c>
      <c r="K27" s="163" t="s">
        <v>535</v>
      </c>
      <c r="L27" s="64" t="str">
        <f>IFERROR(VLOOKUP(TableHandbook[[#This Row],[UDC]],TableBARTS[],7,FALSE),"")</f>
        <v/>
      </c>
      <c r="M27" s="65" t="str">
        <f>IFERROR(VLOOKUP(TableHandbook[[#This Row],[UDC]],TableMJRUANTSO[],7,FALSE),"")</f>
        <v/>
      </c>
      <c r="N27" s="65" t="str">
        <f>IFERROR(VLOOKUP(TableHandbook[[#This Row],[UDC]],TableMJRUCHNSE[],7,FALSE),"")</f>
        <v/>
      </c>
      <c r="O27" s="65" t="str">
        <f>IFERROR(VLOOKUP(TableHandbook[[#This Row],[UDC]],TableMJRUCRWRI[],7,FALSE),"")</f>
        <v/>
      </c>
      <c r="P27" s="65" t="str">
        <f>IFERROR(VLOOKUP(TableHandbook[[#This Row],[UDC]],TableMJRUGEOGR[],7,FALSE),"")</f>
        <v/>
      </c>
      <c r="Q27" s="65" t="str">
        <f>IFERROR(VLOOKUP(TableHandbook[[#This Row],[UDC]],TableMJRUHISTR[],7,FALSE),"")</f>
        <v/>
      </c>
      <c r="R27" s="65" t="str">
        <f>IFERROR(VLOOKUP(TableHandbook[[#This Row],[UDC]],TableMJRUINAUC[],7,FALSE),"")</f>
        <v/>
      </c>
      <c r="S27" s="65" t="str">
        <f>IFERROR(VLOOKUP(TableHandbook[[#This Row],[UDC]],TableMJRUINTRL[],7,FALSE),"")</f>
        <v/>
      </c>
      <c r="T27" s="65" t="str">
        <f>IFERROR(VLOOKUP(TableHandbook[[#This Row],[UDC]],TableMJRUJAPAN[],7,FALSE),"")</f>
        <v/>
      </c>
      <c r="U27" s="65" t="str">
        <f>IFERROR(VLOOKUP(TableHandbook[[#This Row],[UDC]],TableMJRUJOURN[],7,FALSE),"")</f>
        <v/>
      </c>
      <c r="V27" s="65" t="str">
        <f>IFERROR(VLOOKUP(TableHandbook[[#This Row],[UDC]],TableMJRUKORES[],7,FALSE),"")</f>
        <v/>
      </c>
      <c r="W27" s="65" t="str">
        <f>IFERROR(VLOOKUP(TableHandbook[[#This Row],[UDC]],TableMJRULITCU[],7,FALSE),"")</f>
        <v/>
      </c>
      <c r="X27" s="65" t="str">
        <f>IFERROR(VLOOKUP(TableHandbook[[#This Row],[UDC]],TableMJRUNETCM[],7,FALSE),"")</f>
        <v/>
      </c>
      <c r="Y27" s="65" t="str">
        <f>IFERROR(VLOOKUP(TableHandbook[[#This Row],[UDC]],TableMJRUPRWRP[],7,FALSE),"")</f>
        <v/>
      </c>
      <c r="Z27" s="66" t="str">
        <f>IFERROR(VLOOKUP(TableHandbook[[#This Row],[UDC]],TableMJRUSCSTR[],7,FALSE),"")</f>
        <v/>
      </c>
      <c r="AA27" s="74"/>
      <c r="AB27" s="66" t="str">
        <f>IFERROR(VLOOKUP(TableHandbook[[#This Row],[UDC]],TableMJRUBSLAW[],7,FALSE),"")</f>
        <v/>
      </c>
      <c r="AC27" s="66" t="str">
        <f>IFERROR(VLOOKUP(TableHandbook[[#This Row],[UDC]],TableMJRUECONS[],7,FALSE),"")</f>
        <v/>
      </c>
      <c r="AD27" s="66" t="str">
        <f>IFERROR(VLOOKUP(TableHandbook[[#This Row],[UDC]],TableMJRUFINAR[],7,FALSE),"")</f>
        <v/>
      </c>
      <c r="AE27" s="66" t="str">
        <f>IFERROR(VLOOKUP(TableHandbook[[#This Row],[UDC]],TableMJRUFINCE[],7,FALSE),"")</f>
        <v/>
      </c>
      <c r="AF27" s="66" t="str">
        <f>IFERROR(VLOOKUP(TableHandbook[[#This Row],[UDC]],TableMJRUHRMGM[],7,FALSE),"")</f>
        <v/>
      </c>
      <c r="AG27" s="66" t="str">
        <f>IFERROR(VLOOKUP(TableHandbook[[#This Row],[UDC]],TableMJRUINTBU[],7,FALSE),"")</f>
        <v/>
      </c>
      <c r="AH27" s="66" t="str">
        <f>IFERROR(VLOOKUP(TableHandbook[[#This Row],[UDC]],TableMJRULGSCM[],7,FALSE),"")</f>
        <v/>
      </c>
      <c r="AI27" s="66" t="str">
        <f>IFERROR(VLOOKUP(TableHandbook[[#This Row],[UDC]],TableMJRUMNGMT[],7,FALSE),"")</f>
        <v/>
      </c>
      <c r="AJ27" s="66" t="str">
        <f>IFERROR(VLOOKUP(TableHandbook[[#This Row],[UDC]],TableMJRUMRKTG[],7,FALSE),"")</f>
        <v/>
      </c>
      <c r="AK27" s="66" t="str">
        <f>IFERROR(VLOOKUP(TableHandbook[[#This Row],[UDC]],TableMJRUPRPTY[],7,FALSE),"")</f>
        <v/>
      </c>
      <c r="AL27" s="66" t="str">
        <f>IFERROR(VLOOKUP(TableHandbook[[#This Row],[UDC]],TableMJRUSCRAR[],7,FALSE),"")</f>
        <v/>
      </c>
      <c r="AM27" s="66" t="str">
        <f>IFERROR(VLOOKUP(TableHandbook[[#This Row],[UDC]],TableMJRUTHTRA[],7,FALSE),"")</f>
        <v/>
      </c>
      <c r="AN27" s="66" t="str">
        <f>IFERROR(VLOOKUP(TableHandbook[[#This Row],[UDC]],TableMJRUTRHOS[],7,FALSE),"")</f>
        <v/>
      </c>
    </row>
    <row r="28" spans="1:40" x14ac:dyDescent="0.25">
      <c r="A28" s="8" t="s">
        <v>272</v>
      </c>
      <c r="B28" s="9">
        <v>1</v>
      </c>
      <c r="C28" s="8"/>
      <c r="D28" s="8" t="s">
        <v>536</v>
      </c>
      <c r="E28" s="9">
        <v>25</v>
      </c>
      <c r="F28" s="49" t="s">
        <v>526</v>
      </c>
      <c r="G28" s="67" t="str">
        <f>IFERROR(IF(VLOOKUP(TableHandbook[[#This Row],[UDC]],TableAvailabilities[],2,FALSE)&gt;0,"Y",""),"")</f>
        <v>Y</v>
      </c>
      <c r="H28" s="68" t="str">
        <f>IFERROR(IF(VLOOKUP(TableHandbook[[#This Row],[UDC]],TableAvailabilities[],3,FALSE)&gt;0,"Y",""),"")</f>
        <v>Y</v>
      </c>
      <c r="I28" s="69" t="str">
        <f>IFERROR(IF(VLOOKUP(TableHandbook[[#This Row],[UDC]],TableAvailabilities[],4,FALSE)&gt;0,"Y",""),"")</f>
        <v/>
      </c>
      <c r="J28" s="70" t="str">
        <f>IFERROR(IF(VLOOKUP(TableHandbook[[#This Row],[UDC]],TableAvailabilities[],5,FALSE)&gt;0,"Y",""),"")</f>
        <v/>
      </c>
      <c r="K28" s="163"/>
      <c r="L28" s="64" t="str">
        <f>IFERROR(VLOOKUP(TableHandbook[[#This Row],[UDC]],TableBARTS[],7,FALSE),"")</f>
        <v/>
      </c>
      <c r="M28" s="65" t="str">
        <f>IFERROR(VLOOKUP(TableHandbook[[#This Row],[UDC]],TableMJRUANTSO[],7,FALSE),"")</f>
        <v>Core</v>
      </c>
      <c r="N28" s="65" t="str">
        <f>IFERROR(VLOOKUP(TableHandbook[[#This Row],[UDC]],TableMJRUCHNSE[],7,FALSE),"")</f>
        <v/>
      </c>
      <c r="O28" s="65" t="str">
        <f>IFERROR(VLOOKUP(TableHandbook[[#This Row],[UDC]],TableMJRUCRWRI[],7,FALSE),"")</f>
        <v/>
      </c>
      <c r="P28" s="65" t="str">
        <f>IFERROR(VLOOKUP(TableHandbook[[#This Row],[UDC]],TableMJRUGEOGR[],7,FALSE),"")</f>
        <v/>
      </c>
      <c r="Q28" s="65" t="str">
        <f>IFERROR(VLOOKUP(TableHandbook[[#This Row],[UDC]],TableMJRUHISTR[],7,FALSE),"")</f>
        <v/>
      </c>
      <c r="R28" s="65" t="str">
        <f>IFERROR(VLOOKUP(TableHandbook[[#This Row],[UDC]],TableMJRUINAUC[],7,FALSE),"")</f>
        <v/>
      </c>
      <c r="S28" s="65" t="str">
        <f>IFERROR(VLOOKUP(TableHandbook[[#This Row],[UDC]],TableMJRUINTRL[],7,FALSE),"")</f>
        <v/>
      </c>
      <c r="T28" s="65" t="str">
        <f>IFERROR(VLOOKUP(TableHandbook[[#This Row],[UDC]],TableMJRUJAPAN[],7,FALSE),"")</f>
        <v/>
      </c>
      <c r="U28" s="65" t="str">
        <f>IFERROR(VLOOKUP(TableHandbook[[#This Row],[UDC]],TableMJRUJOURN[],7,FALSE),"")</f>
        <v/>
      </c>
      <c r="V28" s="65" t="str">
        <f>IFERROR(VLOOKUP(TableHandbook[[#This Row],[UDC]],TableMJRUKORES[],7,FALSE),"")</f>
        <v/>
      </c>
      <c r="W28" s="65" t="str">
        <f>IFERROR(VLOOKUP(TableHandbook[[#This Row],[UDC]],TableMJRULITCU[],7,FALSE),"")</f>
        <v/>
      </c>
      <c r="X28" s="65" t="str">
        <f>IFERROR(VLOOKUP(TableHandbook[[#This Row],[UDC]],TableMJRUNETCM[],7,FALSE),"")</f>
        <v/>
      </c>
      <c r="Y28" s="65" t="str">
        <f>IFERROR(VLOOKUP(TableHandbook[[#This Row],[UDC]],TableMJRUPRWRP[],7,FALSE),"")</f>
        <v/>
      </c>
      <c r="Z28" s="66" t="str">
        <f>IFERROR(VLOOKUP(TableHandbook[[#This Row],[UDC]],TableMJRUSCSTR[],7,FALSE),"")</f>
        <v/>
      </c>
      <c r="AA28" s="74"/>
      <c r="AB28" s="66" t="str">
        <f>IFERROR(VLOOKUP(TableHandbook[[#This Row],[UDC]],TableMJRUBSLAW[],7,FALSE),"")</f>
        <v/>
      </c>
      <c r="AC28" s="66" t="str">
        <f>IFERROR(VLOOKUP(TableHandbook[[#This Row],[UDC]],TableMJRUECONS[],7,FALSE),"")</f>
        <v/>
      </c>
      <c r="AD28" s="66" t="str">
        <f>IFERROR(VLOOKUP(TableHandbook[[#This Row],[UDC]],TableMJRUFINAR[],7,FALSE),"")</f>
        <v/>
      </c>
      <c r="AE28" s="66" t="str">
        <f>IFERROR(VLOOKUP(TableHandbook[[#This Row],[UDC]],TableMJRUFINCE[],7,FALSE),"")</f>
        <v/>
      </c>
      <c r="AF28" s="66" t="str">
        <f>IFERROR(VLOOKUP(TableHandbook[[#This Row],[UDC]],TableMJRUHRMGM[],7,FALSE),"")</f>
        <v/>
      </c>
      <c r="AG28" s="66" t="str">
        <f>IFERROR(VLOOKUP(TableHandbook[[#This Row],[UDC]],TableMJRUINTBU[],7,FALSE),"")</f>
        <v/>
      </c>
      <c r="AH28" s="66" t="str">
        <f>IFERROR(VLOOKUP(TableHandbook[[#This Row],[UDC]],TableMJRULGSCM[],7,FALSE),"")</f>
        <v/>
      </c>
      <c r="AI28" s="66" t="str">
        <f>IFERROR(VLOOKUP(TableHandbook[[#This Row],[UDC]],TableMJRUMNGMT[],7,FALSE),"")</f>
        <v/>
      </c>
      <c r="AJ28" s="66" t="str">
        <f>IFERROR(VLOOKUP(TableHandbook[[#This Row],[UDC]],TableMJRUMRKTG[],7,FALSE),"")</f>
        <v/>
      </c>
      <c r="AK28" s="66" t="str">
        <f>IFERROR(VLOOKUP(TableHandbook[[#This Row],[UDC]],TableMJRUPRPTY[],7,FALSE),"")</f>
        <v/>
      </c>
      <c r="AL28" s="66" t="str">
        <f>IFERROR(VLOOKUP(TableHandbook[[#This Row],[UDC]],TableMJRUSCRAR[],7,FALSE),"")</f>
        <v/>
      </c>
      <c r="AM28" s="66" t="str">
        <f>IFERROR(VLOOKUP(TableHandbook[[#This Row],[UDC]],TableMJRUTHTRA[],7,FALSE),"")</f>
        <v/>
      </c>
      <c r="AN28" s="66" t="str">
        <f>IFERROR(VLOOKUP(TableHandbook[[#This Row],[UDC]],TableMJRUTRHOS[],7,FALSE),"")</f>
        <v/>
      </c>
    </row>
    <row r="29" spans="1:40" x14ac:dyDescent="0.25">
      <c r="A29" s="8" t="s">
        <v>247</v>
      </c>
      <c r="B29" s="9">
        <v>1</v>
      </c>
      <c r="C29" s="8"/>
      <c r="D29" s="8" t="s">
        <v>537</v>
      </c>
      <c r="E29" s="9">
        <v>25</v>
      </c>
      <c r="F29" s="49" t="s">
        <v>526</v>
      </c>
      <c r="G29" s="67" t="str">
        <f>IFERROR(IF(VLOOKUP(TableHandbook[[#This Row],[UDC]],TableAvailabilities[],2,FALSE)&gt;0,"Y",""),"")</f>
        <v>Y</v>
      </c>
      <c r="H29" s="68" t="str">
        <f>IFERROR(IF(VLOOKUP(TableHandbook[[#This Row],[UDC]],TableAvailabilities[],3,FALSE)&gt;0,"Y",""),"")</f>
        <v>Y</v>
      </c>
      <c r="I29" s="69" t="str">
        <f>IFERROR(IF(VLOOKUP(TableHandbook[[#This Row],[UDC]],TableAvailabilities[],4,FALSE)&gt;0,"Y",""),"")</f>
        <v/>
      </c>
      <c r="J29" s="70" t="str">
        <f>IFERROR(IF(VLOOKUP(TableHandbook[[#This Row],[UDC]],TableAvailabilities[],5,FALSE)&gt;0,"Y",""),"")</f>
        <v/>
      </c>
      <c r="K29" s="163"/>
      <c r="L29" s="64" t="str">
        <f>IFERROR(VLOOKUP(TableHandbook[[#This Row],[UDC]],TableBARTS[],7,FALSE),"")</f>
        <v/>
      </c>
      <c r="M29" s="65" t="str">
        <f>IFERROR(VLOOKUP(TableHandbook[[#This Row],[UDC]],TableMJRUANTSO[],7,FALSE),"")</f>
        <v>Core</v>
      </c>
      <c r="N29" s="65" t="str">
        <f>IFERROR(VLOOKUP(TableHandbook[[#This Row],[UDC]],TableMJRUCHNSE[],7,FALSE),"")</f>
        <v/>
      </c>
      <c r="O29" s="65" t="str">
        <f>IFERROR(VLOOKUP(TableHandbook[[#This Row],[UDC]],TableMJRUCRWRI[],7,FALSE),"")</f>
        <v/>
      </c>
      <c r="P29" s="65" t="str">
        <f>IFERROR(VLOOKUP(TableHandbook[[#This Row],[UDC]],TableMJRUGEOGR[],7,FALSE),"")</f>
        <v/>
      </c>
      <c r="Q29" s="65" t="str">
        <f>IFERROR(VLOOKUP(TableHandbook[[#This Row],[UDC]],TableMJRUHISTR[],7,FALSE),"")</f>
        <v/>
      </c>
      <c r="R29" s="65" t="str">
        <f>IFERROR(VLOOKUP(TableHandbook[[#This Row],[UDC]],TableMJRUINAUC[],7,FALSE),"")</f>
        <v/>
      </c>
      <c r="S29" s="65" t="str">
        <f>IFERROR(VLOOKUP(TableHandbook[[#This Row],[UDC]],TableMJRUINTRL[],7,FALSE),"")</f>
        <v/>
      </c>
      <c r="T29" s="65" t="str">
        <f>IFERROR(VLOOKUP(TableHandbook[[#This Row],[UDC]],TableMJRUJAPAN[],7,FALSE),"")</f>
        <v/>
      </c>
      <c r="U29" s="65" t="str">
        <f>IFERROR(VLOOKUP(TableHandbook[[#This Row],[UDC]],TableMJRUJOURN[],7,FALSE),"")</f>
        <v/>
      </c>
      <c r="V29" s="65" t="str">
        <f>IFERROR(VLOOKUP(TableHandbook[[#This Row],[UDC]],TableMJRUKORES[],7,FALSE),"")</f>
        <v/>
      </c>
      <c r="W29" s="65" t="str">
        <f>IFERROR(VLOOKUP(TableHandbook[[#This Row],[UDC]],TableMJRULITCU[],7,FALSE),"")</f>
        <v/>
      </c>
      <c r="X29" s="65" t="str">
        <f>IFERROR(VLOOKUP(TableHandbook[[#This Row],[UDC]],TableMJRUNETCM[],7,FALSE),"")</f>
        <v/>
      </c>
      <c r="Y29" s="65" t="str">
        <f>IFERROR(VLOOKUP(TableHandbook[[#This Row],[UDC]],TableMJRUPRWRP[],7,FALSE),"")</f>
        <v/>
      </c>
      <c r="Z29" s="66" t="str">
        <f>IFERROR(VLOOKUP(TableHandbook[[#This Row],[UDC]],TableMJRUSCSTR[],7,FALSE),"")</f>
        <v/>
      </c>
      <c r="AA29" s="74"/>
      <c r="AB29" s="66" t="str">
        <f>IFERROR(VLOOKUP(TableHandbook[[#This Row],[UDC]],TableMJRUBSLAW[],7,FALSE),"")</f>
        <v/>
      </c>
      <c r="AC29" s="66" t="str">
        <f>IFERROR(VLOOKUP(TableHandbook[[#This Row],[UDC]],TableMJRUECONS[],7,FALSE),"")</f>
        <v/>
      </c>
      <c r="AD29" s="66" t="str">
        <f>IFERROR(VLOOKUP(TableHandbook[[#This Row],[UDC]],TableMJRUFINAR[],7,FALSE),"")</f>
        <v/>
      </c>
      <c r="AE29" s="66" t="str">
        <f>IFERROR(VLOOKUP(TableHandbook[[#This Row],[UDC]],TableMJRUFINCE[],7,FALSE),"")</f>
        <v/>
      </c>
      <c r="AF29" s="66" t="str">
        <f>IFERROR(VLOOKUP(TableHandbook[[#This Row],[UDC]],TableMJRUHRMGM[],7,FALSE),"")</f>
        <v/>
      </c>
      <c r="AG29" s="66" t="str">
        <f>IFERROR(VLOOKUP(TableHandbook[[#This Row],[UDC]],TableMJRUINTBU[],7,FALSE),"")</f>
        <v/>
      </c>
      <c r="AH29" s="66" t="str">
        <f>IFERROR(VLOOKUP(TableHandbook[[#This Row],[UDC]],TableMJRULGSCM[],7,FALSE),"")</f>
        <v/>
      </c>
      <c r="AI29" s="66" t="str">
        <f>IFERROR(VLOOKUP(TableHandbook[[#This Row],[UDC]],TableMJRUMNGMT[],7,FALSE),"")</f>
        <v/>
      </c>
      <c r="AJ29" s="66" t="str">
        <f>IFERROR(VLOOKUP(TableHandbook[[#This Row],[UDC]],TableMJRUMRKTG[],7,FALSE),"")</f>
        <v/>
      </c>
      <c r="AK29" s="66" t="str">
        <f>IFERROR(VLOOKUP(TableHandbook[[#This Row],[UDC]],TableMJRUPRPTY[],7,FALSE),"")</f>
        <v/>
      </c>
      <c r="AL29" s="66" t="str">
        <f>IFERROR(VLOOKUP(TableHandbook[[#This Row],[UDC]],TableMJRUSCRAR[],7,FALSE),"")</f>
        <v/>
      </c>
      <c r="AM29" s="66" t="str">
        <f>IFERROR(VLOOKUP(TableHandbook[[#This Row],[UDC]],TableMJRUTHTRA[],7,FALSE),"")</f>
        <v/>
      </c>
      <c r="AN29" s="66" t="str">
        <f>IFERROR(VLOOKUP(TableHandbook[[#This Row],[UDC]],TableMJRUTRHOS[],7,FALSE),"")</f>
        <v/>
      </c>
    </row>
    <row r="30" spans="1:40" x14ac:dyDescent="0.25">
      <c r="A30" s="8" t="s">
        <v>380</v>
      </c>
      <c r="B30" s="9">
        <v>1</v>
      </c>
      <c r="C30" s="8"/>
      <c r="D30" s="8" t="s">
        <v>538</v>
      </c>
      <c r="E30" s="9">
        <v>25</v>
      </c>
      <c r="F30" s="49" t="s">
        <v>526</v>
      </c>
      <c r="G30" s="67" t="str">
        <f>IFERROR(IF(VLOOKUP(TableHandbook[[#This Row],[UDC]],TableAvailabilities[],2,FALSE)&gt;0,"Y",""),"")</f>
        <v/>
      </c>
      <c r="H30" s="68" t="str">
        <f>IFERROR(IF(VLOOKUP(TableHandbook[[#This Row],[UDC]],TableAvailabilities[],3,FALSE)&gt;0,"Y",""),"")</f>
        <v/>
      </c>
      <c r="I30" s="69" t="str">
        <f>IFERROR(IF(VLOOKUP(TableHandbook[[#This Row],[UDC]],TableAvailabilities[],4,FALSE)&gt;0,"Y",""),"")</f>
        <v>Y</v>
      </c>
      <c r="J30" s="70" t="str">
        <f>IFERROR(IF(VLOOKUP(TableHandbook[[#This Row],[UDC]],TableAvailabilities[],5,FALSE)&gt;0,"Y",""),"")</f>
        <v>Y</v>
      </c>
      <c r="K30" s="163"/>
      <c r="L30" s="64" t="str">
        <f>IFERROR(VLOOKUP(TableHandbook[[#This Row],[UDC]],TableBARTS[],7,FALSE),"")</f>
        <v/>
      </c>
      <c r="M30" s="65" t="str">
        <f>IFERROR(VLOOKUP(TableHandbook[[#This Row],[UDC]],TableMJRUANTSO[],7,FALSE),"")</f>
        <v/>
      </c>
      <c r="N30" s="65" t="str">
        <f>IFERROR(VLOOKUP(TableHandbook[[#This Row],[UDC]],TableMJRUCHNSE[],7,FALSE),"")</f>
        <v/>
      </c>
      <c r="O30" s="65" t="str">
        <f>IFERROR(VLOOKUP(TableHandbook[[#This Row],[UDC]],TableMJRUCRWRI[],7,FALSE),"")</f>
        <v/>
      </c>
      <c r="P30" s="65" t="str">
        <f>IFERROR(VLOOKUP(TableHandbook[[#This Row],[UDC]],TableMJRUGEOGR[],7,FALSE),"")</f>
        <v/>
      </c>
      <c r="Q30" s="65" t="str">
        <f>IFERROR(VLOOKUP(TableHandbook[[#This Row],[UDC]],TableMJRUHISTR[],7,FALSE),"")</f>
        <v/>
      </c>
      <c r="R30" s="65" t="str">
        <f>IFERROR(VLOOKUP(TableHandbook[[#This Row],[UDC]],TableMJRUINAUC[],7,FALSE),"")</f>
        <v/>
      </c>
      <c r="S30" s="65" t="str">
        <f>IFERROR(VLOOKUP(TableHandbook[[#This Row],[UDC]],TableMJRUINTRL[],7,FALSE),"")</f>
        <v/>
      </c>
      <c r="T30" s="65" t="str">
        <f>IFERROR(VLOOKUP(TableHandbook[[#This Row],[UDC]],TableMJRUJAPAN[],7,FALSE),"")</f>
        <v/>
      </c>
      <c r="U30" s="65" t="str">
        <f>IFERROR(VLOOKUP(TableHandbook[[#This Row],[UDC]],TableMJRUJOURN[],7,FALSE),"")</f>
        <v/>
      </c>
      <c r="V30" s="65" t="str">
        <f>IFERROR(VLOOKUP(TableHandbook[[#This Row],[UDC]],TableMJRUKORES[],7,FALSE),"")</f>
        <v/>
      </c>
      <c r="W30" s="65" t="str">
        <f>IFERROR(VLOOKUP(TableHandbook[[#This Row],[UDC]],TableMJRULITCU[],7,FALSE),"")</f>
        <v/>
      </c>
      <c r="X30" s="65" t="str">
        <f>IFERROR(VLOOKUP(TableHandbook[[#This Row],[UDC]],TableMJRUNETCM[],7,FALSE),"")</f>
        <v/>
      </c>
      <c r="Y30" s="65" t="str">
        <f>IFERROR(VLOOKUP(TableHandbook[[#This Row],[UDC]],TableMJRUPRWRP[],7,FALSE),"")</f>
        <v/>
      </c>
      <c r="Z30" s="66" t="str">
        <f>IFERROR(VLOOKUP(TableHandbook[[#This Row],[UDC]],TableMJRUSCSTR[],7,FALSE),"")</f>
        <v/>
      </c>
      <c r="AA30" s="74"/>
      <c r="AB30" s="66" t="str">
        <f>IFERROR(VLOOKUP(TableHandbook[[#This Row],[UDC]],TableMJRUBSLAW[],7,FALSE),"")</f>
        <v>Core</v>
      </c>
      <c r="AC30" s="66" t="str">
        <f>IFERROR(VLOOKUP(TableHandbook[[#This Row],[UDC]],TableMJRUECONS[],7,FALSE),"")</f>
        <v/>
      </c>
      <c r="AD30" s="66" t="str">
        <f>IFERROR(VLOOKUP(TableHandbook[[#This Row],[UDC]],TableMJRUFINAR[],7,FALSE),"")</f>
        <v/>
      </c>
      <c r="AE30" s="66" t="str">
        <f>IFERROR(VLOOKUP(TableHandbook[[#This Row],[UDC]],TableMJRUFINCE[],7,FALSE),"")</f>
        <v/>
      </c>
      <c r="AF30" s="66" t="str">
        <f>IFERROR(VLOOKUP(TableHandbook[[#This Row],[UDC]],TableMJRUHRMGM[],7,FALSE),"")</f>
        <v/>
      </c>
      <c r="AG30" s="66" t="str">
        <f>IFERROR(VLOOKUP(TableHandbook[[#This Row],[UDC]],TableMJRUINTBU[],7,FALSE),"")</f>
        <v/>
      </c>
      <c r="AH30" s="66" t="str">
        <f>IFERROR(VLOOKUP(TableHandbook[[#This Row],[UDC]],TableMJRULGSCM[],7,FALSE),"")</f>
        <v/>
      </c>
      <c r="AI30" s="66" t="str">
        <f>IFERROR(VLOOKUP(TableHandbook[[#This Row],[UDC]],TableMJRUMNGMT[],7,FALSE),"")</f>
        <v/>
      </c>
      <c r="AJ30" s="66" t="str">
        <f>IFERROR(VLOOKUP(TableHandbook[[#This Row],[UDC]],TableMJRUMRKTG[],7,FALSE),"")</f>
        <v/>
      </c>
      <c r="AK30" s="66" t="str">
        <f>IFERROR(VLOOKUP(TableHandbook[[#This Row],[UDC]],TableMJRUPRPTY[],7,FALSE),"")</f>
        <v/>
      </c>
      <c r="AL30" s="66" t="str">
        <f>IFERROR(VLOOKUP(TableHandbook[[#This Row],[UDC]],TableMJRUSCRAR[],7,FALSE),"")</f>
        <v/>
      </c>
      <c r="AM30" s="66" t="str">
        <f>IFERROR(VLOOKUP(TableHandbook[[#This Row],[UDC]],TableMJRUTHTRA[],7,FALSE),"")</f>
        <v/>
      </c>
      <c r="AN30" s="66" t="str">
        <f>IFERROR(VLOOKUP(TableHandbook[[#This Row],[UDC]],TableMJRUTRHOS[],7,FALSE),"")</f>
        <v/>
      </c>
    </row>
    <row r="31" spans="1:40" x14ac:dyDescent="0.25">
      <c r="A31" s="8" t="s">
        <v>413</v>
      </c>
      <c r="B31" s="9">
        <v>1</v>
      </c>
      <c r="C31" s="8"/>
      <c r="D31" s="8" t="s">
        <v>539</v>
      </c>
      <c r="E31" s="9">
        <v>25</v>
      </c>
      <c r="F31" s="49" t="s">
        <v>526</v>
      </c>
      <c r="G31" s="67" t="str">
        <f>IFERROR(IF(VLOOKUP(TableHandbook[[#This Row],[UDC]],TableAvailabilities[],2,FALSE)&gt;0,"Y",""),"")</f>
        <v>Y</v>
      </c>
      <c r="H31" s="68" t="str">
        <f>IFERROR(IF(VLOOKUP(TableHandbook[[#This Row],[UDC]],TableAvailabilities[],3,FALSE)&gt;0,"Y",""),"")</f>
        <v>Y</v>
      </c>
      <c r="I31" s="69" t="str">
        <f>IFERROR(IF(VLOOKUP(TableHandbook[[#This Row],[UDC]],TableAvailabilities[],4,FALSE)&gt;0,"Y",""),"")</f>
        <v>Y</v>
      </c>
      <c r="J31" s="70" t="str">
        <f>IFERROR(IF(VLOOKUP(TableHandbook[[#This Row],[UDC]],TableAvailabilities[],5,FALSE)&gt;0,"Y",""),"")</f>
        <v>Y</v>
      </c>
      <c r="K31" s="163"/>
      <c r="L31" s="64" t="str">
        <f>IFERROR(VLOOKUP(TableHandbook[[#This Row],[UDC]],TableBARTS[],7,FALSE),"")</f>
        <v/>
      </c>
      <c r="M31" s="65" t="str">
        <f>IFERROR(VLOOKUP(TableHandbook[[#This Row],[UDC]],TableMJRUANTSO[],7,FALSE),"")</f>
        <v/>
      </c>
      <c r="N31" s="65" t="str">
        <f>IFERROR(VLOOKUP(TableHandbook[[#This Row],[UDC]],TableMJRUCHNSE[],7,FALSE),"")</f>
        <v/>
      </c>
      <c r="O31" s="65" t="str">
        <f>IFERROR(VLOOKUP(TableHandbook[[#This Row],[UDC]],TableMJRUCRWRI[],7,FALSE),"")</f>
        <v/>
      </c>
      <c r="P31" s="65" t="str">
        <f>IFERROR(VLOOKUP(TableHandbook[[#This Row],[UDC]],TableMJRUGEOGR[],7,FALSE),"")</f>
        <v/>
      </c>
      <c r="Q31" s="65" t="str">
        <f>IFERROR(VLOOKUP(TableHandbook[[#This Row],[UDC]],TableMJRUHISTR[],7,FALSE),"")</f>
        <v/>
      </c>
      <c r="R31" s="65" t="str">
        <f>IFERROR(VLOOKUP(TableHandbook[[#This Row],[UDC]],TableMJRUINAUC[],7,FALSE),"")</f>
        <v/>
      </c>
      <c r="S31" s="65" t="str">
        <f>IFERROR(VLOOKUP(TableHandbook[[#This Row],[UDC]],TableMJRUINTRL[],7,FALSE),"")</f>
        <v/>
      </c>
      <c r="T31" s="65" t="str">
        <f>IFERROR(VLOOKUP(TableHandbook[[#This Row],[UDC]],TableMJRUJAPAN[],7,FALSE),"")</f>
        <v/>
      </c>
      <c r="U31" s="65" t="str">
        <f>IFERROR(VLOOKUP(TableHandbook[[#This Row],[UDC]],TableMJRUJOURN[],7,FALSE),"")</f>
        <v/>
      </c>
      <c r="V31" s="65" t="str">
        <f>IFERROR(VLOOKUP(TableHandbook[[#This Row],[UDC]],TableMJRUKORES[],7,FALSE),"")</f>
        <v/>
      </c>
      <c r="W31" s="65" t="str">
        <f>IFERROR(VLOOKUP(TableHandbook[[#This Row],[UDC]],TableMJRULITCU[],7,FALSE),"")</f>
        <v/>
      </c>
      <c r="X31" s="65" t="str">
        <f>IFERROR(VLOOKUP(TableHandbook[[#This Row],[UDC]],TableMJRUNETCM[],7,FALSE),"")</f>
        <v/>
      </c>
      <c r="Y31" s="65" t="str">
        <f>IFERROR(VLOOKUP(TableHandbook[[#This Row],[UDC]],TableMJRUPRWRP[],7,FALSE),"")</f>
        <v/>
      </c>
      <c r="Z31" s="66" t="str">
        <f>IFERROR(VLOOKUP(TableHandbook[[#This Row],[UDC]],TableMJRUSCSTR[],7,FALSE),"")</f>
        <v/>
      </c>
      <c r="AA31" s="74"/>
      <c r="AB31" s="66" t="str">
        <f>IFERROR(VLOOKUP(TableHandbook[[#This Row],[UDC]],TableMJRUBSLAW[],7,FALSE),"")</f>
        <v>Core</v>
      </c>
      <c r="AC31" s="66" t="str">
        <f>IFERROR(VLOOKUP(TableHandbook[[#This Row],[UDC]],TableMJRUECONS[],7,FALSE),"")</f>
        <v/>
      </c>
      <c r="AD31" s="66" t="str">
        <f>IFERROR(VLOOKUP(TableHandbook[[#This Row],[UDC]],TableMJRUFINAR[],7,FALSE),"")</f>
        <v/>
      </c>
      <c r="AE31" s="66" t="str">
        <f>IFERROR(VLOOKUP(TableHandbook[[#This Row],[UDC]],TableMJRUFINCE[],7,FALSE),"")</f>
        <v/>
      </c>
      <c r="AF31" s="66" t="str">
        <f>IFERROR(VLOOKUP(TableHandbook[[#This Row],[UDC]],TableMJRUHRMGM[],7,FALSE),"")</f>
        <v/>
      </c>
      <c r="AG31" s="66" t="str">
        <f>IFERROR(VLOOKUP(TableHandbook[[#This Row],[UDC]],TableMJRUINTBU[],7,FALSE),"")</f>
        <v/>
      </c>
      <c r="AH31" s="66" t="str">
        <f>IFERROR(VLOOKUP(TableHandbook[[#This Row],[UDC]],TableMJRULGSCM[],7,FALSE),"")</f>
        <v/>
      </c>
      <c r="AI31" s="66" t="str">
        <f>IFERROR(VLOOKUP(TableHandbook[[#This Row],[UDC]],TableMJRUMNGMT[],7,FALSE),"")</f>
        <v/>
      </c>
      <c r="AJ31" s="66" t="str">
        <f>IFERROR(VLOOKUP(TableHandbook[[#This Row],[UDC]],TableMJRUMRKTG[],7,FALSE),"")</f>
        <v/>
      </c>
      <c r="AK31" s="66" t="str">
        <f>IFERROR(VLOOKUP(TableHandbook[[#This Row],[UDC]],TableMJRUPRPTY[],7,FALSE),"")</f>
        <v/>
      </c>
      <c r="AL31" s="66" t="str">
        <f>IFERROR(VLOOKUP(TableHandbook[[#This Row],[UDC]],TableMJRUSCRAR[],7,FALSE),"")</f>
        <v/>
      </c>
      <c r="AM31" s="66" t="str">
        <f>IFERROR(VLOOKUP(TableHandbook[[#This Row],[UDC]],TableMJRUTHTRA[],7,FALSE),"")</f>
        <v/>
      </c>
      <c r="AN31" s="66" t="str">
        <f>IFERROR(VLOOKUP(TableHandbook[[#This Row],[UDC]],TableMJRUTRHOS[],7,FALSE),"")</f>
        <v/>
      </c>
    </row>
    <row r="32" spans="1:40" x14ac:dyDescent="0.25">
      <c r="A32" s="8" t="s">
        <v>414</v>
      </c>
      <c r="B32" s="9">
        <v>1</v>
      </c>
      <c r="C32" s="8"/>
      <c r="D32" s="8" t="s">
        <v>540</v>
      </c>
      <c r="E32" s="9">
        <v>25</v>
      </c>
      <c r="F32" s="49" t="s">
        <v>526</v>
      </c>
      <c r="G32" s="67" t="str">
        <f>IFERROR(IF(VLOOKUP(TableHandbook[[#This Row],[UDC]],TableAvailabilities[],2,FALSE)&gt;0,"Y",""),"")</f>
        <v/>
      </c>
      <c r="H32" s="68" t="str">
        <f>IFERROR(IF(VLOOKUP(TableHandbook[[#This Row],[UDC]],TableAvailabilities[],3,FALSE)&gt;0,"Y",""),"")</f>
        <v/>
      </c>
      <c r="I32" s="69" t="str">
        <f>IFERROR(IF(VLOOKUP(TableHandbook[[#This Row],[UDC]],TableAvailabilities[],4,FALSE)&gt;0,"Y",""),"")</f>
        <v>Y</v>
      </c>
      <c r="J32" s="70" t="str">
        <f>IFERROR(IF(VLOOKUP(TableHandbook[[#This Row],[UDC]],TableAvailabilities[],5,FALSE)&gt;0,"Y",""),"")</f>
        <v>Y</v>
      </c>
      <c r="K32" s="163"/>
      <c r="L32" s="64" t="str">
        <f>IFERROR(VLOOKUP(TableHandbook[[#This Row],[UDC]],TableBARTS[],7,FALSE),"")</f>
        <v/>
      </c>
      <c r="M32" s="65" t="str">
        <f>IFERROR(VLOOKUP(TableHandbook[[#This Row],[UDC]],TableMJRUANTSO[],7,FALSE),"")</f>
        <v/>
      </c>
      <c r="N32" s="65" t="str">
        <f>IFERROR(VLOOKUP(TableHandbook[[#This Row],[UDC]],TableMJRUCHNSE[],7,FALSE),"")</f>
        <v/>
      </c>
      <c r="O32" s="65" t="str">
        <f>IFERROR(VLOOKUP(TableHandbook[[#This Row],[UDC]],TableMJRUCRWRI[],7,FALSE),"")</f>
        <v/>
      </c>
      <c r="P32" s="65" t="str">
        <f>IFERROR(VLOOKUP(TableHandbook[[#This Row],[UDC]],TableMJRUGEOGR[],7,FALSE),"")</f>
        <v/>
      </c>
      <c r="Q32" s="65" t="str">
        <f>IFERROR(VLOOKUP(TableHandbook[[#This Row],[UDC]],TableMJRUHISTR[],7,FALSE),"")</f>
        <v/>
      </c>
      <c r="R32" s="65" t="str">
        <f>IFERROR(VLOOKUP(TableHandbook[[#This Row],[UDC]],TableMJRUINAUC[],7,FALSE),"")</f>
        <v/>
      </c>
      <c r="S32" s="65" t="str">
        <f>IFERROR(VLOOKUP(TableHandbook[[#This Row],[UDC]],TableMJRUINTRL[],7,FALSE),"")</f>
        <v/>
      </c>
      <c r="T32" s="65" t="str">
        <f>IFERROR(VLOOKUP(TableHandbook[[#This Row],[UDC]],TableMJRUJAPAN[],7,FALSE),"")</f>
        <v/>
      </c>
      <c r="U32" s="65" t="str">
        <f>IFERROR(VLOOKUP(TableHandbook[[#This Row],[UDC]],TableMJRUJOURN[],7,FALSE),"")</f>
        <v/>
      </c>
      <c r="V32" s="65" t="str">
        <f>IFERROR(VLOOKUP(TableHandbook[[#This Row],[UDC]],TableMJRUKORES[],7,FALSE),"")</f>
        <v/>
      </c>
      <c r="W32" s="65" t="str">
        <f>IFERROR(VLOOKUP(TableHandbook[[#This Row],[UDC]],TableMJRULITCU[],7,FALSE),"")</f>
        <v/>
      </c>
      <c r="X32" s="65" t="str">
        <f>IFERROR(VLOOKUP(TableHandbook[[#This Row],[UDC]],TableMJRUNETCM[],7,FALSE),"")</f>
        <v/>
      </c>
      <c r="Y32" s="65" t="str">
        <f>IFERROR(VLOOKUP(TableHandbook[[#This Row],[UDC]],TableMJRUPRWRP[],7,FALSE),"")</f>
        <v/>
      </c>
      <c r="Z32" s="66" t="str">
        <f>IFERROR(VLOOKUP(TableHandbook[[#This Row],[UDC]],TableMJRUSCSTR[],7,FALSE),"")</f>
        <v/>
      </c>
      <c r="AA32" s="74"/>
      <c r="AB32" s="66" t="str">
        <f>IFERROR(VLOOKUP(TableHandbook[[#This Row],[UDC]],TableMJRUBSLAW[],7,FALSE),"")</f>
        <v>Core</v>
      </c>
      <c r="AC32" s="66" t="str">
        <f>IFERROR(VLOOKUP(TableHandbook[[#This Row],[UDC]],TableMJRUECONS[],7,FALSE),"")</f>
        <v/>
      </c>
      <c r="AD32" s="66" t="str">
        <f>IFERROR(VLOOKUP(TableHandbook[[#This Row],[UDC]],TableMJRUFINAR[],7,FALSE),"")</f>
        <v/>
      </c>
      <c r="AE32" s="66" t="str">
        <f>IFERROR(VLOOKUP(TableHandbook[[#This Row],[UDC]],TableMJRUFINCE[],7,FALSE),"")</f>
        <v/>
      </c>
      <c r="AF32" s="66" t="str">
        <f>IFERROR(VLOOKUP(TableHandbook[[#This Row],[UDC]],TableMJRUHRMGM[],7,FALSE),"")</f>
        <v/>
      </c>
      <c r="AG32" s="66" t="str">
        <f>IFERROR(VLOOKUP(TableHandbook[[#This Row],[UDC]],TableMJRUINTBU[],7,FALSE),"")</f>
        <v/>
      </c>
      <c r="AH32" s="66" t="str">
        <f>IFERROR(VLOOKUP(TableHandbook[[#This Row],[UDC]],TableMJRULGSCM[],7,FALSE),"")</f>
        <v/>
      </c>
      <c r="AI32" s="66" t="str">
        <f>IFERROR(VLOOKUP(TableHandbook[[#This Row],[UDC]],TableMJRUMNGMT[],7,FALSE),"")</f>
        <v/>
      </c>
      <c r="AJ32" s="66" t="str">
        <f>IFERROR(VLOOKUP(TableHandbook[[#This Row],[UDC]],TableMJRUMRKTG[],7,FALSE),"")</f>
        <v/>
      </c>
      <c r="AK32" s="66" t="str">
        <f>IFERROR(VLOOKUP(TableHandbook[[#This Row],[UDC]],TableMJRUPRPTY[],7,FALSE),"")</f>
        <v>Core</v>
      </c>
      <c r="AL32" s="66" t="str">
        <f>IFERROR(VLOOKUP(TableHandbook[[#This Row],[UDC]],TableMJRUSCRAR[],7,FALSE),"")</f>
        <v/>
      </c>
      <c r="AM32" s="66" t="str">
        <f>IFERROR(VLOOKUP(TableHandbook[[#This Row],[UDC]],TableMJRUTHTRA[],7,FALSE),"")</f>
        <v/>
      </c>
      <c r="AN32" s="66" t="str">
        <f>IFERROR(VLOOKUP(TableHandbook[[#This Row],[UDC]],TableMJRUTRHOS[],7,FALSE),"")</f>
        <v/>
      </c>
    </row>
    <row r="33" spans="1:40" x14ac:dyDescent="0.25">
      <c r="A33" s="8" t="s">
        <v>392</v>
      </c>
      <c r="B33" s="9">
        <v>1</v>
      </c>
      <c r="C33" s="8"/>
      <c r="D33" s="8" t="s">
        <v>541</v>
      </c>
      <c r="E33" s="9">
        <v>25</v>
      </c>
      <c r="F33" s="49" t="s">
        <v>526</v>
      </c>
      <c r="G33" s="67" t="str">
        <f>IFERROR(IF(VLOOKUP(TableHandbook[[#This Row],[UDC]],TableAvailabilities[],2,FALSE)&gt;0,"Y",""),"")</f>
        <v/>
      </c>
      <c r="H33" s="68" t="str">
        <f>IFERROR(IF(VLOOKUP(TableHandbook[[#This Row],[UDC]],TableAvailabilities[],3,FALSE)&gt;0,"Y",""),"")</f>
        <v/>
      </c>
      <c r="I33" s="69" t="str">
        <f>IFERROR(IF(VLOOKUP(TableHandbook[[#This Row],[UDC]],TableAvailabilities[],4,FALSE)&gt;0,"Y",""),"")</f>
        <v>Y</v>
      </c>
      <c r="J33" s="70" t="str">
        <f>IFERROR(IF(VLOOKUP(TableHandbook[[#This Row],[UDC]],TableAvailabilities[],5,FALSE)&gt;0,"Y",""),"")</f>
        <v>Y</v>
      </c>
      <c r="K33" s="163"/>
      <c r="L33" s="64" t="str">
        <f>IFERROR(VLOOKUP(TableHandbook[[#This Row],[UDC]],TableBARTS[],7,FALSE),"")</f>
        <v/>
      </c>
      <c r="M33" s="65" t="str">
        <f>IFERROR(VLOOKUP(TableHandbook[[#This Row],[UDC]],TableMJRUANTSO[],7,FALSE),"")</f>
        <v/>
      </c>
      <c r="N33" s="65" t="str">
        <f>IFERROR(VLOOKUP(TableHandbook[[#This Row],[UDC]],TableMJRUCHNSE[],7,FALSE),"")</f>
        <v/>
      </c>
      <c r="O33" s="65" t="str">
        <f>IFERROR(VLOOKUP(TableHandbook[[#This Row],[UDC]],TableMJRUCRWRI[],7,FALSE),"")</f>
        <v/>
      </c>
      <c r="P33" s="65" t="str">
        <f>IFERROR(VLOOKUP(TableHandbook[[#This Row],[UDC]],TableMJRUGEOGR[],7,FALSE),"")</f>
        <v/>
      </c>
      <c r="Q33" s="65" t="str">
        <f>IFERROR(VLOOKUP(TableHandbook[[#This Row],[UDC]],TableMJRUHISTR[],7,FALSE),"")</f>
        <v/>
      </c>
      <c r="R33" s="65" t="str">
        <f>IFERROR(VLOOKUP(TableHandbook[[#This Row],[UDC]],TableMJRUINAUC[],7,FALSE),"")</f>
        <v/>
      </c>
      <c r="S33" s="65" t="str">
        <f>IFERROR(VLOOKUP(TableHandbook[[#This Row],[UDC]],TableMJRUINTRL[],7,FALSE),"")</f>
        <v/>
      </c>
      <c r="T33" s="65" t="str">
        <f>IFERROR(VLOOKUP(TableHandbook[[#This Row],[UDC]],TableMJRUJAPAN[],7,FALSE),"")</f>
        <v/>
      </c>
      <c r="U33" s="65" t="str">
        <f>IFERROR(VLOOKUP(TableHandbook[[#This Row],[UDC]],TableMJRUJOURN[],7,FALSE),"")</f>
        <v/>
      </c>
      <c r="V33" s="65" t="str">
        <f>IFERROR(VLOOKUP(TableHandbook[[#This Row],[UDC]],TableMJRUKORES[],7,FALSE),"")</f>
        <v/>
      </c>
      <c r="W33" s="65" t="str">
        <f>IFERROR(VLOOKUP(TableHandbook[[#This Row],[UDC]],TableMJRULITCU[],7,FALSE),"")</f>
        <v/>
      </c>
      <c r="X33" s="65" t="str">
        <f>IFERROR(VLOOKUP(TableHandbook[[#This Row],[UDC]],TableMJRUNETCM[],7,FALSE),"")</f>
        <v/>
      </c>
      <c r="Y33" s="65" t="str">
        <f>IFERROR(VLOOKUP(TableHandbook[[#This Row],[UDC]],TableMJRUPRWRP[],7,FALSE),"")</f>
        <v/>
      </c>
      <c r="Z33" s="66" t="str">
        <f>IFERROR(VLOOKUP(TableHandbook[[#This Row],[UDC]],TableMJRUSCSTR[],7,FALSE),"")</f>
        <v/>
      </c>
      <c r="AA33" s="74"/>
      <c r="AB33" s="66" t="str">
        <f>IFERROR(VLOOKUP(TableHandbook[[#This Row],[UDC]],TableMJRUBSLAW[],7,FALSE),"")</f>
        <v>Core</v>
      </c>
      <c r="AC33" s="66" t="str">
        <f>IFERROR(VLOOKUP(TableHandbook[[#This Row],[UDC]],TableMJRUECONS[],7,FALSE),"")</f>
        <v/>
      </c>
      <c r="AD33" s="66" t="str">
        <f>IFERROR(VLOOKUP(TableHandbook[[#This Row],[UDC]],TableMJRUFINAR[],7,FALSE),"")</f>
        <v/>
      </c>
      <c r="AE33" s="66" t="str">
        <f>IFERROR(VLOOKUP(TableHandbook[[#This Row],[UDC]],TableMJRUFINCE[],7,FALSE),"")</f>
        <v/>
      </c>
      <c r="AF33" s="66" t="str">
        <f>IFERROR(VLOOKUP(TableHandbook[[#This Row],[UDC]],TableMJRUHRMGM[],7,FALSE),"")</f>
        <v/>
      </c>
      <c r="AG33" s="66" t="str">
        <f>IFERROR(VLOOKUP(TableHandbook[[#This Row],[UDC]],TableMJRUINTBU[],7,FALSE),"")</f>
        <v/>
      </c>
      <c r="AH33" s="66" t="str">
        <f>IFERROR(VLOOKUP(TableHandbook[[#This Row],[UDC]],TableMJRULGSCM[],7,FALSE),"")</f>
        <v/>
      </c>
      <c r="AI33" s="66" t="str">
        <f>IFERROR(VLOOKUP(TableHandbook[[#This Row],[UDC]],TableMJRUMNGMT[],7,FALSE),"")</f>
        <v/>
      </c>
      <c r="AJ33" s="66" t="str">
        <f>IFERROR(VLOOKUP(TableHandbook[[#This Row],[UDC]],TableMJRUMRKTG[],7,FALSE),"")</f>
        <v/>
      </c>
      <c r="AK33" s="66" t="str">
        <f>IFERROR(VLOOKUP(TableHandbook[[#This Row],[UDC]],TableMJRUPRPTY[],7,FALSE),"")</f>
        <v/>
      </c>
      <c r="AL33" s="66" t="str">
        <f>IFERROR(VLOOKUP(TableHandbook[[#This Row],[UDC]],TableMJRUSCRAR[],7,FALSE),"")</f>
        <v/>
      </c>
      <c r="AM33" s="66" t="str">
        <f>IFERROR(VLOOKUP(TableHandbook[[#This Row],[UDC]],TableMJRUTHTRA[],7,FALSE),"")</f>
        <v/>
      </c>
      <c r="AN33" s="66" t="str">
        <f>IFERROR(VLOOKUP(TableHandbook[[#This Row],[UDC]],TableMJRUTRHOS[],7,FALSE),"")</f>
        <v/>
      </c>
    </row>
    <row r="34" spans="1:40" x14ac:dyDescent="0.25">
      <c r="A34" s="8" t="s">
        <v>479</v>
      </c>
      <c r="B34" s="9">
        <v>1</v>
      </c>
      <c r="C34" s="8"/>
      <c r="D34" s="8" t="s">
        <v>542</v>
      </c>
      <c r="E34" s="9">
        <v>25</v>
      </c>
      <c r="F34" s="49" t="s">
        <v>543</v>
      </c>
      <c r="G34" s="67" t="str">
        <f>IFERROR(IF(VLOOKUP(TableHandbook[[#This Row],[UDC]],TableAvailabilities[],2,FALSE)&gt;0,"Y",""),"")</f>
        <v>Y</v>
      </c>
      <c r="H34" s="68" t="str">
        <f>IFERROR(IF(VLOOKUP(TableHandbook[[#This Row],[UDC]],TableAvailabilities[],3,FALSE)&gt;0,"Y",""),"")</f>
        <v>Y</v>
      </c>
      <c r="I34" s="69" t="str">
        <f>IFERROR(IF(VLOOKUP(TableHandbook[[#This Row],[UDC]],TableAvailabilities[],4,FALSE)&gt;0,"Y",""),"")</f>
        <v/>
      </c>
      <c r="J34" s="70" t="str">
        <f>IFERROR(IF(VLOOKUP(TableHandbook[[#This Row],[UDC]],TableAvailabilities[],5,FALSE)&gt;0,"Y",""),"")</f>
        <v/>
      </c>
      <c r="K34" s="163"/>
      <c r="L34" s="64" t="str">
        <f>IFERROR(VLOOKUP(TableHandbook[[#This Row],[UDC]],TableBARTS[],7,FALSE),"")</f>
        <v/>
      </c>
      <c r="M34" s="65" t="str">
        <f>IFERROR(VLOOKUP(TableHandbook[[#This Row],[UDC]],TableMJRUANTSO[],7,FALSE),"")</f>
        <v/>
      </c>
      <c r="N34" s="65" t="str">
        <f>IFERROR(VLOOKUP(TableHandbook[[#This Row],[UDC]],TableMJRUCHNSE[],7,FALSE),"")</f>
        <v/>
      </c>
      <c r="O34" s="65" t="str">
        <f>IFERROR(VLOOKUP(TableHandbook[[#This Row],[UDC]],TableMJRUCRWRI[],7,FALSE),"")</f>
        <v/>
      </c>
      <c r="P34" s="65" t="str">
        <f>IFERROR(VLOOKUP(TableHandbook[[#This Row],[UDC]],TableMJRUGEOGR[],7,FALSE),"")</f>
        <v/>
      </c>
      <c r="Q34" s="65" t="str">
        <f>IFERROR(VLOOKUP(TableHandbook[[#This Row],[UDC]],TableMJRUHISTR[],7,FALSE),"")</f>
        <v/>
      </c>
      <c r="R34" s="65" t="str">
        <f>IFERROR(VLOOKUP(TableHandbook[[#This Row],[UDC]],TableMJRUINAUC[],7,FALSE),"")</f>
        <v/>
      </c>
      <c r="S34" s="65" t="str">
        <f>IFERROR(VLOOKUP(TableHandbook[[#This Row],[UDC]],TableMJRUINTRL[],7,FALSE),"")</f>
        <v/>
      </c>
      <c r="T34" s="65" t="str">
        <f>IFERROR(VLOOKUP(TableHandbook[[#This Row],[UDC]],TableMJRUJAPAN[],7,FALSE),"")</f>
        <v/>
      </c>
      <c r="U34" s="65" t="str">
        <f>IFERROR(VLOOKUP(TableHandbook[[#This Row],[UDC]],TableMJRUJOURN[],7,FALSE),"")</f>
        <v/>
      </c>
      <c r="V34" s="65" t="str">
        <f>IFERROR(VLOOKUP(TableHandbook[[#This Row],[UDC]],TableMJRUKORES[],7,FALSE),"")</f>
        <v/>
      </c>
      <c r="W34" s="65" t="str">
        <f>IFERROR(VLOOKUP(TableHandbook[[#This Row],[UDC]],TableMJRULITCU[],7,FALSE),"")</f>
        <v/>
      </c>
      <c r="X34" s="65" t="str">
        <f>IFERROR(VLOOKUP(TableHandbook[[#This Row],[UDC]],TableMJRUNETCM[],7,FALSE),"")</f>
        <v/>
      </c>
      <c r="Y34" s="65" t="str">
        <f>IFERROR(VLOOKUP(TableHandbook[[#This Row],[UDC]],TableMJRUPRWRP[],7,FALSE),"")</f>
        <v/>
      </c>
      <c r="Z34" s="66" t="str">
        <f>IFERROR(VLOOKUP(TableHandbook[[#This Row],[UDC]],TableMJRUSCSTR[],7,FALSE),"")</f>
        <v/>
      </c>
      <c r="AA34" s="74"/>
      <c r="AB34" s="66" t="str">
        <f>IFERROR(VLOOKUP(TableHandbook[[#This Row],[UDC]],TableMJRUBSLAW[],7,FALSE),"")</f>
        <v/>
      </c>
      <c r="AC34" s="66" t="str">
        <f>IFERROR(VLOOKUP(TableHandbook[[#This Row],[UDC]],TableMJRUECONS[],7,FALSE),"")</f>
        <v/>
      </c>
      <c r="AD34" s="66" t="str">
        <f>IFERROR(VLOOKUP(TableHandbook[[#This Row],[UDC]],TableMJRUFINAR[],7,FALSE),"")</f>
        <v/>
      </c>
      <c r="AE34" s="66" t="str">
        <f>IFERROR(VLOOKUP(TableHandbook[[#This Row],[UDC]],TableMJRUFINCE[],7,FALSE),"")</f>
        <v/>
      </c>
      <c r="AF34" s="66" t="str">
        <f>IFERROR(VLOOKUP(TableHandbook[[#This Row],[UDC]],TableMJRUHRMGM[],7,FALSE),"")</f>
        <v/>
      </c>
      <c r="AG34" s="66" t="str">
        <f>IFERROR(VLOOKUP(TableHandbook[[#This Row],[UDC]],TableMJRUINTBU[],7,FALSE),"")</f>
        <v/>
      </c>
      <c r="AH34" s="66" t="str">
        <f>IFERROR(VLOOKUP(TableHandbook[[#This Row],[UDC]],TableMJRULGSCM[],7,FALSE),"")</f>
        <v/>
      </c>
      <c r="AI34" s="66" t="str">
        <f>IFERROR(VLOOKUP(TableHandbook[[#This Row],[UDC]],TableMJRUMNGMT[],7,FALSE),"")</f>
        <v>AltCore</v>
      </c>
      <c r="AJ34" s="66" t="str">
        <f>IFERROR(VLOOKUP(TableHandbook[[#This Row],[UDC]],TableMJRUMRKTG[],7,FALSE),"")</f>
        <v/>
      </c>
      <c r="AK34" s="66" t="str">
        <f>IFERROR(VLOOKUP(TableHandbook[[#This Row],[UDC]],TableMJRUPRPTY[],7,FALSE),"")</f>
        <v/>
      </c>
      <c r="AL34" s="66" t="str">
        <f>IFERROR(VLOOKUP(TableHandbook[[#This Row],[UDC]],TableMJRUSCRAR[],7,FALSE),"")</f>
        <v/>
      </c>
      <c r="AM34" s="66" t="str">
        <f>IFERROR(VLOOKUP(TableHandbook[[#This Row],[UDC]],TableMJRUTHTRA[],7,FALSE),"")</f>
        <v/>
      </c>
      <c r="AN34" s="66" t="str">
        <f>IFERROR(VLOOKUP(TableHandbook[[#This Row],[UDC]],TableMJRUTRHOS[],7,FALSE),"")</f>
        <v/>
      </c>
    </row>
    <row r="35" spans="1:40" x14ac:dyDescent="0.25">
      <c r="A35" s="8" t="s">
        <v>391</v>
      </c>
      <c r="B35" s="9">
        <v>1</v>
      </c>
      <c r="C35" s="8"/>
      <c r="D35" s="8" t="s">
        <v>544</v>
      </c>
      <c r="E35" s="9">
        <v>25</v>
      </c>
      <c r="F35" s="49" t="s">
        <v>526</v>
      </c>
      <c r="G35" s="67" t="str">
        <f>IFERROR(IF(VLOOKUP(TableHandbook[[#This Row],[UDC]],TableAvailabilities[],2,FALSE)&gt;0,"Y",""),"")</f>
        <v>Y</v>
      </c>
      <c r="H35" s="68" t="str">
        <f>IFERROR(IF(VLOOKUP(TableHandbook[[#This Row],[UDC]],TableAvailabilities[],3,FALSE)&gt;0,"Y",""),"")</f>
        <v>Y</v>
      </c>
      <c r="I35" s="69" t="str">
        <f>IFERROR(IF(VLOOKUP(TableHandbook[[#This Row],[UDC]],TableAvailabilities[],4,FALSE)&gt;0,"Y",""),"")</f>
        <v>Y</v>
      </c>
      <c r="J35" s="70" t="str">
        <f>IFERROR(IF(VLOOKUP(TableHandbook[[#This Row],[UDC]],TableAvailabilities[],5,FALSE)&gt;0,"Y",""),"")</f>
        <v>Y</v>
      </c>
      <c r="K35" s="163"/>
      <c r="L35" s="64" t="str">
        <f>IFERROR(VLOOKUP(TableHandbook[[#This Row],[UDC]],TableBARTS[],7,FALSE),"")</f>
        <v/>
      </c>
      <c r="M35" s="65" t="str">
        <f>IFERROR(VLOOKUP(TableHandbook[[#This Row],[UDC]],TableMJRUANTSO[],7,FALSE),"")</f>
        <v/>
      </c>
      <c r="N35" s="65" t="str">
        <f>IFERROR(VLOOKUP(TableHandbook[[#This Row],[UDC]],TableMJRUCHNSE[],7,FALSE),"")</f>
        <v/>
      </c>
      <c r="O35" s="65" t="str">
        <f>IFERROR(VLOOKUP(TableHandbook[[#This Row],[UDC]],TableMJRUCRWRI[],7,FALSE),"")</f>
        <v/>
      </c>
      <c r="P35" s="65" t="str">
        <f>IFERROR(VLOOKUP(TableHandbook[[#This Row],[UDC]],TableMJRUGEOGR[],7,FALSE),"")</f>
        <v/>
      </c>
      <c r="Q35" s="65" t="str">
        <f>IFERROR(VLOOKUP(TableHandbook[[#This Row],[UDC]],TableMJRUHISTR[],7,FALSE),"")</f>
        <v/>
      </c>
      <c r="R35" s="65" t="str">
        <f>IFERROR(VLOOKUP(TableHandbook[[#This Row],[UDC]],TableMJRUINAUC[],7,FALSE),"")</f>
        <v/>
      </c>
      <c r="S35" s="65" t="str">
        <f>IFERROR(VLOOKUP(TableHandbook[[#This Row],[UDC]],TableMJRUINTRL[],7,FALSE),"")</f>
        <v/>
      </c>
      <c r="T35" s="65" t="str">
        <f>IFERROR(VLOOKUP(TableHandbook[[#This Row],[UDC]],TableMJRUJAPAN[],7,FALSE),"")</f>
        <v/>
      </c>
      <c r="U35" s="65" t="str">
        <f>IFERROR(VLOOKUP(TableHandbook[[#This Row],[UDC]],TableMJRUJOURN[],7,FALSE),"")</f>
        <v/>
      </c>
      <c r="V35" s="65" t="str">
        <f>IFERROR(VLOOKUP(TableHandbook[[#This Row],[UDC]],TableMJRUKORES[],7,FALSE),"")</f>
        <v/>
      </c>
      <c r="W35" s="65" t="str">
        <f>IFERROR(VLOOKUP(TableHandbook[[#This Row],[UDC]],TableMJRULITCU[],7,FALSE),"")</f>
        <v/>
      </c>
      <c r="X35" s="65" t="str">
        <f>IFERROR(VLOOKUP(TableHandbook[[#This Row],[UDC]],TableMJRUNETCM[],7,FALSE),"")</f>
        <v/>
      </c>
      <c r="Y35" s="65" t="str">
        <f>IFERROR(VLOOKUP(TableHandbook[[#This Row],[UDC]],TableMJRUPRWRP[],7,FALSE),"")</f>
        <v/>
      </c>
      <c r="Z35" s="66" t="str">
        <f>IFERROR(VLOOKUP(TableHandbook[[#This Row],[UDC]],TableMJRUSCSTR[],7,FALSE),"")</f>
        <v/>
      </c>
      <c r="AA35" s="74"/>
      <c r="AB35" s="66" t="str">
        <f>IFERROR(VLOOKUP(TableHandbook[[#This Row],[UDC]],TableMJRUBSLAW[],7,FALSE),"")</f>
        <v>Core</v>
      </c>
      <c r="AC35" s="66" t="str">
        <f>IFERROR(VLOOKUP(TableHandbook[[#This Row],[UDC]],TableMJRUECONS[],7,FALSE),"")</f>
        <v/>
      </c>
      <c r="AD35" s="66" t="str">
        <f>IFERROR(VLOOKUP(TableHandbook[[#This Row],[UDC]],TableMJRUFINAR[],7,FALSE),"")</f>
        <v/>
      </c>
      <c r="AE35" s="66" t="str">
        <f>IFERROR(VLOOKUP(TableHandbook[[#This Row],[UDC]],TableMJRUFINCE[],7,FALSE),"")</f>
        <v/>
      </c>
      <c r="AF35" s="66" t="str">
        <f>IFERROR(VLOOKUP(TableHandbook[[#This Row],[UDC]],TableMJRUHRMGM[],7,FALSE),"")</f>
        <v/>
      </c>
      <c r="AG35" s="66" t="str">
        <f>IFERROR(VLOOKUP(TableHandbook[[#This Row],[UDC]],TableMJRUINTBU[],7,FALSE),"")</f>
        <v/>
      </c>
      <c r="AH35" s="66" t="str">
        <f>IFERROR(VLOOKUP(TableHandbook[[#This Row],[UDC]],TableMJRULGSCM[],7,FALSE),"")</f>
        <v/>
      </c>
      <c r="AI35" s="66" t="str">
        <f>IFERROR(VLOOKUP(TableHandbook[[#This Row],[UDC]],TableMJRUMNGMT[],7,FALSE),"")</f>
        <v/>
      </c>
      <c r="AJ35" s="66" t="str">
        <f>IFERROR(VLOOKUP(TableHandbook[[#This Row],[UDC]],TableMJRUMRKTG[],7,FALSE),"")</f>
        <v/>
      </c>
      <c r="AK35" s="66" t="str">
        <f>IFERROR(VLOOKUP(TableHandbook[[#This Row],[UDC]],TableMJRUPRPTY[],7,FALSE),"")</f>
        <v/>
      </c>
      <c r="AL35" s="66" t="str">
        <f>IFERROR(VLOOKUP(TableHandbook[[#This Row],[UDC]],TableMJRUSCRAR[],7,FALSE),"")</f>
        <v/>
      </c>
      <c r="AM35" s="66" t="str">
        <f>IFERROR(VLOOKUP(TableHandbook[[#This Row],[UDC]],TableMJRUTHTRA[],7,FALSE),"")</f>
        <v/>
      </c>
      <c r="AN35" s="66" t="str">
        <f>IFERROR(VLOOKUP(TableHandbook[[#This Row],[UDC]],TableMJRUTRHOS[],7,FALSE),"")</f>
        <v/>
      </c>
    </row>
    <row r="36" spans="1:40" x14ac:dyDescent="0.25">
      <c r="A36" s="8" t="s">
        <v>460</v>
      </c>
      <c r="B36" s="9">
        <v>1</v>
      </c>
      <c r="C36" s="8"/>
      <c r="D36" s="8" t="s">
        <v>545</v>
      </c>
      <c r="E36" s="9">
        <v>25</v>
      </c>
      <c r="F36" s="49" t="s">
        <v>526</v>
      </c>
      <c r="G36" s="67" t="str">
        <f>IFERROR(IF(VLOOKUP(TableHandbook[[#This Row],[UDC]],TableAvailabilities[],2,FALSE)&gt;0,"Y",""),"")</f>
        <v>Y</v>
      </c>
      <c r="H36" s="68" t="str">
        <f>IFERROR(IF(VLOOKUP(TableHandbook[[#This Row],[UDC]],TableAvailabilities[],3,FALSE)&gt;0,"Y",""),"")</f>
        <v>Y</v>
      </c>
      <c r="I36" s="69" t="str">
        <f>IFERROR(IF(VLOOKUP(TableHandbook[[#This Row],[UDC]],TableAvailabilities[],4,FALSE)&gt;0,"Y",""),"")</f>
        <v/>
      </c>
      <c r="J36" s="70" t="str">
        <f>IFERROR(IF(VLOOKUP(TableHandbook[[#This Row],[UDC]],TableAvailabilities[],5,FALSE)&gt;0,"Y",""),"")</f>
        <v/>
      </c>
      <c r="K36" s="163"/>
      <c r="L36" s="64" t="str">
        <f>IFERROR(VLOOKUP(TableHandbook[[#This Row],[UDC]],TableBARTS[],7,FALSE),"")</f>
        <v/>
      </c>
      <c r="M36" s="65" t="str">
        <f>IFERROR(VLOOKUP(TableHandbook[[#This Row],[UDC]],TableMJRUANTSO[],7,FALSE),"")</f>
        <v/>
      </c>
      <c r="N36" s="65" t="str">
        <f>IFERROR(VLOOKUP(TableHandbook[[#This Row],[UDC]],TableMJRUCHNSE[],7,FALSE),"")</f>
        <v/>
      </c>
      <c r="O36" s="65" t="str">
        <f>IFERROR(VLOOKUP(TableHandbook[[#This Row],[UDC]],TableMJRUCRWRI[],7,FALSE),"")</f>
        <v/>
      </c>
      <c r="P36" s="65" t="str">
        <f>IFERROR(VLOOKUP(TableHandbook[[#This Row],[UDC]],TableMJRUGEOGR[],7,FALSE),"")</f>
        <v/>
      </c>
      <c r="Q36" s="65" t="str">
        <f>IFERROR(VLOOKUP(TableHandbook[[#This Row],[UDC]],TableMJRUHISTR[],7,FALSE),"")</f>
        <v/>
      </c>
      <c r="R36" s="65" t="str">
        <f>IFERROR(VLOOKUP(TableHandbook[[#This Row],[UDC]],TableMJRUINAUC[],7,FALSE),"")</f>
        <v/>
      </c>
      <c r="S36" s="65" t="str">
        <f>IFERROR(VLOOKUP(TableHandbook[[#This Row],[UDC]],TableMJRUINTRL[],7,FALSE),"")</f>
        <v/>
      </c>
      <c r="T36" s="65" t="str">
        <f>IFERROR(VLOOKUP(TableHandbook[[#This Row],[UDC]],TableMJRUJAPAN[],7,FALSE),"")</f>
        <v/>
      </c>
      <c r="U36" s="65" t="str">
        <f>IFERROR(VLOOKUP(TableHandbook[[#This Row],[UDC]],TableMJRUJOURN[],7,FALSE),"")</f>
        <v/>
      </c>
      <c r="V36" s="65" t="str">
        <f>IFERROR(VLOOKUP(TableHandbook[[#This Row],[UDC]],TableMJRUKORES[],7,FALSE),"")</f>
        <v/>
      </c>
      <c r="W36" s="65" t="str">
        <f>IFERROR(VLOOKUP(TableHandbook[[#This Row],[UDC]],TableMJRULITCU[],7,FALSE),"")</f>
        <v/>
      </c>
      <c r="X36" s="65" t="str">
        <f>IFERROR(VLOOKUP(TableHandbook[[#This Row],[UDC]],TableMJRUNETCM[],7,FALSE),"")</f>
        <v/>
      </c>
      <c r="Y36" s="65" t="str">
        <f>IFERROR(VLOOKUP(TableHandbook[[#This Row],[UDC]],TableMJRUPRWRP[],7,FALSE),"")</f>
        <v/>
      </c>
      <c r="Z36" s="66" t="str">
        <f>IFERROR(VLOOKUP(TableHandbook[[#This Row],[UDC]],TableMJRUSCSTR[],7,FALSE),"")</f>
        <v/>
      </c>
      <c r="AA36" s="74"/>
      <c r="AB36" s="66" t="str">
        <f>IFERROR(VLOOKUP(TableHandbook[[#This Row],[UDC]],TableMJRUBSLAW[],7,FALSE),"")</f>
        <v>Core</v>
      </c>
      <c r="AC36" s="66" t="str">
        <f>IFERROR(VLOOKUP(TableHandbook[[#This Row],[UDC]],TableMJRUECONS[],7,FALSE),"")</f>
        <v/>
      </c>
      <c r="AD36" s="66" t="str">
        <f>IFERROR(VLOOKUP(TableHandbook[[#This Row],[UDC]],TableMJRUFINAR[],7,FALSE),"")</f>
        <v/>
      </c>
      <c r="AE36" s="66" t="str">
        <f>IFERROR(VLOOKUP(TableHandbook[[#This Row],[UDC]],TableMJRUFINCE[],7,FALSE),"")</f>
        <v/>
      </c>
      <c r="AF36" s="66" t="str">
        <f>IFERROR(VLOOKUP(TableHandbook[[#This Row],[UDC]],TableMJRUHRMGM[],7,FALSE),"")</f>
        <v/>
      </c>
      <c r="AG36" s="66" t="str">
        <f>IFERROR(VLOOKUP(TableHandbook[[#This Row],[UDC]],TableMJRUINTBU[],7,FALSE),"")</f>
        <v/>
      </c>
      <c r="AH36" s="66" t="str">
        <f>IFERROR(VLOOKUP(TableHandbook[[#This Row],[UDC]],TableMJRULGSCM[],7,FALSE),"")</f>
        <v/>
      </c>
      <c r="AI36" s="66" t="str">
        <f>IFERROR(VLOOKUP(TableHandbook[[#This Row],[UDC]],TableMJRUMNGMT[],7,FALSE),"")</f>
        <v/>
      </c>
      <c r="AJ36" s="66" t="str">
        <f>IFERROR(VLOOKUP(TableHandbook[[#This Row],[UDC]],TableMJRUMRKTG[],7,FALSE),"")</f>
        <v/>
      </c>
      <c r="AK36" s="66" t="str">
        <f>IFERROR(VLOOKUP(TableHandbook[[#This Row],[UDC]],TableMJRUPRPTY[],7,FALSE),"")</f>
        <v/>
      </c>
      <c r="AL36" s="66" t="str">
        <f>IFERROR(VLOOKUP(TableHandbook[[#This Row],[UDC]],TableMJRUSCRAR[],7,FALSE),"")</f>
        <v/>
      </c>
      <c r="AM36" s="66" t="str">
        <f>IFERROR(VLOOKUP(TableHandbook[[#This Row],[UDC]],TableMJRUTHTRA[],7,FALSE),"")</f>
        <v/>
      </c>
      <c r="AN36" s="66" t="str">
        <f>IFERROR(VLOOKUP(TableHandbook[[#This Row],[UDC]],TableMJRUTRHOS[],7,FALSE),"")</f>
        <v/>
      </c>
    </row>
    <row r="37" spans="1:40" x14ac:dyDescent="0.25">
      <c r="A37" s="8" t="s">
        <v>441</v>
      </c>
      <c r="B37" s="9">
        <v>1</v>
      </c>
      <c r="C37" s="8"/>
      <c r="D37" s="8" t="s">
        <v>546</v>
      </c>
      <c r="E37" s="9">
        <v>25</v>
      </c>
      <c r="F37" s="49" t="s">
        <v>547</v>
      </c>
      <c r="G37" s="67" t="str">
        <f>IFERROR(IF(VLOOKUP(TableHandbook[[#This Row],[UDC]],TableAvailabilities[],2,FALSE)&gt;0,"Y",""),"")</f>
        <v>Y</v>
      </c>
      <c r="H37" s="68" t="str">
        <f>IFERROR(IF(VLOOKUP(TableHandbook[[#This Row],[UDC]],TableAvailabilities[],3,FALSE)&gt;0,"Y",""),"")</f>
        <v>Y</v>
      </c>
      <c r="I37" s="69" t="str">
        <f>IFERROR(IF(VLOOKUP(TableHandbook[[#This Row],[UDC]],TableAvailabilities[],4,FALSE)&gt;0,"Y",""),"")</f>
        <v/>
      </c>
      <c r="J37" s="70" t="str">
        <f>IFERROR(IF(VLOOKUP(TableHandbook[[#This Row],[UDC]],TableAvailabilities[],5,FALSE)&gt;0,"Y",""),"")</f>
        <v/>
      </c>
      <c r="K37" s="163"/>
      <c r="L37" s="64" t="str">
        <f>IFERROR(VLOOKUP(TableHandbook[[#This Row],[UDC]],TableBARTS[],7,FALSE),"")</f>
        <v/>
      </c>
      <c r="M37" s="65" t="str">
        <f>IFERROR(VLOOKUP(TableHandbook[[#This Row],[UDC]],TableMJRUANTSO[],7,FALSE),"")</f>
        <v/>
      </c>
      <c r="N37" s="65" t="str">
        <f>IFERROR(VLOOKUP(TableHandbook[[#This Row],[UDC]],TableMJRUCHNSE[],7,FALSE),"")</f>
        <v/>
      </c>
      <c r="O37" s="65" t="str">
        <f>IFERROR(VLOOKUP(TableHandbook[[#This Row],[UDC]],TableMJRUCRWRI[],7,FALSE),"")</f>
        <v/>
      </c>
      <c r="P37" s="65" t="str">
        <f>IFERROR(VLOOKUP(TableHandbook[[#This Row],[UDC]],TableMJRUGEOGR[],7,FALSE),"")</f>
        <v/>
      </c>
      <c r="Q37" s="65" t="str">
        <f>IFERROR(VLOOKUP(TableHandbook[[#This Row],[UDC]],TableMJRUHISTR[],7,FALSE),"")</f>
        <v/>
      </c>
      <c r="R37" s="65" t="str">
        <f>IFERROR(VLOOKUP(TableHandbook[[#This Row],[UDC]],TableMJRUINAUC[],7,FALSE),"")</f>
        <v/>
      </c>
      <c r="S37" s="65" t="str">
        <f>IFERROR(VLOOKUP(TableHandbook[[#This Row],[UDC]],TableMJRUINTRL[],7,FALSE),"")</f>
        <v/>
      </c>
      <c r="T37" s="65" t="str">
        <f>IFERROR(VLOOKUP(TableHandbook[[#This Row],[UDC]],TableMJRUJAPAN[],7,FALSE),"")</f>
        <v/>
      </c>
      <c r="U37" s="65" t="str">
        <f>IFERROR(VLOOKUP(TableHandbook[[#This Row],[UDC]],TableMJRUJOURN[],7,FALSE),"")</f>
        <v/>
      </c>
      <c r="V37" s="65" t="str">
        <f>IFERROR(VLOOKUP(TableHandbook[[#This Row],[UDC]],TableMJRUKORES[],7,FALSE),"")</f>
        <v/>
      </c>
      <c r="W37" s="65" t="str">
        <f>IFERROR(VLOOKUP(TableHandbook[[#This Row],[UDC]],TableMJRULITCU[],7,FALSE),"")</f>
        <v/>
      </c>
      <c r="X37" s="65" t="str">
        <f>IFERROR(VLOOKUP(TableHandbook[[#This Row],[UDC]],TableMJRUNETCM[],7,FALSE),"")</f>
        <v/>
      </c>
      <c r="Y37" s="65" t="str">
        <f>IFERROR(VLOOKUP(TableHandbook[[#This Row],[UDC]],TableMJRUPRWRP[],7,FALSE),"")</f>
        <v/>
      </c>
      <c r="Z37" s="66" t="str">
        <f>IFERROR(VLOOKUP(TableHandbook[[#This Row],[UDC]],TableMJRUSCSTR[],7,FALSE),"")</f>
        <v/>
      </c>
      <c r="AA37" s="74"/>
      <c r="AB37" s="66" t="str">
        <f>IFERROR(VLOOKUP(TableHandbook[[#This Row],[UDC]],TableMJRUBSLAW[],7,FALSE),"")</f>
        <v>Core</v>
      </c>
      <c r="AC37" s="66" t="str">
        <f>IFERROR(VLOOKUP(TableHandbook[[#This Row],[UDC]],TableMJRUECONS[],7,FALSE),"")</f>
        <v/>
      </c>
      <c r="AD37" s="66" t="str">
        <f>IFERROR(VLOOKUP(TableHandbook[[#This Row],[UDC]],TableMJRUFINAR[],7,FALSE),"")</f>
        <v/>
      </c>
      <c r="AE37" s="66" t="str">
        <f>IFERROR(VLOOKUP(TableHandbook[[#This Row],[UDC]],TableMJRUFINCE[],7,FALSE),"")</f>
        <v/>
      </c>
      <c r="AF37" s="66" t="str">
        <f>IFERROR(VLOOKUP(TableHandbook[[#This Row],[UDC]],TableMJRUHRMGM[],7,FALSE),"")</f>
        <v/>
      </c>
      <c r="AG37" s="66" t="str">
        <f>IFERROR(VLOOKUP(TableHandbook[[#This Row],[UDC]],TableMJRUINTBU[],7,FALSE),"")</f>
        <v/>
      </c>
      <c r="AH37" s="66" t="str">
        <f>IFERROR(VLOOKUP(TableHandbook[[#This Row],[UDC]],TableMJRULGSCM[],7,FALSE),"")</f>
        <v/>
      </c>
      <c r="AI37" s="66" t="str">
        <f>IFERROR(VLOOKUP(TableHandbook[[#This Row],[UDC]],TableMJRUMNGMT[],7,FALSE),"")</f>
        <v/>
      </c>
      <c r="AJ37" s="66" t="str">
        <f>IFERROR(VLOOKUP(TableHandbook[[#This Row],[UDC]],TableMJRUMRKTG[],7,FALSE),"")</f>
        <v/>
      </c>
      <c r="AK37" s="66" t="str">
        <f>IFERROR(VLOOKUP(TableHandbook[[#This Row],[UDC]],TableMJRUPRPTY[],7,FALSE),"")</f>
        <v/>
      </c>
      <c r="AL37" s="66" t="str">
        <f>IFERROR(VLOOKUP(TableHandbook[[#This Row],[UDC]],TableMJRUSCRAR[],7,FALSE),"")</f>
        <v/>
      </c>
      <c r="AM37" s="66" t="str">
        <f>IFERROR(VLOOKUP(TableHandbook[[#This Row],[UDC]],TableMJRUTHTRA[],7,FALSE),"")</f>
        <v/>
      </c>
      <c r="AN37" s="66" t="str">
        <f>IFERROR(VLOOKUP(TableHandbook[[#This Row],[UDC]],TableMJRUTRHOS[],7,FALSE),"")</f>
        <v/>
      </c>
    </row>
    <row r="38" spans="1:40" x14ac:dyDescent="0.25">
      <c r="A38" s="8" t="s">
        <v>477</v>
      </c>
      <c r="B38" s="9">
        <v>1</v>
      </c>
      <c r="C38" s="8"/>
      <c r="D38" s="8" t="s">
        <v>548</v>
      </c>
      <c r="E38" s="9">
        <v>25</v>
      </c>
      <c r="F38" s="49" t="s">
        <v>526</v>
      </c>
      <c r="G38" s="67" t="str">
        <f>IFERROR(IF(VLOOKUP(TableHandbook[[#This Row],[UDC]],TableAvailabilities[],2,FALSE)&gt;0,"Y",""),"")</f>
        <v/>
      </c>
      <c r="H38" s="68" t="str">
        <f>IFERROR(IF(VLOOKUP(TableHandbook[[#This Row],[UDC]],TableAvailabilities[],3,FALSE)&gt;0,"Y",""),"")</f>
        <v/>
      </c>
      <c r="I38" s="69" t="str">
        <f>IFERROR(IF(VLOOKUP(TableHandbook[[#This Row],[UDC]],TableAvailabilities[],4,FALSE)&gt;0,"Y",""),"")</f>
        <v>Y</v>
      </c>
      <c r="J38" s="70" t="str">
        <f>IFERROR(IF(VLOOKUP(TableHandbook[[#This Row],[UDC]],TableAvailabilities[],5,FALSE)&gt;0,"Y",""),"")</f>
        <v>Y</v>
      </c>
      <c r="K38" s="163"/>
      <c r="L38" s="64" t="str">
        <f>IFERROR(VLOOKUP(TableHandbook[[#This Row],[UDC]],TableBARTS[],7,FALSE),"")</f>
        <v/>
      </c>
      <c r="M38" s="65" t="str">
        <f>IFERROR(VLOOKUP(TableHandbook[[#This Row],[UDC]],TableMJRUANTSO[],7,FALSE),"")</f>
        <v/>
      </c>
      <c r="N38" s="65" t="str">
        <f>IFERROR(VLOOKUP(TableHandbook[[#This Row],[UDC]],TableMJRUCHNSE[],7,FALSE),"")</f>
        <v/>
      </c>
      <c r="O38" s="65" t="str">
        <f>IFERROR(VLOOKUP(TableHandbook[[#This Row],[UDC]],TableMJRUCRWRI[],7,FALSE),"")</f>
        <v/>
      </c>
      <c r="P38" s="65" t="str">
        <f>IFERROR(VLOOKUP(TableHandbook[[#This Row],[UDC]],TableMJRUGEOGR[],7,FALSE),"")</f>
        <v/>
      </c>
      <c r="Q38" s="65" t="str">
        <f>IFERROR(VLOOKUP(TableHandbook[[#This Row],[UDC]],TableMJRUHISTR[],7,FALSE),"")</f>
        <v/>
      </c>
      <c r="R38" s="65" t="str">
        <f>IFERROR(VLOOKUP(TableHandbook[[#This Row],[UDC]],TableMJRUINAUC[],7,FALSE),"")</f>
        <v/>
      </c>
      <c r="S38" s="65" t="str">
        <f>IFERROR(VLOOKUP(TableHandbook[[#This Row],[UDC]],TableMJRUINTRL[],7,FALSE),"")</f>
        <v/>
      </c>
      <c r="T38" s="65" t="str">
        <f>IFERROR(VLOOKUP(TableHandbook[[#This Row],[UDC]],TableMJRUJAPAN[],7,FALSE),"")</f>
        <v/>
      </c>
      <c r="U38" s="65" t="str">
        <f>IFERROR(VLOOKUP(TableHandbook[[#This Row],[UDC]],TableMJRUJOURN[],7,FALSE),"")</f>
        <v/>
      </c>
      <c r="V38" s="65" t="str">
        <f>IFERROR(VLOOKUP(TableHandbook[[#This Row],[UDC]],TableMJRUKORES[],7,FALSE),"")</f>
        <v/>
      </c>
      <c r="W38" s="65" t="str">
        <f>IFERROR(VLOOKUP(TableHandbook[[#This Row],[UDC]],TableMJRULITCU[],7,FALSE),"")</f>
        <v/>
      </c>
      <c r="X38" s="65" t="str">
        <f>IFERROR(VLOOKUP(TableHandbook[[#This Row],[UDC]],TableMJRUNETCM[],7,FALSE),"")</f>
        <v/>
      </c>
      <c r="Y38" s="65" t="str">
        <f>IFERROR(VLOOKUP(TableHandbook[[#This Row],[UDC]],TableMJRUPRWRP[],7,FALSE),"")</f>
        <v/>
      </c>
      <c r="Z38" s="66" t="str">
        <f>IFERROR(VLOOKUP(TableHandbook[[#This Row],[UDC]],TableMJRUSCSTR[],7,FALSE),"")</f>
        <v/>
      </c>
      <c r="AA38" s="74"/>
      <c r="AB38" s="66" t="str">
        <f>IFERROR(VLOOKUP(TableHandbook[[#This Row],[UDC]],TableMJRUBSLAW[],7,FALSE),"")</f>
        <v>AltCore</v>
      </c>
      <c r="AC38" s="66" t="str">
        <f>IFERROR(VLOOKUP(TableHandbook[[#This Row],[UDC]],TableMJRUECONS[],7,FALSE),"")</f>
        <v/>
      </c>
      <c r="AD38" s="66" t="str">
        <f>IFERROR(VLOOKUP(TableHandbook[[#This Row],[UDC]],TableMJRUFINAR[],7,FALSE),"")</f>
        <v/>
      </c>
      <c r="AE38" s="66" t="str">
        <f>IFERROR(VLOOKUP(TableHandbook[[#This Row],[UDC]],TableMJRUFINCE[],7,FALSE),"")</f>
        <v/>
      </c>
      <c r="AF38" s="66" t="str">
        <f>IFERROR(VLOOKUP(TableHandbook[[#This Row],[UDC]],TableMJRUHRMGM[],7,FALSE),"")</f>
        <v/>
      </c>
      <c r="AG38" s="66" t="str">
        <f>IFERROR(VLOOKUP(TableHandbook[[#This Row],[UDC]],TableMJRUINTBU[],7,FALSE),"")</f>
        <v/>
      </c>
      <c r="AH38" s="66" t="str">
        <f>IFERROR(VLOOKUP(TableHandbook[[#This Row],[UDC]],TableMJRULGSCM[],7,FALSE),"")</f>
        <v/>
      </c>
      <c r="AI38" s="66" t="str">
        <f>IFERROR(VLOOKUP(TableHandbook[[#This Row],[UDC]],TableMJRUMNGMT[],7,FALSE),"")</f>
        <v/>
      </c>
      <c r="AJ38" s="66" t="str">
        <f>IFERROR(VLOOKUP(TableHandbook[[#This Row],[UDC]],TableMJRUMRKTG[],7,FALSE),"")</f>
        <v/>
      </c>
      <c r="AK38" s="66" t="str">
        <f>IFERROR(VLOOKUP(TableHandbook[[#This Row],[UDC]],TableMJRUPRPTY[],7,FALSE),"")</f>
        <v/>
      </c>
      <c r="AL38" s="66" t="str">
        <f>IFERROR(VLOOKUP(TableHandbook[[#This Row],[UDC]],TableMJRUSCRAR[],7,FALSE),"")</f>
        <v/>
      </c>
      <c r="AM38" s="66" t="str">
        <f>IFERROR(VLOOKUP(TableHandbook[[#This Row],[UDC]],TableMJRUTHTRA[],7,FALSE),"")</f>
        <v/>
      </c>
      <c r="AN38" s="66" t="str">
        <f>IFERROR(VLOOKUP(TableHandbook[[#This Row],[UDC]],TableMJRUTRHOS[],7,FALSE),"")</f>
        <v/>
      </c>
    </row>
    <row r="39" spans="1:40" x14ac:dyDescent="0.25">
      <c r="A39" s="8" t="s">
        <v>405</v>
      </c>
      <c r="B39" s="9">
        <v>1</v>
      </c>
      <c r="C39" s="8"/>
      <c r="D39" s="8" t="s">
        <v>549</v>
      </c>
      <c r="E39" s="9">
        <v>25</v>
      </c>
      <c r="F39" s="49" t="s">
        <v>526</v>
      </c>
      <c r="G39" s="67" t="str">
        <f>IFERROR(IF(VLOOKUP(TableHandbook[[#This Row],[UDC]],TableAvailabilities[],2,FALSE)&gt;0,"Y",""),"")</f>
        <v>Y</v>
      </c>
      <c r="H39" s="68" t="str">
        <f>IFERROR(IF(VLOOKUP(TableHandbook[[#This Row],[UDC]],TableAvailabilities[],3,FALSE)&gt;0,"Y",""),"")</f>
        <v/>
      </c>
      <c r="I39" s="69" t="str">
        <f>IFERROR(IF(VLOOKUP(TableHandbook[[#This Row],[UDC]],TableAvailabilities[],4,FALSE)&gt;0,"Y",""),"")</f>
        <v/>
      </c>
      <c r="J39" s="70" t="str">
        <f>IFERROR(IF(VLOOKUP(TableHandbook[[#This Row],[UDC]],TableAvailabilities[],5,FALSE)&gt;0,"Y",""),"")</f>
        <v/>
      </c>
      <c r="K39" s="163"/>
      <c r="L39" s="64" t="str">
        <f>IFERROR(VLOOKUP(TableHandbook[[#This Row],[UDC]],TableBARTS[],7,FALSE),"")</f>
        <v/>
      </c>
      <c r="M39" s="65" t="str">
        <f>IFERROR(VLOOKUP(TableHandbook[[#This Row],[UDC]],TableMJRUANTSO[],7,FALSE),"")</f>
        <v/>
      </c>
      <c r="N39" s="65" t="str">
        <f>IFERROR(VLOOKUP(TableHandbook[[#This Row],[UDC]],TableMJRUCHNSE[],7,FALSE),"")</f>
        <v/>
      </c>
      <c r="O39" s="65" t="str">
        <f>IFERROR(VLOOKUP(TableHandbook[[#This Row],[UDC]],TableMJRUCRWRI[],7,FALSE),"")</f>
        <v/>
      </c>
      <c r="P39" s="65" t="str">
        <f>IFERROR(VLOOKUP(TableHandbook[[#This Row],[UDC]],TableMJRUGEOGR[],7,FALSE),"")</f>
        <v/>
      </c>
      <c r="Q39" s="65" t="str">
        <f>IFERROR(VLOOKUP(TableHandbook[[#This Row],[UDC]],TableMJRUHISTR[],7,FALSE),"")</f>
        <v/>
      </c>
      <c r="R39" s="65" t="str">
        <f>IFERROR(VLOOKUP(TableHandbook[[#This Row],[UDC]],TableMJRUINAUC[],7,FALSE),"")</f>
        <v/>
      </c>
      <c r="S39" s="65" t="str">
        <f>IFERROR(VLOOKUP(TableHandbook[[#This Row],[UDC]],TableMJRUINTRL[],7,FALSE),"")</f>
        <v/>
      </c>
      <c r="T39" s="65" t="str">
        <f>IFERROR(VLOOKUP(TableHandbook[[#This Row],[UDC]],TableMJRUJAPAN[],7,FALSE),"")</f>
        <v/>
      </c>
      <c r="U39" s="65" t="str">
        <f>IFERROR(VLOOKUP(TableHandbook[[#This Row],[UDC]],TableMJRUJOURN[],7,FALSE),"")</f>
        <v/>
      </c>
      <c r="V39" s="65" t="str">
        <f>IFERROR(VLOOKUP(TableHandbook[[#This Row],[UDC]],TableMJRUKORES[],7,FALSE),"")</f>
        <v/>
      </c>
      <c r="W39" s="65" t="str">
        <f>IFERROR(VLOOKUP(TableHandbook[[#This Row],[UDC]],TableMJRULITCU[],7,FALSE),"")</f>
        <v/>
      </c>
      <c r="X39" s="65" t="str">
        <f>IFERROR(VLOOKUP(TableHandbook[[#This Row],[UDC]],TableMJRUNETCM[],7,FALSE),"")</f>
        <v/>
      </c>
      <c r="Y39" s="65" t="str">
        <f>IFERROR(VLOOKUP(TableHandbook[[#This Row],[UDC]],TableMJRUPRWRP[],7,FALSE),"")</f>
        <v/>
      </c>
      <c r="Z39" s="66" t="str">
        <f>IFERROR(VLOOKUP(TableHandbook[[#This Row],[UDC]],TableMJRUSCSTR[],7,FALSE),"")</f>
        <v/>
      </c>
      <c r="AA39" s="74"/>
      <c r="AB39" s="66" t="str">
        <f>IFERROR(VLOOKUP(TableHandbook[[#This Row],[UDC]],TableMJRUBSLAW[],7,FALSE),"")</f>
        <v/>
      </c>
      <c r="AC39" s="66" t="str">
        <f>IFERROR(VLOOKUP(TableHandbook[[#This Row],[UDC]],TableMJRUECONS[],7,FALSE),"")</f>
        <v/>
      </c>
      <c r="AD39" s="66" t="str">
        <f>IFERROR(VLOOKUP(TableHandbook[[#This Row],[UDC]],TableMJRUFINAR[],7,FALSE),"")</f>
        <v/>
      </c>
      <c r="AE39" s="66" t="str">
        <f>IFERROR(VLOOKUP(TableHandbook[[#This Row],[UDC]],TableMJRUFINCE[],7,FALSE),"")</f>
        <v/>
      </c>
      <c r="AF39" s="66" t="str">
        <f>IFERROR(VLOOKUP(TableHandbook[[#This Row],[UDC]],TableMJRUHRMGM[],7,FALSE),"")</f>
        <v/>
      </c>
      <c r="AG39" s="66" t="str">
        <f>IFERROR(VLOOKUP(TableHandbook[[#This Row],[UDC]],TableMJRUINTBU[],7,FALSE),"")</f>
        <v/>
      </c>
      <c r="AH39" s="66" t="str">
        <f>IFERROR(VLOOKUP(TableHandbook[[#This Row],[UDC]],TableMJRULGSCM[],7,FALSE),"")</f>
        <v/>
      </c>
      <c r="AI39" s="66" t="str">
        <f>IFERROR(VLOOKUP(TableHandbook[[#This Row],[UDC]],TableMJRUMNGMT[],7,FALSE),"")</f>
        <v/>
      </c>
      <c r="AJ39" s="66" t="str">
        <f>IFERROR(VLOOKUP(TableHandbook[[#This Row],[UDC]],TableMJRUMRKTG[],7,FALSE),"")</f>
        <v/>
      </c>
      <c r="AK39" s="66" t="str">
        <f>IFERROR(VLOOKUP(TableHandbook[[#This Row],[UDC]],TableMJRUPRPTY[],7,FALSE),"")</f>
        <v>Core</v>
      </c>
      <c r="AL39" s="66" t="str">
        <f>IFERROR(VLOOKUP(TableHandbook[[#This Row],[UDC]],TableMJRUSCRAR[],7,FALSE),"")</f>
        <v/>
      </c>
      <c r="AM39" s="66" t="str">
        <f>IFERROR(VLOOKUP(TableHandbook[[#This Row],[UDC]],TableMJRUTHTRA[],7,FALSE),"")</f>
        <v/>
      </c>
      <c r="AN39" s="66" t="str">
        <f>IFERROR(VLOOKUP(TableHandbook[[#This Row],[UDC]],TableMJRUTRHOS[],7,FALSE),"")</f>
        <v/>
      </c>
    </row>
    <row r="40" spans="1:40" x14ac:dyDescent="0.25">
      <c r="A40" s="8" t="s">
        <v>43</v>
      </c>
      <c r="B40" s="9">
        <v>2</v>
      </c>
      <c r="C40" s="8"/>
      <c r="D40" s="8" t="s">
        <v>550</v>
      </c>
      <c r="E40" s="9">
        <v>25</v>
      </c>
      <c r="F40" s="49" t="s">
        <v>526</v>
      </c>
      <c r="G40" s="67" t="str">
        <f>IFERROR(IF(VLOOKUP(TableHandbook[[#This Row],[UDC]],TableAvailabilities[],2,FALSE)&gt;0,"Y",""),"")</f>
        <v>Y</v>
      </c>
      <c r="H40" s="68" t="str">
        <f>IFERROR(IF(VLOOKUP(TableHandbook[[#This Row],[UDC]],TableAvailabilities[],3,FALSE)&gt;0,"Y",""),"")</f>
        <v>Y</v>
      </c>
      <c r="I40" s="69" t="str">
        <f>IFERROR(IF(VLOOKUP(TableHandbook[[#This Row],[UDC]],TableAvailabilities[],4,FALSE)&gt;0,"Y",""),"")</f>
        <v>Y</v>
      </c>
      <c r="J40" s="70" t="str">
        <f>IFERROR(IF(VLOOKUP(TableHandbook[[#This Row],[UDC]],TableAvailabilities[],5,FALSE)&gt;0,"Y",""),"")</f>
        <v>Y</v>
      </c>
      <c r="K40" s="163" t="s">
        <v>551</v>
      </c>
      <c r="L40" s="64" t="str">
        <f>IFERROR(VLOOKUP(TableHandbook[[#This Row],[UDC]],TableBARTS[],7,FALSE),"")</f>
        <v>Option</v>
      </c>
      <c r="M40" s="65" t="str">
        <f>IFERROR(VLOOKUP(TableHandbook[[#This Row],[UDC]],TableMJRUANTSO[],7,FALSE),"")</f>
        <v/>
      </c>
      <c r="N40" s="65" t="str">
        <f>IFERROR(VLOOKUP(TableHandbook[[#This Row],[UDC]],TableMJRUCHNSE[],7,FALSE),"")</f>
        <v/>
      </c>
      <c r="O40" s="65" t="str">
        <f>IFERROR(VLOOKUP(TableHandbook[[#This Row],[UDC]],TableMJRUCRWRI[],7,FALSE),"")</f>
        <v/>
      </c>
      <c r="P40" s="65" t="str">
        <f>IFERROR(VLOOKUP(TableHandbook[[#This Row],[UDC]],TableMJRUGEOGR[],7,FALSE),"")</f>
        <v/>
      </c>
      <c r="Q40" s="65" t="str">
        <f>IFERROR(VLOOKUP(TableHandbook[[#This Row],[UDC]],TableMJRUHISTR[],7,FALSE),"")</f>
        <v/>
      </c>
      <c r="R40" s="65" t="str">
        <f>IFERROR(VLOOKUP(TableHandbook[[#This Row],[UDC]],TableMJRUINAUC[],7,FALSE),"")</f>
        <v/>
      </c>
      <c r="S40" s="65" t="str">
        <f>IFERROR(VLOOKUP(TableHandbook[[#This Row],[UDC]],TableMJRUINTRL[],7,FALSE),"")</f>
        <v/>
      </c>
      <c r="T40" s="65" t="str">
        <f>IFERROR(VLOOKUP(TableHandbook[[#This Row],[UDC]],TableMJRUJAPAN[],7,FALSE),"")</f>
        <v/>
      </c>
      <c r="U40" s="65" t="str">
        <f>IFERROR(VLOOKUP(TableHandbook[[#This Row],[UDC]],TableMJRUJOURN[],7,FALSE),"")</f>
        <v/>
      </c>
      <c r="V40" s="65" t="str">
        <f>IFERROR(VLOOKUP(TableHandbook[[#This Row],[UDC]],TableMJRUKORES[],7,FALSE),"")</f>
        <v/>
      </c>
      <c r="W40" s="65" t="str">
        <f>IFERROR(VLOOKUP(TableHandbook[[#This Row],[UDC]],TableMJRULITCU[],7,FALSE),"")</f>
        <v/>
      </c>
      <c r="X40" s="65" t="str">
        <f>IFERROR(VLOOKUP(TableHandbook[[#This Row],[UDC]],TableMJRUNETCM[],7,FALSE),"")</f>
        <v/>
      </c>
      <c r="Y40" s="65" t="str">
        <f>IFERROR(VLOOKUP(TableHandbook[[#This Row],[UDC]],TableMJRUPRWRP[],7,FALSE),"")</f>
        <v/>
      </c>
      <c r="Z40" s="66" t="str">
        <f>IFERROR(VLOOKUP(TableHandbook[[#This Row],[UDC]],TableMJRUSCSTR[],7,FALSE),"")</f>
        <v/>
      </c>
      <c r="AA40" s="74"/>
      <c r="AB40" s="66" t="str">
        <f>IFERROR(VLOOKUP(TableHandbook[[#This Row],[UDC]],TableMJRUBSLAW[],7,FALSE),"")</f>
        <v/>
      </c>
      <c r="AC40" s="66" t="str">
        <f>IFERROR(VLOOKUP(TableHandbook[[#This Row],[UDC]],TableMJRUECONS[],7,FALSE),"")</f>
        <v/>
      </c>
      <c r="AD40" s="66" t="str">
        <f>IFERROR(VLOOKUP(TableHandbook[[#This Row],[UDC]],TableMJRUFINAR[],7,FALSE),"")</f>
        <v/>
      </c>
      <c r="AE40" s="66" t="str">
        <f>IFERROR(VLOOKUP(TableHandbook[[#This Row],[UDC]],TableMJRUFINCE[],7,FALSE),"")</f>
        <v/>
      </c>
      <c r="AF40" s="66" t="str">
        <f>IFERROR(VLOOKUP(TableHandbook[[#This Row],[UDC]],TableMJRUHRMGM[],7,FALSE),"")</f>
        <v/>
      </c>
      <c r="AG40" s="66" t="str">
        <f>IFERROR(VLOOKUP(TableHandbook[[#This Row],[UDC]],TableMJRUINTBU[],7,FALSE),"")</f>
        <v/>
      </c>
      <c r="AH40" s="66" t="str">
        <f>IFERROR(VLOOKUP(TableHandbook[[#This Row],[UDC]],TableMJRULGSCM[],7,FALSE),"")</f>
        <v/>
      </c>
      <c r="AI40" s="66" t="str">
        <f>IFERROR(VLOOKUP(TableHandbook[[#This Row],[UDC]],TableMJRUMNGMT[],7,FALSE),"")</f>
        <v/>
      </c>
      <c r="AJ40" s="66" t="str">
        <f>IFERROR(VLOOKUP(TableHandbook[[#This Row],[UDC]],TableMJRUMRKTG[],7,FALSE),"")</f>
        <v/>
      </c>
      <c r="AK40" s="66" t="str">
        <f>IFERROR(VLOOKUP(TableHandbook[[#This Row],[UDC]],TableMJRUPRPTY[],7,FALSE),"")</f>
        <v/>
      </c>
      <c r="AL40" s="66" t="str">
        <f>IFERROR(VLOOKUP(TableHandbook[[#This Row],[UDC]],TableMJRUSCRAR[],7,FALSE),"")</f>
        <v/>
      </c>
      <c r="AM40" s="66" t="str">
        <f>IFERROR(VLOOKUP(TableHandbook[[#This Row],[UDC]],TableMJRUTHTRA[],7,FALSE),"")</f>
        <v/>
      </c>
      <c r="AN40" s="66" t="str">
        <f>IFERROR(VLOOKUP(TableHandbook[[#This Row],[UDC]],TableMJRUTRHOS[],7,FALSE),"")</f>
        <v/>
      </c>
    </row>
    <row r="41" spans="1:40" x14ac:dyDescent="0.25">
      <c r="A41" s="8" t="s">
        <v>44</v>
      </c>
      <c r="B41" s="9">
        <v>2</v>
      </c>
      <c r="C41" s="8"/>
      <c r="D41" s="8" t="s">
        <v>552</v>
      </c>
      <c r="E41" s="9">
        <v>25</v>
      </c>
      <c r="F41" s="49" t="s">
        <v>526</v>
      </c>
      <c r="G41" s="67" t="str">
        <f>IFERROR(IF(VLOOKUP(TableHandbook[[#This Row],[UDC]],TableAvailabilities[],2,FALSE)&gt;0,"Y",""),"")</f>
        <v/>
      </c>
      <c r="H41" s="68" t="str">
        <f>IFERROR(IF(VLOOKUP(TableHandbook[[#This Row],[UDC]],TableAvailabilities[],3,FALSE)&gt;0,"Y",""),"")</f>
        <v/>
      </c>
      <c r="I41" s="69" t="str">
        <f>IFERROR(IF(VLOOKUP(TableHandbook[[#This Row],[UDC]],TableAvailabilities[],4,FALSE)&gt;0,"Y",""),"")</f>
        <v>Y</v>
      </c>
      <c r="J41" s="70" t="str">
        <f>IFERROR(IF(VLOOKUP(TableHandbook[[#This Row],[UDC]],TableAvailabilities[],5,FALSE)&gt;0,"Y",""),"")</f>
        <v>Y</v>
      </c>
      <c r="K41" s="163" t="s">
        <v>551</v>
      </c>
      <c r="L41" s="64" t="str">
        <f>IFERROR(VLOOKUP(TableHandbook[[#This Row],[UDC]],TableBARTS[],7,FALSE),"")</f>
        <v>Option</v>
      </c>
      <c r="M41" s="65" t="str">
        <f>IFERROR(VLOOKUP(TableHandbook[[#This Row],[UDC]],TableMJRUANTSO[],7,FALSE),"")</f>
        <v/>
      </c>
      <c r="N41" s="65" t="str">
        <f>IFERROR(VLOOKUP(TableHandbook[[#This Row],[UDC]],TableMJRUCHNSE[],7,FALSE),"")</f>
        <v/>
      </c>
      <c r="O41" s="65" t="str">
        <f>IFERROR(VLOOKUP(TableHandbook[[#This Row],[UDC]],TableMJRUCRWRI[],7,FALSE),"")</f>
        <v/>
      </c>
      <c r="P41" s="65" t="str">
        <f>IFERROR(VLOOKUP(TableHandbook[[#This Row],[UDC]],TableMJRUGEOGR[],7,FALSE),"")</f>
        <v/>
      </c>
      <c r="Q41" s="65" t="str">
        <f>IFERROR(VLOOKUP(TableHandbook[[#This Row],[UDC]],TableMJRUHISTR[],7,FALSE),"")</f>
        <v/>
      </c>
      <c r="R41" s="65" t="str">
        <f>IFERROR(VLOOKUP(TableHandbook[[#This Row],[UDC]],TableMJRUINAUC[],7,FALSE),"")</f>
        <v/>
      </c>
      <c r="S41" s="65" t="str">
        <f>IFERROR(VLOOKUP(TableHandbook[[#This Row],[UDC]],TableMJRUINTRL[],7,FALSE),"")</f>
        <v/>
      </c>
      <c r="T41" s="65" t="str">
        <f>IFERROR(VLOOKUP(TableHandbook[[#This Row],[UDC]],TableMJRUJAPAN[],7,FALSE),"")</f>
        <v/>
      </c>
      <c r="U41" s="65" t="str">
        <f>IFERROR(VLOOKUP(TableHandbook[[#This Row],[UDC]],TableMJRUJOURN[],7,FALSE),"")</f>
        <v/>
      </c>
      <c r="V41" s="65" t="str">
        <f>IFERROR(VLOOKUP(TableHandbook[[#This Row],[UDC]],TableMJRUKORES[],7,FALSE),"")</f>
        <v/>
      </c>
      <c r="W41" s="65" t="str">
        <f>IFERROR(VLOOKUP(TableHandbook[[#This Row],[UDC]],TableMJRULITCU[],7,FALSE),"")</f>
        <v/>
      </c>
      <c r="X41" s="65" t="str">
        <f>IFERROR(VLOOKUP(TableHandbook[[#This Row],[UDC]],TableMJRUNETCM[],7,FALSE),"")</f>
        <v/>
      </c>
      <c r="Y41" s="65" t="str">
        <f>IFERROR(VLOOKUP(TableHandbook[[#This Row],[UDC]],TableMJRUPRWRP[],7,FALSE),"")</f>
        <v/>
      </c>
      <c r="Z41" s="66" t="str">
        <f>IFERROR(VLOOKUP(TableHandbook[[#This Row],[UDC]],TableMJRUSCSTR[],7,FALSE),"")</f>
        <v/>
      </c>
      <c r="AA41" s="74"/>
      <c r="AB41" s="66" t="str">
        <f>IFERROR(VLOOKUP(TableHandbook[[#This Row],[UDC]],TableMJRUBSLAW[],7,FALSE),"")</f>
        <v/>
      </c>
      <c r="AC41" s="66" t="str">
        <f>IFERROR(VLOOKUP(TableHandbook[[#This Row],[UDC]],TableMJRUECONS[],7,FALSE),"")</f>
        <v/>
      </c>
      <c r="AD41" s="66" t="str">
        <f>IFERROR(VLOOKUP(TableHandbook[[#This Row],[UDC]],TableMJRUFINAR[],7,FALSE),"")</f>
        <v/>
      </c>
      <c r="AE41" s="66" t="str">
        <f>IFERROR(VLOOKUP(TableHandbook[[#This Row],[UDC]],TableMJRUFINCE[],7,FALSE),"")</f>
        <v/>
      </c>
      <c r="AF41" s="66" t="str">
        <f>IFERROR(VLOOKUP(TableHandbook[[#This Row],[UDC]],TableMJRUHRMGM[],7,FALSE),"")</f>
        <v/>
      </c>
      <c r="AG41" s="66" t="str">
        <f>IFERROR(VLOOKUP(TableHandbook[[#This Row],[UDC]],TableMJRUINTBU[],7,FALSE),"")</f>
        <v/>
      </c>
      <c r="AH41" s="66" t="str">
        <f>IFERROR(VLOOKUP(TableHandbook[[#This Row],[UDC]],TableMJRULGSCM[],7,FALSE),"")</f>
        <v/>
      </c>
      <c r="AI41" s="66" t="str">
        <f>IFERROR(VLOOKUP(TableHandbook[[#This Row],[UDC]],TableMJRUMNGMT[],7,FALSE),"")</f>
        <v/>
      </c>
      <c r="AJ41" s="66" t="str">
        <f>IFERROR(VLOOKUP(TableHandbook[[#This Row],[UDC]],TableMJRUMRKTG[],7,FALSE),"")</f>
        <v/>
      </c>
      <c r="AK41" s="66" t="str">
        <f>IFERROR(VLOOKUP(TableHandbook[[#This Row],[UDC]],TableMJRUPRPTY[],7,FALSE),"")</f>
        <v/>
      </c>
      <c r="AL41" s="66" t="str">
        <f>IFERROR(VLOOKUP(TableHandbook[[#This Row],[UDC]],TableMJRUSCRAR[],7,FALSE),"")</f>
        <v/>
      </c>
      <c r="AM41" s="66" t="str">
        <f>IFERROR(VLOOKUP(TableHandbook[[#This Row],[UDC]],TableMJRUTHTRA[],7,FALSE),"")</f>
        <v/>
      </c>
      <c r="AN41" s="66" t="str">
        <f>IFERROR(VLOOKUP(TableHandbook[[#This Row],[UDC]],TableMJRUTRHOS[],7,FALSE),"")</f>
        <v/>
      </c>
    </row>
    <row r="42" spans="1:40" x14ac:dyDescent="0.25">
      <c r="A42" s="8" t="s">
        <v>196</v>
      </c>
      <c r="B42" s="9">
        <v>1</v>
      </c>
      <c r="C42" s="8"/>
      <c r="D42" s="8" t="s">
        <v>553</v>
      </c>
      <c r="E42" s="9">
        <v>25</v>
      </c>
      <c r="F42" s="49" t="s">
        <v>526</v>
      </c>
      <c r="G42" s="67" t="str">
        <f>IFERROR(IF(VLOOKUP(TableHandbook[[#This Row],[UDC]],TableAvailabilities[],2,FALSE)&gt;0,"Y",""),"")</f>
        <v>Y</v>
      </c>
      <c r="H42" s="68" t="str">
        <f>IFERROR(IF(VLOOKUP(TableHandbook[[#This Row],[UDC]],TableAvailabilities[],3,FALSE)&gt;0,"Y",""),"")</f>
        <v>Y</v>
      </c>
      <c r="I42" s="69" t="str">
        <f>IFERROR(IF(VLOOKUP(TableHandbook[[#This Row],[UDC]],TableAvailabilities[],4,FALSE)&gt;0,"Y",""),"")</f>
        <v/>
      </c>
      <c r="J42" s="70" t="str">
        <f>IFERROR(IF(VLOOKUP(TableHandbook[[#This Row],[UDC]],TableAvailabilities[],5,FALSE)&gt;0,"Y",""),"")</f>
        <v/>
      </c>
      <c r="K42" s="163" t="s">
        <v>551</v>
      </c>
      <c r="L42" s="64" t="str">
        <f>IFERROR(VLOOKUP(TableHandbook[[#This Row],[UDC]],TableBARTS[],7,FALSE),"")</f>
        <v/>
      </c>
      <c r="M42" s="65" t="str">
        <f>IFERROR(VLOOKUP(TableHandbook[[#This Row],[UDC]],TableMJRUANTSO[],7,FALSE),"")</f>
        <v/>
      </c>
      <c r="N42" s="65" t="str">
        <f>IFERROR(VLOOKUP(TableHandbook[[#This Row],[UDC]],TableMJRUCHNSE[],7,FALSE),"")</f>
        <v>Core</v>
      </c>
      <c r="O42" s="65" t="str">
        <f>IFERROR(VLOOKUP(TableHandbook[[#This Row],[UDC]],TableMJRUCRWRI[],7,FALSE),"")</f>
        <v/>
      </c>
      <c r="P42" s="65" t="str">
        <f>IFERROR(VLOOKUP(TableHandbook[[#This Row],[UDC]],TableMJRUGEOGR[],7,FALSE),"")</f>
        <v/>
      </c>
      <c r="Q42" s="65" t="str">
        <f>IFERROR(VLOOKUP(TableHandbook[[#This Row],[UDC]],TableMJRUHISTR[],7,FALSE),"")</f>
        <v/>
      </c>
      <c r="R42" s="65" t="str">
        <f>IFERROR(VLOOKUP(TableHandbook[[#This Row],[UDC]],TableMJRUINAUC[],7,FALSE),"")</f>
        <v/>
      </c>
      <c r="S42" s="65" t="str">
        <f>IFERROR(VLOOKUP(TableHandbook[[#This Row],[UDC]],TableMJRUINTRL[],7,FALSE),"")</f>
        <v/>
      </c>
      <c r="T42" s="65" t="str">
        <f>IFERROR(VLOOKUP(TableHandbook[[#This Row],[UDC]],TableMJRUJAPAN[],7,FALSE),"")</f>
        <v/>
      </c>
      <c r="U42" s="65" t="str">
        <f>IFERROR(VLOOKUP(TableHandbook[[#This Row],[UDC]],TableMJRUJOURN[],7,FALSE),"")</f>
        <v/>
      </c>
      <c r="V42" s="65" t="str">
        <f>IFERROR(VLOOKUP(TableHandbook[[#This Row],[UDC]],TableMJRUKORES[],7,FALSE),"")</f>
        <v/>
      </c>
      <c r="W42" s="65" t="str">
        <f>IFERROR(VLOOKUP(TableHandbook[[#This Row],[UDC]],TableMJRULITCU[],7,FALSE),"")</f>
        <v/>
      </c>
      <c r="X42" s="65" t="str">
        <f>IFERROR(VLOOKUP(TableHandbook[[#This Row],[UDC]],TableMJRUNETCM[],7,FALSE),"")</f>
        <v/>
      </c>
      <c r="Y42" s="65" t="str">
        <f>IFERROR(VLOOKUP(TableHandbook[[#This Row],[UDC]],TableMJRUPRWRP[],7,FALSE),"")</f>
        <v/>
      </c>
      <c r="Z42" s="66" t="str">
        <f>IFERROR(VLOOKUP(TableHandbook[[#This Row],[UDC]],TableMJRUSCSTR[],7,FALSE),"")</f>
        <v/>
      </c>
      <c r="AA42" s="74"/>
      <c r="AB42" s="66" t="str">
        <f>IFERROR(VLOOKUP(TableHandbook[[#This Row],[UDC]],TableMJRUBSLAW[],7,FALSE),"")</f>
        <v/>
      </c>
      <c r="AC42" s="66" t="str">
        <f>IFERROR(VLOOKUP(TableHandbook[[#This Row],[UDC]],TableMJRUECONS[],7,FALSE),"")</f>
        <v/>
      </c>
      <c r="AD42" s="66" t="str">
        <f>IFERROR(VLOOKUP(TableHandbook[[#This Row],[UDC]],TableMJRUFINAR[],7,FALSE),"")</f>
        <v/>
      </c>
      <c r="AE42" s="66" t="str">
        <f>IFERROR(VLOOKUP(TableHandbook[[#This Row],[UDC]],TableMJRUFINCE[],7,FALSE),"")</f>
        <v/>
      </c>
      <c r="AF42" s="66" t="str">
        <f>IFERROR(VLOOKUP(TableHandbook[[#This Row],[UDC]],TableMJRUHRMGM[],7,FALSE),"")</f>
        <v/>
      </c>
      <c r="AG42" s="66" t="str">
        <f>IFERROR(VLOOKUP(TableHandbook[[#This Row],[UDC]],TableMJRUINTBU[],7,FALSE),"")</f>
        <v/>
      </c>
      <c r="AH42" s="66" t="str">
        <f>IFERROR(VLOOKUP(TableHandbook[[#This Row],[UDC]],TableMJRULGSCM[],7,FALSE),"")</f>
        <v/>
      </c>
      <c r="AI42" s="66" t="str">
        <f>IFERROR(VLOOKUP(TableHandbook[[#This Row],[UDC]],TableMJRUMNGMT[],7,FALSE),"")</f>
        <v/>
      </c>
      <c r="AJ42" s="66" t="str">
        <f>IFERROR(VLOOKUP(TableHandbook[[#This Row],[UDC]],TableMJRUMRKTG[],7,FALSE),"")</f>
        <v/>
      </c>
      <c r="AK42" s="66" t="str">
        <f>IFERROR(VLOOKUP(TableHandbook[[#This Row],[UDC]],TableMJRUPRPTY[],7,FALSE),"")</f>
        <v/>
      </c>
      <c r="AL42" s="66" t="str">
        <f>IFERROR(VLOOKUP(TableHandbook[[#This Row],[UDC]],TableMJRUSCRAR[],7,FALSE),"")</f>
        <v/>
      </c>
      <c r="AM42" s="66" t="str">
        <f>IFERROR(VLOOKUP(TableHandbook[[#This Row],[UDC]],TableMJRUTHTRA[],7,FALSE),"")</f>
        <v/>
      </c>
      <c r="AN42" s="66" t="str">
        <f>IFERROR(VLOOKUP(TableHandbook[[#This Row],[UDC]],TableMJRUTRHOS[],7,FALSE),"")</f>
        <v/>
      </c>
    </row>
    <row r="43" spans="1:40" x14ac:dyDescent="0.25">
      <c r="A43" s="8" t="s">
        <v>220</v>
      </c>
      <c r="B43" s="9">
        <v>2</v>
      </c>
      <c r="C43" s="8"/>
      <c r="D43" s="8" t="s">
        <v>554</v>
      </c>
      <c r="E43" s="9">
        <v>25</v>
      </c>
      <c r="F43" s="49" t="s">
        <v>526</v>
      </c>
      <c r="G43" s="67" t="str">
        <f>IFERROR(IF(VLOOKUP(TableHandbook[[#This Row],[UDC]],TableAvailabilities[],2,FALSE)&gt;0,"Y",""),"")</f>
        <v>Y</v>
      </c>
      <c r="H43" s="68" t="str">
        <f>IFERROR(IF(VLOOKUP(TableHandbook[[#This Row],[UDC]],TableAvailabilities[],3,FALSE)&gt;0,"Y",""),"")</f>
        <v>Y</v>
      </c>
      <c r="I43" s="69" t="str">
        <f>IFERROR(IF(VLOOKUP(TableHandbook[[#This Row],[UDC]],TableAvailabilities[],4,FALSE)&gt;0,"Y",""),"")</f>
        <v/>
      </c>
      <c r="J43" s="70" t="str">
        <f>IFERROR(IF(VLOOKUP(TableHandbook[[#This Row],[UDC]],TableAvailabilities[],5,FALSE)&gt;0,"Y",""),"")</f>
        <v/>
      </c>
      <c r="K43" s="163" t="s">
        <v>551</v>
      </c>
      <c r="L43" s="64" t="str">
        <f>IFERROR(VLOOKUP(TableHandbook[[#This Row],[UDC]],TableBARTS[],7,FALSE),"")</f>
        <v/>
      </c>
      <c r="M43" s="65" t="str">
        <f>IFERROR(VLOOKUP(TableHandbook[[#This Row],[UDC]],TableMJRUANTSO[],7,FALSE),"")</f>
        <v/>
      </c>
      <c r="N43" s="65" t="str">
        <f>IFERROR(VLOOKUP(TableHandbook[[#This Row],[UDC]],TableMJRUCHNSE[],7,FALSE),"")</f>
        <v>Core</v>
      </c>
      <c r="O43" s="65" t="str">
        <f>IFERROR(VLOOKUP(TableHandbook[[#This Row],[UDC]],TableMJRUCRWRI[],7,FALSE),"")</f>
        <v/>
      </c>
      <c r="P43" s="65" t="str">
        <f>IFERROR(VLOOKUP(TableHandbook[[#This Row],[UDC]],TableMJRUGEOGR[],7,FALSE),"")</f>
        <v/>
      </c>
      <c r="Q43" s="65" t="str">
        <f>IFERROR(VLOOKUP(TableHandbook[[#This Row],[UDC]],TableMJRUHISTR[],7,FALSE),"")</f>
        <v/>
      </c>
      <c r="R43" s="65" t="str">
        <f>IFERROR(VLOOKUP(TableHandbook[[#This Row],[UDC]],TableMJRUINAUC[],7,FALSE),"")</f>
        <v/>
      </c>
      <c r="S43" s="65" t="str">
        <f>IFERROR(VLOOKUP(TableHandbook[[#This Row],[UDC]],TableMJRUINTRL[],7,FALSE),"")</f>
        <v/>
      </c>
      <c r="T43" s="65" t="str">
        <f>IFERROR(VLOOKUP(TableHandbook[[#This Row],[UDC]],TableMJRUJAPAN[],7,FALSE),"")</f>
        <v/>
      </c>
      <c r="U43" s="65" t="str">
        <f>IFERROR(VLOOKUP(TableHandbook[[#This Row],[UDC]],TableMJRUJOURN[],7,FALSE),"")</f>
        <v/>
      </c>
      <c r="V43" s="65" t="str">
        <f>IFERROR(VLOOKUP(TableHandbook[[#This Row],[UDC]],TableMJRUKORES[],7,FALSE),"")</f>
        <v/>
      </c>
      <c r="W43" s="65" t="str">
        <f>IFERROR(VLOOKUP(TableHandbook[[#This Row],[UDC]],TableMJRULITCU[],7,FALSE),"")</f>
        <v/>
      </c>
      <c r="X43" s="65" t="str">
        <f>IFERROR(VLOOKUP(TableHandbook[[#This Row],[UDC]],TableMJRUNETCM[],7,FALSE),"")</f>
        <v/>
      </c>
      <c r="Y43" s="65" t="str">
        <f>IFERROR(VLOOKUP(TableHandbook[[#This Row],[UDC]],TableMJRUPRWRP[],7,FALSE),"")</f>
        <v/>
      </c>
      <c r="Z43" s="66" t="str">
        <f>IFERROR(VLOOKUP(TableHandbook[[#This Row],[UDC]],TableMJRUSCSTR[],7,FALSE),"")</f>
        <v/>
      </c>
      <c r="AA43" s="74"/>
      <c r="AB43" s="66" t="str">
        <f>IFERROR(VLOOKUP(TableHandbook[[#This Row],[UDC]],TableMJRUBSLAW[],7,FALSE),"")</f>
        <v/>
      </c>
      <c r="AC43" s="66" t="str">
        <f>IFERROR(VLOOKUP(TableHandbook[[#This Row],[UDC]],TableMJRUECONS[],7,FALSE),"")</f>
        <v/>
      </c>
      <c r="AD43" s="66" t="str">
        <f>IFERROR(VLOOKUP(TableHandbook[[#This Row],[UDC]],TableMJRUFINAR[],7,FALSE),"")</f>
        <v/>
      </c>
      <c r="AE43" s="66" t="str">
        <f>IFERROR(VLOOKUP(TableHandbook[[#This Row],[UDC]],TableMJRUFINCE[],7,FALSE),"")</f>
        <v/>
      </c>
      <c r="AF43" s="66" t="str">
        <f>IFERROR(VLOOKUP(TableHandbook[[#This Row],[UDC]],TableMJRUHRMGM[],7,FALSE),"")</f>
        <v/>
      </c>
      <c r="AG43" s="66" t="str">
        <f>IFERROR(VLOOKUP(TableHandbook[[#This Row],[UDC]],TableMJRUINTBU[],7,FALSE),"")</f>
        <v/>
      </c>
      <c r="AH43" s="66" t="str">
        <f>IFERROR(VLOOKUP(TableHandbook[[#This Row],[UDC]],TableMJRULGSCM[],7,FALSE),"")</f>
        <v/>
      </c>
      <c r="AI43" s="66" t="str">
        <f>IFERROR(VLOOKUP(TableHandbook[[#This Row],[UDC]],TableMJRUMNGMT[],7,FALSE),"")</f>
        <v/>
      </c>
      <c r="AJ43" s="66" t="str">
        <f>IFERROR(VLOOKUP(TableHandbook[[#This Row],[UDC]],TableMJRUMRKTG[],7,FALSE),"")</f>
        <v/>
      </c>
      <c r="AK43" s="66" t="str">
        <f>IFERROR(VLOOKUP(TableHandbook[[#This Row],[UDC]],TableMJRUPRPTY[],7,FALSE),"")</f>
        <v/>
      </c>
      <c r="AL43" s="66" t="str">
        <f>IFERROR(VLOOKUP(TableHandbook[[#This Row],[UDC]],TableMJRUSCRAR[],7,FALSE),"")</f>
        <v/>
      </c>
      <c r="AM43" s="66" t="str">
        <f>IFERROR(VLOOKUP(TableHandbook[[#This Row],[UDC]],TableMJRUTHTRA[],7,FALSE),"")</f>
        <v/>
      </c>
      <c r="AN43" s="66" t="str">
        <f>IFERROR(VLOOKUP(TableHandbook[[#This Row],[UDC]],TableMJRUTRHOS[],7,FALSE),"")</f>
        <v/>
      </c>
    </row>
    <row r="44" spans="1:40" x14ac:dyDescent="0.25">
      <c r="A44" s="8" t="s">
        <v>221</v>
      </c>
      <c r="B44" s="9">
        <v>2</v>
      </c>
      <c r="C44" s="8"/>
      <c r="D44" s="8" t="s">
        <v>555</v>
      </c>
      <c r="E44" s="9">
        <v>25</v>
      </c>
      <c r="F44" s="49" t="s">
        <v>526</v>
      </c>
      <c r="G44" s="67" t="str">
        <f>IFERROR(IF(VLOOKUP(TableHandbook[[#This Row],[UDC]],TableAvailabilities[],2,FALSE)&gt;0,"Y",""),"")</f>
        <v/>
      </c>
      <c r="H44" s="68" t="str">
        <f>IFERROR(IF(VLOOKUP(TableHandbook[[#This Row],[UDC]],TableAvailabilities[],3,FALSE)&gt;0,"Y",""),"")</f>
        <v/>
      </c>
      <c r="I44" s="69" t="str">
        <f>IFERROR(IF(VLOOKUP(TableHandbook[[#This Row],[UDC]],TableAvailabilities[],4,FALSE)&gt;0,"Y",""),"")</f>
        <v>Y</v>
      </c>
      <c r="J44" s="70" t="str">
        <f>IFERROR(IF(VLOOKUP(TableHandbook[[#This Row],[UDC]],TableAvailabilities[],5,FALSE)&gt;0,"Y",""),"")</f>
        <v>Y</v>
      </c>
      <c r="K44" s="163" t="s">
        <v>551</v>
      </c>
      <c r="L44" s="64" t="str">
        <f>IFERROR(VLOOKUP(TableHandbook[[#This Row],[UDC]],TableBARTS[],7,FALSE),"")</f>
        <v/>
      </c>
      <c r="M44" s="65" t="str">
        <f>IFERROR(VLOOKUP(TableHandbook[[#This Row],[UDC]],TableMJRUANTSO[],7,FALSE),"")</f>
        <v/>
      </c>
      <c r="N44" s="65" t="str">
        <f>IFERROR(VLOOKUP(TableHandbook[[#This Row],[UDC]],TableMJRUCHNSE[],7,FALSE),"")</f>
        <v>Core</v>
      </c>
      <c r="O44" s="65" t="str">
        <f>IFERROR(VLOOKUP(TableHandbook[[#This Row],[UDC]],TableMJRUCRWRI[],7,FALSE),"")</f>
        <v/>
      </c>
      <c r="P44" s="65" t="str">
        <f>IFERROR(VLOOKUP(TableHandbook[[#This Row],[UDC]],TableMJRUGEOGR[],7,FALSE),"")</f>
        <v/>
      </c>
      <c r="Q44" s="65" t="str">
        <f>IFERROR(VLOOKUP(TableHandbook[[#This Row],[UDC]],TableMJRUHISTR[],7,FALSE),"")</f>
        <v/>
      </c>
      <c r="R44" s="65" t="str">
        <f>IFERROR(VLOOKUP(TableHandbook[[#This Row],[UDC]],TableMJRUINAUC[],7,FALSE),"")</f>
        <v/>
      </c>
      <c r="S44" s="65" t="str">
        <f>IFERROR(VLOOKUP(TableHandbook[[#This Row],[UDC]],TableMJRUINTRL[],7,FALSE),"")</f>
        <v/>
      </c>
      <c r="T44" s="65" t="str">
        <f>IFERROR(VLOOKUP(TableHandbook[[#This Row],[UDC]],TableMJRUJAPAN[],7,FALSE),"")</f>
        <v/>
      </c>
      <c r="U44" s="65" t="str">
        <f>IFERROR(VLOOKUP(TableHandbook[[#This Row],[UDC]],TableMJRUJOURN[],7,FALSE),"")</f>
        <v/>
      </c>
      <c r="V44" s="65" t="str">
        <f>IFERROR(VLOOKUP(TableHandbook[[#This Row],[UDC]],TableMJRUKORES[],7,FALSE),"")</f>
        <v/>
      </c>
      <c r="W44" s="65" t="str">
        <f>IFERROR(VLOOKUP(TableHandbook[[#This Row],[UDC]],TableMJRULITCU[],7,FALSE),"")</f>
        <v/>
      </c>
      <c r="X44" s="65" t="str">
        <f>IFERROR(VLOOKUP(TableHandbook[[#This Row],[UDC]],TableMJRUNETCM[],7,FALSE),"")</f>
        <v/>
      </c>
      <c r="Y44" s="65" t="str">
        <f>IFERROR(VLOOKUP(TableHandbook[[#This Row],[UDC]],TableMJRUPRWRP[],7,FALSE),"")</f>
        <v/>
      </c>
      <c r="Z44" s="66" t="str">
        <f>IFERROR(VLOOKUP(TableHandbook[[#This Row],[UDC]],TableMJRUSCSTR[],7,FALSE),"")</f>
        <v/>
      </c>
      <c r="AA44" s="74"/>
      <c r="AB44" s="66" t="str">
        <f>IFERROR(VLOOKUP(TableHandbook[[#This Row],[UDC]],TableMJRUBSLAW[],7,FALSE),"")</f>
        <v/>
      </c>
      <c r="AC44" s="66" t="str">
        <f>IFERROR(VLOOKUP(TableHandbook[[#This Row],[UDC]],TableMJRUECONS[],7,FALSE),"")</f>
        <v/>
      </c>
      <c r="AD44" s="66" t="str">
        <f>IFERROR(VLOOKUP(TableHandbook[[#This Row],[UDC]],TableMJRUFINAR[],7,FALSE),"")</f>
        <v/>
      </c>
      <c r="AE44" s="66" t="str">
        <f>IFERROR(VLOOKUP(TableHandbook[[#This Row],[UDC]],TableMJRUFINCE[],7,FALSE),"")</f>
        <v/>
      </c>
      <c r="AF44" s="66" t="str">
        <f>IFERROR(VLOOKUP(TableHandbook[[#This Row],[UDC]],TableMJRUHRMGM[],7,FALSE),"")</f>
        <v/>
      </c>
      <c r="AG44" s="66" t="str">
        <f>IFERROR(VLOOKUP(TableHandbook[[#This Row],[UDC]],TableMJRUINTBU[],7,FALSE),"")</f>
        <v/>
      </c>
      <c r="AH44" s="66" t="str">
        <f>IFERROR(VLOOKUP(TableHandbook[[#This Row],[UDC]],TableMJRULGSCM[],7,FALSE),"")</f>
        <v/>
      </c>
      <c r="AI44" s="66" t="str">
        <f>IFERROR(VLOOKUP(TableHandbook[[#This Row],[UDC]],TableMJRUMNGMT[],7,FALSE),"")</f>
        <v/>
      </c>
      <c r="AJ44" s="66" t="str">
        <f>IFERROR(VLOOKUP(TableHandbook[[#This Row],[UDC]],TableMJRUMRKTG[],7,FALSE),"")</f>
        <v/>
      </c>
      <c r="AK44" s="66" t="str">
        <f>IFERROR(VLOOKUP(TableHandbook[[#This Row],[UDC]],TableMJRUPRPTY[],7,FALSE),"")</f>
        <v/>
      </c>
      <c r="AL44" s="66" t="str">
        <f>IFERROR(VLOOKUP(TableHandbook[[#This Row],[UDC]],TableMJRUSCRAR[],7,FALSE),"")</f>
        <v/>
      </c>
      <c r="AM44" s="66" t="str">
        <f>IFERROR(VLOOKUP(TableHandbook[[#This Row],[UDC]],TableMJRUTHTRA[],7,FALSE),"")</f>
        <v/>
      </c>
      <c r="AN44" s="66" t="str">
        <f>IFERROR(VLOOKUP(TableHandbook[[#This Row],[UDC]],TableMJRUTRHOS[],7,FALSE),"")</f>
        <v/>
      </c>
    </row>
    <row r="45" spans="1:40" x14ac:dyDescent="0.25">
      <c r="A45" s="8" t="s">
        <v>197</v>
      </c>
      <c r="B45" s="9">
        <v>1</v>
      </c>
      <c r="C45" s="8"/>
      <c r="D45" s="8" t="s">
        <v>556</v>
      </c>
      <c r="E45" s="9">
        <v>25</v>
      </c>
      <c r="F45" s="49" t="s">
        <v>526</v>
      </c>
      <c r="G45" s="67" t="str">
        <f>IFERROR(IF(VLOOKUP(TableHandbook[[#This Row],[UDC]],TableAvailabilities[],2,FALSE)&gt;0,"Y",""),"")</f>
        <v/>
      </c>
      <c r="H45" s="68" t="str">
        <f>IFERROR(IF(VLOOKUP(TableHandbook[[#This Row],[UDC]],TableAvailabilities[],3,FALSE)&gt;0,"Y",""),"")</f>
        <v/>
      </c>
      <c r="I45" s="69" t="str">
        <f>IFERROR(IF(VLOOKUP(TableHandbook[[#This Row],[UDC]],TableAvailabilities[],4,FALSE)&gt;0,"Y",""),"")</f>
        <v>Y</v>
      </c>
      <c r="J45" s="70" t="str">
        <f>IFERROR(IF(VLOOKUP(TableHandbook[[#This Row],[UDC]],TableAvailabilities[],5,FALSE)&gt;0,"Y",""),"")</f>
        <v>Y</v>
      </c>
      <c r="K45" s="163" t="s">
        <v>551</v>
      </c>
      <c r="L45" s="64" t="str">
        <f>IFERROR(VLOOKUP(TableHandbook[[#This Row],[UDC]],TableBARTS[],7,FALSE),"")</f>
        <v/>
      </c>
      <c r="M45" s="65" t="str">
        <f>IFERROR(VLOOKUP(TableHandbook[[#This Row],[UDC]],TableMJRUANTSO[],7,FALSE),"")</f>
        <v/>
      </c>
      <c r="N45" s="65" t="str">
        <f>IFERROR(VLOOKUP(TableHandbook[[#This Row],[UDC]],TableMJRUCHNSE[],7,FALSE),"")</f>
        <v>Core</v>
      </c>
      <c r="O45" s="65" t="str">
        <f>IFERROR(VLOOKUP(TableHandbook[[#This Row],[UDC]],TableMJRUCRWRI[],7,FALSE),"")</f>
        <v/>
      </c>
      <c r="P45" s="65" t="str">
        <f>IFERROR(VLOOKUP(TableHandbook[[#This Row],[UDC]],TableMJRUGEOGR[],7,FALSE),"")</f>
        <v/>
      </c>
      <c r="Q45" s="65" t="str">
        <f>IFERROR(VLOOKUP(TableHandbook[[#This Row],[UDC]],TableMJRUHISTR[],7,FALSE),"")</f>
        <v/>
      </c>
      <c r="R45" s="65" t="str">
        <f>IFERROR(VLOOKUP(TableHandbook[[#This Row],[UDC]],TableMJRUINAUC[],7,FALSE),"")</f>
        <v/>
      </c>
      <c r="S45" s="65" t="str">
        <f>IFERROR(VLOOKUP(TableHandbook[[#This Row],[UDC]],TableMJRUINTRL[],7,FALSE),"")</f>
        <v/>
      </c>
      <c r="T45" s="65" t="str">
        <f>IFERROR(VLOOKUP(TableHandbook[[#This Row],[UDC]],TableMJRUJAPAN[],7,FALSE),"")</f>
        <v/>
      </c>
      <c r="U45" s="65" t="str">
        <f>IFERROR(VLOOKUP(TableHandbook[[#This Row],[UDC]],TableMJRUJOURN[],7,FALSE),"")</f>
        <v/>
      </c>
      <c r="V45" s="65" t="str">
        <f>IFERROR(VLOOKUP(TableHandbook[[#This Row],[UDC]],TableMJRUKORES[],7,FALSE),"")</f>
        <v/>
      </c>
      <c r="W45" s="65" t="str">
        <f>IFERROR(VLOOKUP(TableHandbook[[#This Row],[UDC]],TableMJRULITCU[],7,FALSE),"")</f>
        <v/>
      </c>
      <c r="X45" s="65" t="str">
        <f>IFERROR(VLOOKUP(TableHandbook[[#This Row],[UDC]],TableMJRUNETCM[],7,FALSE),"")</f>
        <v/>
      </c>
      <c r="Y45" s="65" t="str">
        <f>IFERROR(VLOOKUP(TableHandbook[[#This Row],[UDC]],TableMJRUPRWRP[],7,FALSE),"")</f>
        <v/>
      </c>
      <c r="Z45" s="66" t="str">
        <f>IFERROR(VLOOKUP(TableHandbook[[#This Row],[UDC]],TableMJRUSCSTR[],7,FALSE),"")</f>
        <v/>
      </c>
      <c r="AA45" s="74"/>
      <c r="AB45" s="66" t="str">
        <f>IFERROR(VLOOKUP(TableHandbook[[#This Row],[UDC]],TableMJRUBSLAW[],7,FALSE),"")</f>
        <v/>
      </c>
      <c r="AC45" s="66" t="str">
        <f>IFERROR(VLOOKUP(TableHandbook[[#This Row],[UDC]],TableMJRUECONS[],7,FALSE),"")</f>
        <v/>
      </c>
      <c r="AD45" s="66" t="str">
        <f>IFERROR(VLOOKUP(TableHandbook[[#This Row],[UDC]],TableMJRUFINAR[],7,FALSE),"")</f>
        <v/>
      </c>
      <c r="AE45" s="66" t="str">
        <f>IFERROR(VLOOKUP(TableHandbook[[#This Row],[UDC]],TableMJRUFINCE[],7,FALSE),"")</f>
        <v/>
      </c>
      <c r="AF45" s="66" t="str">
        <f>IFERROR(VLOOKUP(TableHandbook[[#This Row],[UDC]],TableMJRUHRMGM[],7,FALSE),"")</f>
        <v/>
      </c>
      <c r="AG45" s="66" t="str">
        <f>IFERROR(VLOOKUP(TableHandbook[[#This Row],[UDC]],TableMJRUINTBU[],7,FALSE),"")</f>
        <v/>
      </c>
      <c r="AH45" s="66" t="str">
        <f>IFERROR(VLOOKUP(TableHandbook[[#This Row],[UDC]],TableMJRULGSCM[],7,FALSE),"")</f>
        <v/>
      </c>
      <c r="AI45" s="66" t="str">
        <f>IFERROR(VLOOKUP(TableHandbook[[#This Row],[UDC]],TableMJRUMNGMT[],7,FALSE),"")</f>
        <v/>
      </c>
      <c r="AJ45" s="66" t="str">
        <f>IFERROR(VLOOKUP(TableHandbook[[#This Row],[UDC]],TableMJRUMRKTG[],7,FALSE),"")</f>
        <v/>
      </c>
      <c r="AK45" s="66" t="str">
        <f>IFERROR(VLOOKUP(TableHandbook[[#This Row],[UDC]],TableMJRUPRPTY[],7,FALSE),"")</f>
        <v/>
      </c>
      <c r="AL45" s="66" t="str">
        <f>IFERROR(VLOOKUP(TableHandbook[[#This Row],[UDC]],TableMJRUSCRAR[],7,FALSE),"")</f>
        <v/>
      </c>
      <c r="AM45" s="66" t="str">
        <f>IFERROR(VLOOKUP(TableHandbook[[#This Row],[UDC]],TableMJRUTHTRA[],7,FALSE),"")</f>
        <v/>
      </c>
      <c r="AN45" s="66" t="str">
        <f>IFERROR(VLOOKUP(TableHandbook[[#This Row],[UDC]],TableMJRUTRHOS[],7,FALSE),"")</f>
        <v/>
      </c>
    </row>
    <row r="46" spans="1:40" x14ac:dyDescent="0.25">
      <c r="A46" s="8" t="s">
        <v>249</v>
      </c>
      <c r="B46" s="9">
        <v>2</v>
      </c>
      <c r="C46" s="8"/>
      <c r="D46" s="8" t="s">
        <v>557</v>
      </c>
      <c r="E46" s="9">
        <v>25</v>
      </c>
      <c r="F46" s="49" t="s">
        <v>526</v>
      </c>
      <c r="G46" s="67" t="str">
        <f>IFERROR(IF(VLOOKUP(TableHandbook[[#This Row],[UDC]],TableAvailabilities[],2,FALSE)&gt;0,"Y",""),"")</f>
        <v>Y</v>
      </c>
      <c r="H46" s="68" t="str">
        <f>IFERROR(IF(VLOOKUP(TableHandbook[[#This Row],[UDC]],TableAvailabilities[],3,FALSE)&gt;0,"Y",""),"")</f>
        <v>Y</v>
      </c>
      <c r="I46" s="69" t="str">
        <f>IFERROR(IF(VLOOKUP(TableHandbook[[#This Row],[UDC]],TableAvailabilities[],4,FALSE)&gt;0,"Y",""),"")</f>
        <v/>
      </c>
      <c r="J46" s="70" t="str">
        <f>IFERROR(IF(VLOOKUP(TableHandbook[[#This Row],[UDC]],TableAvailabilities[],5,FALSE)&gt;0,"Y",""),"")</f>
        <v/>
      </c>
      <c r="K46" s="163" t="s">
        <v>551</v>
      </c>
      <c r="L46" s="64" t="str">
        <f>IFERROR(VLOOKUP(TableHandbook[[#This Row],[UDC]],TableBARTS[],7,FALSE),"")</f>
        <v/>
      </c>
      <c r="M46" s="65" t="str">
        <f>IFERROR(VLOOKUP(TableHandbook[[#This Row],[UDC]],TableMJRUANTSO[],7,FALSE),"")</f>
        <v/>
      </c>
      <c r="N46" s="65" t="str">
        <f>IFERROR(VLOOKUP(TableHandbook[[#This Row],[UDC]],TableMJRUCHNSE[],7,FALSE),"")</f>
        <v>Core</v>
      </c>
      <c r="O46" s="65" t="str">
        <f>IFERROR(VLOOKUP(TableHandbook[[#This Row],[UDC]],TableMJRUCRWRI[],7,FALSE),"")</f>
        <v/>
      </c>
      <c r="P46" s="65" t="str">
        <f>IFERROR(VLOOKUP(TableHandbook[[#This Row],[UDC]],TableMJRUGEOGR[],7,FALSE),"")</f>
        <v/>
      </c>
      <c r="Q46" s="65" t="str">
        <f>IFERROR(VLOOKUP(TableHandbook[[#This Row],[UDC]],TableMJRUHISTR[],7,FALSE),"")</f>
        <v/>
      </c>
      <c r="R46" s="65" t="str">
        <f>IFERROR(VLOOKUP(TableHandbook[[#This Row],[UDC]],TableMJRUINAUC[],7,FALSE),"")</f>
        <v/>
      </c>
      <c r="S46" s="65" t="str">
        <f>IFERROR(VLOOKUP(TableHandbook[[#This Row],[UDC]],TableMJRUINTRL[],7,FALSE),"")</f>
        <v/>
      </c>
      <c r="T46" s="65" t="str">
        <f>IFERROR(VLOOKUP(TableHandbook[[#This Row],[UDC]],TableMJRUJAPAN[],7,FALSE),"")</f>
        <v/>
      </c>
      <c r="U46" s="65" t="str">
        <f>IFERROR(VLOOKUP(TableHandbook[[#This Row],[UDC]],TableMJRUJOURN[],7,FALSE),"")</f>
        <v/>
      </c>
      <c r="V46" s="65" t="str">
        <f>IFERROR(VLOOKUP(TableHandbook[[#This Row],[UDC]],TableMJRUKORES[],7,FALSE),"")</f>
        <v/>
      </c>
      <c r="W46" s="65" t="str">
        <f>IFERROR(VLOOKUP(TableHandbook[[#This Row],[UDC]],TableMJRULITCU[],7,FALSE),"")</f>
        <v/>
      </c>
      <c r="X46" s="65" t="str">
        <f>IFERROR(VLOOKUP(TableHandbook[[#This Row],[UDC]],TableMJRUNETCM[],7,FALSE),"")</f>
        <v/>
      </c>
      <c r="Y46" s="65" t="str">
        <f>IFERROR(VLOOKUP(TableHandbook[[#This Row],[UDC]],TableMJRUPRWRP[],7,FALSE),"")</f>
        <v/>
      </c>
      <c r="Z46" s="66" t="str">
        <f>IFERROR(VLOOKUP(TableHandbook[[#This Row],[UDC]],TableMJRUSCSTR[],7,FALSE),"")</f>
        <v/>
      </c>
      <c r="AA46" s="74"/>
      <c r="AB46" s="66" t="str">
        <f>IFERROR(VLOOKUP(TableHandbook[[#This Row],[UDC]],TableMJRUBSLAW[],7,FALSE),"")</f>
        <v/>
      </c>
      <c r="AC46" s="66" t="str">
        <f>IFERROR(VLOOKUP(TableHandbook[[#This Row],[UDC]],TableMJRUECONS[],7,FALSE),"")</f>
        <v/>
      </c>
      <c r="AD46" s="66" t="str">
        <f>IFERROR(VLOOKUP(TableHandbook[[#This Row],[UDC]],TableMJRUFINAR[],7,FALSE),"")</f>
        <v/>
      </c>
      <c r="AE46" s="66" t="str">
        <f>IFERROR(VLOOKUP(TableHandbook[[#This Row],[UDC]],TableMJRUFINCE[],7,FALSE),"")</f>
        <v/>
      </c>
      <c r="AF46" s="66" t="str">
        <f>IFERROR(VLOOKUP(TableHandbook[[#This Row],[UDC]],TableMJRUHRMGM[],7,FALSE),"")</f>
        <v/>
      </c>
      <c r="AG46" s="66" t="str">
        <f>IFERROR(VLOOKUP(TableHandbook[[#This Row],[UDC]],TableMJRUINTBU[],7,FALSE),"")</f>
        <v/>
      </c>
      <c r="AH46" s="66" t="str">
        <f>IFERROR(VLOOKUP(TableHandbook[[#This Row],[UDC]],TableMJRULGSCM[],7,FALSE),"")</f>
        <v/>
      </c>
      <c r="AI46" s="66" t="str">
        <f>IFERROR(VLOOKUP(TableHandbook[[#This Row],[UDC]],TableMJRUMNGMT[],7,FALSE),"")</f>
        <v/>
      </c>
      <c r="AJ46" s="66" t="str">
        <f>IFERROR(VLOOKUP(TableHandbook[[#This Row],[UDC]],TableMJRUMRKTG[],7,FALSE),"")</f>
        <v/>
      </c>
      <c r="AK46" s="66" t="str">
        <f>IFERROR(VLOOKUP(TableHandbook[[#This Row],[UDC]],TableMJRUPRPTY[],7,FALSE),"")</f>
        <v/>
      </c>
      <c r="AL46" s="66" t="str">
        <f>IFERROR(VLOOKUP(TableHandbook[[#This Row],[UDC]],TableMJRUSCRAR[],7,FALSE),"")</f>
        <v/>
      </c>
      <c r="AM46" s="66" t="str">
        <f>IFERROR(VLOOKUP(TableHandbook[[#This Row],[UDC]],TableMJRUTHTRA[],7,FALSE),"")</f>
        <v/>
      </c>
      <c r="AN46" s="66" t="str">
        <f>IFERROR(VLOOKUP(TableHandbook[[#This Row],[UDC]],TableMJRUTRHOS[],7,FALSE),"")</f>
        <v/>
      </c>
    </row>
    <row r="47" spans="1:40" x14ac:dyDescent="0.25">
      <c r="A47" s="8" t="s">
        <v>250</v>
      </c>
      <c r="B47" s="9">
        <v>2</v>
      </c>
      <c r="C47" s="8"/>
      <c r="D47" s="8" t="s">
        <v>558</v>
      </c>
      <c r="E47" s="9">
        <v>25</v>
      </c>
      <c r="F47" s="49" t="s">
        <v>526</v>
      </c>
      <c r="G47" s="67" t="str">
        <f>IFERROR(IF(VLOOKUP(TableHandbook[[#This Row],[UDC]],TableAvailabilities[],2,FALSE)&gt;0,"Y",""),"")</f>
        <v/>
      </c>
      <c r="H47" s="68" t="str">
        <f>IFERROR(IF(VLOOKUP(TableHandbook[[#This Row],[UDC]],TableAvailabilities[],3,FALSE)&gt;0,"Y",""),"")</f>
        <v/>
      </c>
      <c r="I47" s="69" t="str">
        <f>IFERROR(IF(VLOOKUP(TableHandbook[[#This Row],[UDC]],TableAvailabilities[],4,FALSE)&gt;0,"Y",""),"")</f>
        <v>Y</v>
      </c>
      <c r="J47" s="70" t="str">
        <f>IFERROR(IF(VLOOKUP(TableHandbook[[#This Row],[UDC]],TableAvailabilities[],5,FALSE)&gt;0,"Y",""),"")</f>
        <v>Y</v>
      </c>
      <c r="K47" s="163" t="s">
        <v>551</v>
      </c>
      <c r="L47" s="64" t="str">
        <f>IFERROR(VLOOKUP(TableHandbook[[#This Row],[UDC]],TableBARTS[],7,FALSE),"")</f>
        <v/>
      </c>
      <c r="M47" s="65" t="str">
        <f>IFERROR(VLOOKUP(TableHandbook[[#This Row],[UDC]],TableMJRUANTSO[],7,FALSE),"")</f>
        <v/>
      </c>
      <c r="N47" s="65" t="str">
        <f>IFERROR(VLOOKUP(TableHandbook[[#This Row],[UDC]],TableMJRUCHNSE[],7,FALSE),"")</f>
        <v>Core</v>
      </c>
      <c r="O47" s="65" t="str">
        <f>IFERROR(VLOOKUP(TableHandbook[[#This Row],[UDC]],TableMJRUCRWRI[],7,FALSE),"")</f>
        <v/>
      </c>
      <c r="P47" s="65" t="str">
        <f>IFERROR(VLOOKUP(TableHandbook[[#This Row],[UDC]],TableMJRUGEOGR[],7,FALSE),"")</f>
        <v/>
      </c>
      <c r="Q47" s="65" t="str">
        <f>IFERROR(VLOOKUP(TableHandbook[[#This Row],[UDC]],TableMJRUHISTR[],7,FALSE),"")</f>
        <v/>
      </c>
      <c r="R47" s="65" t="str">
        <f>IFERROR(VLOOKUP(TableHandbook[[#This Row],[UDC]],TableMJRUINAUC[],7,FALSE),"")</f>
        <v/>
      </c>
      <c r="S47" s="65" t="str">
        <f>IFERROR(VLOOKUP(TableHandbook[[#This Row],[UDC]],TableMJRUINTRL[],7,FALSE),"")</f>
        <v/>
      </c>
      <c r="T47" s="65" t="str">
        <f>IFERROR(VLOOKUP(TableHandbook[[#This Row],[UDC]],TableMJRUJAPAN[],7,FALSE),"")</f>
        <v/>
      </c>
      <c r="U47" s="65" t="str">
        <f>IFERROR(VLOOKUP(TableHandbook[[#This Row],[UDC]],TableMJRUJOURN[],7,FALSE),"")</f>
        <v/>
      </c>
      <c r="V47" s="65" t="str">
        <f>IFERROR(VLOOKUP(TableHandbook[[#This Row],[UDC]],TableMJRUKORES[],7,FALSE),"")</f>
        <v/>
      </c>
      <c r="W47" s="65" t="str">
        <f>IFERROR(VLOOKUP(TableHandbook[[#This Row],[UDC]],TableMJRULITCU[],7,FALSE),"")</f>
        <v/>
      </c>
      <c r="X47" s="65" t="str">
        <f>IFERROR(VLOOKUP(TableHandbook[[#This Row],[UDC]],TableMJRUNETCM[],7,FALSE),"")</f>
        <v/>
      </c>
      <c r="Y47" s="65" t="str">
        <f>IFERROR(VLOOKUP(TableHandbook[[#This Row],[UDC]],TableMJRUPRWRP[],7,FALSE),"")</f>
        <v/>
      </c>
      <c r="Z47" s="66" t="str">
        <f>IFERROR(VLOOKUP(TableHandbook[[#This Row],[UDC]],TableMJRUSCSTR[],7,FALSE),"")</f>
        <v/>
      </c>
      <c r="AA47" s="74"/>
      <c r="AB47" s="66" t="str">
        <f>IFERROR(VLOOKUP(TableHandbook[[#This Row],[UDC]],TableMJRUBSLAW[],7,FALSE),"")</f>
        <v/>
      </c>
      <c r="AC47" s="66" t="str">
        <f>IFERROR(VLOOKUP(TableHandbook[[#This Row],[UDC]],TableMJRUECONS[],7,FALSE),"")</f>
        <v/>
      </c>
      <c r="AD47" s="66" t="str">
        <f>IFERROR(VLOOKUP(TableHandbook[[#This Row],[UDC]],TableMJRUFINAR[],7,FALSE),"")</f>
        <v/>
      </c>
      <c r="AE47" s="66" t="str">
        <f>IFERROR(VLOOKUP(TableHandbook[[#This Row],[UDC]],TableMJRUFINCE[],7,FALSE),"")</f>
        <v/>
      </c>
      <c r="AF47" s="66" t="str">
        <f>IFERROR(VLOOKUP(TableHandbook[[#This Row],[UDC]],TableMJRUHRMGM[],7,FALSE),"")</f>
        <v/>
      </c>
      <c r="AG47" s="66" t="str">
        <f>IFERROR(VLOOKUP(TableHandbook[[#This Row],[UDC]],TableMJRUINTBU[],7,FALSE),"")</f>
        <v/>
      </c>
      <c r="AH47" s="66" t="str">
        <f>IFERROR(VLOOKUP(TableHandbook[[#This Row],[UDC]],TableMJRULGSCM[],7,FALSE),"")</f>
        <v/>
      </c>
      <c r="AI47" s="66" t="str">
        <f>IFERROR(VLOOKUP(TableHandbook[[#This Row],[UDC]],TableMJRUMNGMT[],7,FALSE),"")</f>
        <v/>
      </c>
      <c r="AJ47" s="66" t="str">
        <f>IFERROR(VLOOKUP(TableHandbook[[#This Row],[UDC]],TableMJRUMRKTG[],7,FALSE),"")</f>
        <v/>
      </c>
      <c r="AK47" s="66" t="str">
        <f>IFERROR(VLOOKUP(TableHandbook[[#This Row],[UDC]],TableMJRUPRPTY[],7,FALSE),"")</f>
        <v/>
      </c>
      <c r="AL47" s="66" t="str">
        <f>IFERROR(VLOOKUP(TableHandbook[[#This Row],[UDC]],TableMJRUSCRAR[],7,FALSE),"")</f>
        <v/>
      </c>
      <c r="AM47" s="66" t="str">
        <f>IFERROR(VLOOKUP(TableHandbook[[#This Row],[UDC]],TableMJRUTHTRA[],7,FALSE),"")</f>
        <v/>
      </c>
      <c r="AN47" s="66" t="str">
        <f>IFERROR(VLOOKUP(TableHandbook[[#This Row],[UDC]],TableMJRUTRHOS[],7,FALSE),"")</f>
        <v/>
      </c>
    </row>
    <row r="48" spans="1:40" x14ac:dyDescent="0.25">
      <c r="A48" s="8" t="s">
        <v>274</v>
      </c>
      <c r="B48" s="9">
        <v>2</v>
      </c>
      <c r="C48" s="8"/>
      <c r="D48" s="8" t="s">
        <v>559</v>
      </c>
      <c r="E48" s="9">
        <v>25</v>
      </c>
      <c r="F48" s="49" t="s">
        <v>526</v>
      </c>
      <c r="G48" s="67" t="str">
        <f>IFERROR(IF(VLOOKUP(TableHandbook[[#This Row],[UDC]],TableAvailabilities[],2,FALSE)&gt;0,"Y",""),"")</f>
        <v>Y</v>
      </c>
      <c r="H48" s="68" t="str">
        <f>IFERROR(IF(VLOOKUP(TableHandbook[[#This Row],[UDC]],TableAvailabilities[],3,FALSE)&gt;0,"Y",""),"")</f>
        <v>Y</v>
      </c>
      <c r="I48" s="69" t="str">
        <f>IFERROR(IF(VLOOKUP(TableHandbook[[#This Row],[UDC]],TableAvailabilities[],4,FALSE)&gt;0,"Y",""),"")</f>
        <v/>
      </c>
      <c r="J48" s="70" t="str">
        <f>IFERROR(IF(VLOOKUP(TableHandbook[[#This Row],[UDC]],TableAvailabilities[],5,FALSE)&gt;0,"Y",""),"")</f>
        <v/>
      </c>
      <c r="K48" s="163" t="s">
        <v>551</v>
      </c>
      <c r="L48" s="64" t="str">
        <f>IFERROR(VLOOKUP(TableHandbook[[#This Row],[UDC]],TableBARTS[],7,FALSE),"")</f>
        <v/>
      </c>
      <c r="M48" s="65" t="str">
        <f>IFERROR(VLOOKUP(TableHandbook[[#This Row],[UDC]],TableMJRUANTSO[],7,FALSE),"")</f>
        <v/>
      </c>
      <c r="N48" s="65" t="str">
        <f>IFERROR(VLOOKUP(TableHandbook[[#This Row],[UDC]],TableMJRUCHNSE[],7,FALSE),"")</f>
        <v>Core</v>
      </c>
      <c r="O48" s="65" t="str">
        <f>IFERROR(VLOOKUP(TableHandbook[[#This Row],[UDC]],TableMJRUCRWRI[],7,FALSE),"")</f>
        <v/>
      </c>
      <c r="P48" s="65" t="str">
        <f>IFERROR(VLOOKUP(TableHandbook[[#This Row],[UDC]],TableMJRUGEOGR[],7,FALSE),"")</f>
        <v/>
      </c>
      <c r="Q48" s="65" t="str">
        <f>IFERROR(VLOOKUP(TableHandbook[[#This Row],[UDC]],TableMJRUHISTR[],7,FALSE),"")</f>
        <v/>
      </c>
      <c r="R48" s="65" t="str">
        <f>IFERROR(VLOOKUP(TableHandbook[[#This Row],[UDC]],TableMJRUINAUC[],7,FALSE),"")</f>
        <v/>
      </c>
      <c r="S48" s="65" t="str">
        <f>IFERROR(VLOOKUP(TableHandbook[[#This Row],[UDC]],TableMJRUINTRL[],7,FALSE),"")</f>
        <v/>
      </c>
      <c r="T48" s="65" t="str">
        <f>IFERROR(VLOOKUP(TableHandbook[[#This Row],[UDC]],TableMJRUJAPAN[],7,FALSE),"")</f>
        <v/>
      </c>
      <c r="U48" s="65" t="str">
        <f>IFERROR(VLOOKUP(TableHandbook[[#This Row],[UDC]],TableMJRUJOURN[],7,FALSE),"")</f>
        <v/>
      </c>
      <c r="V48" s="65" t="str">
        <f>IFERROR(VLOOKUP(TableHandbook[[#This Row],[UDC]],TableMJRUKORES[],7,FALSE),"")</f>
        <v/>
      </c>
      <c r="W48" s="65" t="str">
        <f>IFERROR(VLOOKUP(TableHandbook[[#This Row],[UDC]],TableMJRULITCU[],7,FALSE),"")</f>
        <v/>
      </c>
      <c r="X48" s="65" t="str">
        <f>IFERROR(VLOOKUP(TableHandbook[[#This Row],[UDC]],TableMJRUNETCM[],7,FALSE),"")</f>
        <v/>
      </c>
      <c r="Y48" s="65" t="str">
        <f>IFERROR(VLOOKUP(TableHandbook[[#This Row],[UDC]],TableMJRUPRWRP[],7,FALSE),"")</f>
        <v/>
      </c>
      <c r="Z48" s="66" t="str">
        <f>IFERROR(VLOOKUP(TableHandbook[[#This Row],[UDC]],TableMJRUSCSTR[],7,FALSE),"")</f>
        <v/>
      </c>
      <c r="AA48" s="74"/>
      <c r="AB48" s="66" t="str">
        <f>IFERROR(VLOOKUP(TableHandbook[[#This Row],[UDC]],TableMJRUBSLAW[],7,FALSE),"")</f>
        <v/>
      </c>
      <c r="AC48" s="66" t="str">
        <f>IFERROR(VLOOKUP(TableHandbook[[#This Row],[UDC]],TableMJRUECONS[],7,FALSE),"")</f>
        <v/>
      </c>
      <c r="AD48" s="66" t="str">
        <f>IFERROR(VLOOKUP(TableHandbook[[#This Row],[UDC]],TableMJRUFINAR[],7,FALSE),"")</f>
        <v/>
      </c>
      <c r="AE48" s="66" t="str">
        <f>IFERROR(VLOOKUP(TableHandbook[[#This Row],[UDC]],TableMJRUFINCE[],7,FALSE),"")</f>
        <v/>
      </c>
      <c r="AF48" s="66" t="str">
        <f>IFERROR(VLOOKUP(TableHandbook[[#This Row],[UDC]],TableMJRUHRMGM[],7,FALSE),"")</f>
        <v/>
      </c>
      <c r="AG48" s="66" t="str">
        <f>IFERROR(VLOOKUP(TableHandbook[[#This Row],[UDC]],TableMJRUINTBU[],7,FALSE),"")</f>
        <v/>
      </c>
      <c r="AH48" s="66" t="str">
        <f>IFERROR(VLOOKUP(TableHandbook[[#This Row],[UDC]],TableMJRULGSCM[],7,FALSE),"")</f>
        <v/>
      </c>
      <c r="AI48" s="66" t="str">
        <f>IFERROR(VLOOKUP(TableHandbook[[#This Row],[UDC]],TableMJRUMNGMT[],7,FALSE),"")</f>
        <v/>
      </c>
      <c r="AJ48" s="66" t="str">
        <f>IFERROR(VLOOKUP(TableHandbook[[#This Row],[UDC]],TableMJRUMRKTG[],7,FALSE),"")</f>
        <v/>
      </c>
      <c r="AK48" s="66" t="str">
        <f>IFERROR(VLOOKUP(TableHandbook[[#This Row],[UDC]],TableMJRUPRPTY[],7,FALSE),"")</f>
        <v/>
      </c>
      <c r="AL48" s="66" t="str">
        <f>IFERROR(VLOOKUP(TableHandbook[[#This Row],[UDC]],TableMJRUSCRAR[],7,FALSE),"")</f>
        <v/>
      </c>
      <c r="AM48" s="66" t="str">
        <f>IFERROR(VLOOKUP(TableHandbook[[#This Row],[UDC]],TableMJRUTHTRA[],7,FALSE),"")</f>
        <v/>
      </c>
      <c r="AN48" s="66" t="str">
        <f>IFERROR(VLOOKUP(TableHandbook[[#This Row],[UDC]],TableMJRUTRHOS[],7,FALSE),"")</f>
        <v/>
      </c>
    </row>
    <row r="49" spans="1:40" x14ac:dyDescent="0.25">
      <c r="A49" s="8" t="s">
        <v>275</v>
      </c>
      <c r="B49" s="9">
        <v>2</v>
      </c>
      <c r="C49" s="8"/>
      <c r="D49" s="8" t="s">
        <v>560</v>
      </c>
      <c r="E49" s="9">
        <v>25</v>
      </c>
      <c r="F49" s="49" t="s">
        <v>526</v>
      </c>
      <c r="G49" s="67" t="str">
        <f>IFERROR(IF(VLOOKUP(TableHandbook[[#This Row],[UDC]],TableAvailabilities[],2,FALSE)&gt;0,"Y",""),"")</f>
        <v/>
      </c>
      <c r="H49" s="68" t="str">
        <f>IFERROR(IF(VLOOKUP(TableHandbook[[#This Row],[UDC]],TableAvailabilities[],3,FALSE)&gt;0,"Y",""),"")</f>
        <v/>
      </c>
      <c r="I49" s="69" t="str">
        <f>IFERROR(IF(VLOOKUP(TableHandbook[[#This Row],[UDC]],TableAvailabilities[],4,FALSE)&gt;0,"Y",""),"")</f>
        <v>Y</v>
      </c>
      <c r="J49" s="70" t="str">
        <f>IFERROR(IF(VLOOKUP(TableHandbook[[#This Row],[UDC]],TableAvailabilities[],5,FALSE)&gt;0,"Y",""),"")</f>
        <v>Y</v>
      </c>
      <c r="K49" s="163" t="s">
        <v>551</v>
      </c>
      <c r="L49" s="64" t="str">
        <f>IFERROR(VLOOKUP(TableHandbook[[#This Row],[UDC]],TableBARTS[],7,FALSE),"")</f>
        <v/>
      </c>
      <c r="M49" s="65" t="str">
        <f>IFERROR(VLOOKUP(TableHandbook[[#This Row],[UDC]],TableMJRUANTSO[],7,FALSE),"")</f>
        <v/>
      </c>
      <c r="N49" s="65" t="str">
        <f>IFERROR(VLOOKUP(TableHandbook[[#This Row],[UDC]],TableMJRUCHNSE[],7,FALSE),"")</f>
        <v>Core</v>
      </c>
      <c r="O49" s="65" t="str">
        <f>IFERROR(VLOOKUP(TableHandbook[[#This Row],[UDC]],TableMJRUCRWRI[],7,FALSE),"")</f>
        <v/>
      </c>
      <c r="P49" s="65" t="str">
        <f>IFERROR(VLOOKUP(TableHandbook[[#This Row],[UDC]],TableMJRUGEOGR[],7,FALSE),"")</f>
        <v/>
      </c>
      <c r="Q49" s="65" t="str">
        <f>IFERROR(VLOOKUP(TableHandbook[[#This Row],[UDC]],TableMJRUHISTR[],7,FALSE),"")</f>
        <v/>
      </c>
      <c r="R49" s="65" t="str">
        <f>IFERROR(VLOOKUP(TableHandbook[[#This Row],[UDC]],TableMJRUINAUC[],7,FALSE),"")</f>
        <v/>
      </c>
      <c r="S49" s="65" t="str">
        <f>IFERROR(VLOOKUP(TableHandbook[[#This Row],[UDC]],TableMJRUINTRL[],7,FALSE),"")</f>
        <v/>
      </c>
      <c r="T49" s="65" t="str">
        <f>IFERROR(VLOOKUP(TableHandbook[[#This Row],[UDC]],TableMJRUJAPAN[],7,FALSE),"")</f>
        <v/>
      </c>
      <c r="U49" s="65" t="str">
        <f>IFERROR(VLOOKUP(TableHandbook[[#This Row],[UDC]],TableMJRUJOURN[],7,FALSE),"")</f>
        <v/>
      </c>
      <c r="V49" s="65" t="str">
        <f>IFERROR(VLOOKUP(TableHandbook[[#This Row],[UDC]],TableMJRUKORES[],7,FALSE),"")</f>
        <v/>
      </c>
      <c r="W49" s="65" t="str">
        <f>IFERROR(VLOOKUP(TableHandbook[[#This Row],[UDC]],TableMJRULITCU[],7,FALSE),"")</f>
        <v/>
      </c>
      <c r="X49" s="65" t="str">
        <f>IFERROR(VLOOKUP(TableHandbook[[#This Row],[UDC]],TableMJRUNETCM[],7,FALSE),"")</f>
        <v/>
      </c>
      <c r="Y49" s="65" t="str">
        <f>IFERROR(VLOOKUP(TableHandbook[[#This Row],[UDC]],TableMJRUPRWRP[],7,FALSE),"")</f>
        <v/>
      </c>
      <c r="Z49" s="66" t="str">
        <f>IFERROR(VLOOKUP(TableHandbook[[#This Row],[UDC]],TableMJRUSCSTR[],7,FALSE),"")</f>
        <v/>
      </c>
      <c r="AA49" s="74"/>
      <c r="AB49" s="66" t="str">
        <f>IFERROR(VLOOKUP(TableHandbook[[#This Row],[UDC]],TableMJRUBSLAW[],7,FALSE),"")</f>
        <v/>
      </c>
      <c r="AC49" s="66" t="str">
        <f>IFERROR(VLOOKUP(TableHandbook[[#This Row],[UDC]],TableMJRUECONS[],7,FALSE),"")</f>
        <v/>
      </c>
      <c r="AD49" s="66" t="str">
        <f>IFERROR(VLOOKUP(TableHandbook[[#This Row],[UDC]],TableMJRUFINAR[],7,FALSE),"")</f>
        <v/>
      </c>
      <c r="AE49" s="66" t="str">
        <f>IFERROR(VLOOKUP(TableHandbook[[#This Row],[UDC]],TableMJRUFINCE[],7,FALSE),"")</f>
        <v/>
      </c>
      <c r="AF49" s="66" t="str">
        <f>IFERROR(VLOOKUP(TableHandbook[[#This Row],[UDC]],TableMJRUHRMGM[],7,FALSE),"")</f>
        <v/>
      </c>
      <c r="AG49" s="66" t="str">
        <f>IFERROR(VLOOKUP(TableHandbook[[#This Row],[UDC]],TableMJRUINTBU[],7,FALSE),"")</f>
        <v/>
      </c>
      <c r="AH49" s="66" t="str">
        <f>IFERROR(VLOOKUP(TableHandbook[[#This Row],[UDC]],TableMJRULGSCM[],7,FALSE),"")</f>
        <v/>
      </c>
      <c r="AI49" s="66" t="str">
        <f>IFERROR(VLOOKUP(TableHandbook[[#This Row],[UDC]],TableMJRUMNGMT[],7,FALSE),"")</f>
        <v/>
      </c>
      <c r="AJ49" s="66" t="str">
        <f>IFERROR(VLOOKUP(TableHandbook[[#This Row],[UDC]],TableMJRUMRKTG[],7,FALSE),"")</f>
        <v/>
      </c>
      <c r="AK49" s="66" t="str">
        <f>IFERROR(VLOOKUP(TableHandbook[[#This Row],[UDC]],TableMJRUPRPTY[],7,FALSE),"")</f>
        <v/>
      </c>
      <c r="AL49" s="66" t="str">
        <f>IFERROR(VLOOKUP(TableHandbook[[#This Row],[UDC]],TableMJRUSCRAR[],7,FALSE),"")</f>
        <v/>
      </c>
      <c r="AM49" s="66" t="str">
        <f>IFERROR(VLOOKUP(TableHandbook[[#This Row],[UDC]],TableMJRUTHTRA[],7,FALSE),"")</f>
        <v/>
      </c>
      <c r="AN49" s="66" t="str">
        <f>IFERROR(VLOOKUP(TableHandbook[[#This Row],[UDC]],TableMJRUTRHOS[],7,FALSE),"")</f>
        <v/>
      </c>
    </row>
    <row r="50" spans="1:40" x14ac:dyDescent="0.25">
      <c r="A50" s="8" t="s">
        <v>96</v>
      </c>
      <c r="B50" s="9">
        <v>3</v>
      </c>
      <c r="C50" s="8"/>
      <c r="D50" s="8" t="s">
        <v>561</v>
      </c>
      <c r="E50" s="9">
        <v>25</v>
      </c>
      <c r="F50" s="49" t="s">
        <v>526</v>
      </c>
      <c r="G50" s="67" t="str">
        <f>IFERROR(IF(VLOOKUP(TableHandbook[[#This Row],[UDC]],TableAvailabilities[],2,FALSE)&gt;0,"Y",""),"")</f>
        <v>Y</v>
      </c>
      <c r="H50" s="68" t="str">
        <f>IFERROR(IF(VLOOKUP(TableHandbook[[#This Row],[UDC]],TableAvailabilities[],3,FALSE)&gt;0,"Y",""),"")</f>
        <v>Y</v>
      </c>
      <c r="I50" s="69" t="str">
        <f>IFERROR(IF(VLOOKUP(TableHandbook[[#This Row],[UDC]],TableAvailabilities[],4,FALSE)&gt;0,"Y",""),"")</f>
        <v>Y</v>
      </c>
      <c r="J50" s="70" t="str">
        <f>IFERROR(IF(VLOOKUP(TableHandbook[[#This Row],[UDC]],TableAvailabilities[],5,FALSE)&gt;0,"Y",""),"")</f>
        <v>Y</v>
      </c>
      <c r="K50" s="163"/>
      <c r="L50" s="64" t="str">
        <f>IFERROR(VLOOKUP(TableHandbook[[#This Row],[UDC]],TableBARTS[],7,FALSE),"")</f>
        <v>Core</v>
      </c>
      <c r="M50" s="65" t="str">
        <f>IFERROR(VLOOKUP(TableHandbook[[#This Row],[UDC]],TableMJRUANTSO[],7,FALSE),"")</f>
        <v/>
      </c>
      <c r="N50" s="65" t="str">
        <f>IFERROR(VLOOKUP(TableHandbook[[#This Row],[UDC]],TableMJRUCHNSE[],7,FALSE),"")</f>
        <v/>
      </c>
      <c r="O50" s="65" t="str">
        <f>IFERROR(VLOOKUP(TableHandbook[[#This Row],[UDC]],TableMJRUCRWRI[],7,FALSE),"")</f>
        <v/>
      </c>
      <c r="P50" s="65" t="str">
        <f>IFERROR(VLOOKUP(TableHandbook[[#This Row],[UDC]],TableMJRUGEOGR[],7,FALSE),"")</f>
        <v/>
      </c>
      <c r="Q50" s="65" t="str">
        <f>IFERROR(VLOOKUP(TableHandbook[[#This Row],[UDC]],TableMJRUHISTR[],7,FALSE),"")</f>
        <v/>
      </c>
      <c r="R50" s="65" t="str">
        <f>IFERROR(VLOOKUP(TableHandbook[[#This Row],[UDC]],TableMJRUINAUC[],7,FALSE),"")</f>
        <v/>
      </c>
      <c r="S50" s="65" t="str">
        <f>IFERROR(VLOOKUP(TableHandbook[[#This Row],[UDC]],TableMJRUINTRL[],7,FALSE),"")</f>
        <v/>
      </c>
      <c r="T50" s="65" t="str">
        <f>IFERROR(VLOOKUP(TableHandbook[[#This Row],[UDC]],TableMJRUJAPAN[],7,FALSE),"")</f>
        <v/>
      </c>
      <c r="U50" s="65" t="str">
        <f>IFERROR(VLOOKUP(TableHandbook[[#This Row],[UDC]],TableMJRUJOURN[],7,FALSE),"")</f>
        <v/>
      </c>
      <c r="V50" s="65" t="str">
        <f>IFERROR(VLOOKUP(TableHandbook[[#This Row],[UDC]],TableMJRUKORES[],7,FALSE),"")</f>
        <v/>
      </c>
      <c r="W50" s="65" t="str">
        <f>IFERROR(VLOOKUP(TableHandbook[[#This Row],[UDC]],TableMJRULITCU[],7,FALSE),"")</f>
        <v/>
      </c>
      <c r="X50" s="65" t="str">
        <f>IFERROR(VLOOKUP(TableHandbook[[#This Row],[UDC]],TableMJRUNETCM[],7,FALSE),"")</f>
        <v/>
      </c>
      <c r="Y50" s="65" t="str">
        <f>IFERROR(VLOOKUP(TableHandbook[[#This Row],[UDC]],TableMJRUPRWRP[],7,FALSE),"")</f>
        <v/>
      </c>
      <c r="Z50" s="66" t="str">
        <f>IFERROR(VLOOKUP(TableHandbook[[#This Row],[UDC]],TableMJRUSCSTR[],7,FALSE),"")</f>
        <v/>
      </c>
      <c r="AA50" s="74"/>
      <c r="AB50" s="66" t="str">
        <f>IFERROR(VLOOKUP(TableHandbook[[#This Row],[UDC]],TableMJRUBSLAW[],7,FALSE),"")</f>
        <v/>
      </c>
      <c r="AC50" s="66" t="str">
        <f>IFERROR(VLOOKUP(TableHandbook[[#This Row],[UDC]],TableMJRUECONS[],7,FALSE),"")</f>
        <v/>
      </c>
      <c r="AD50" s="66" t="str">
        <f>IFERROR(VLOOKUP(TableHandbook[[#This Row],[UDC]],TableMJRUFINAR[],7,FALSE),"")</f>
        <v/>
      </c>
      <c r="AE50" s="66" t="str">
        <f>IFERROR(VLOOKUP(TableHandbook[[#This Row],[UDC]],TableMJRUFINCE[],7,FALSE),"")</f>
        <v/>
      </c>
      <c r="AF50" s="66" t="str">
        <f>IFERROR(VLOOKUP(TableHandbook[[#This Row],[UDC]],TableMJRUHRMGM[],7,FALSE),"")</f>
        <v/>
      </c>
      <c r="AG50" s="66" t="str">
        <f>IFERROR(VLOOKUP(TableHandbook[[#This Row],[UDC]],TableMJRUINTBU[],7,FALSE),"")</f>
        <v/>
      </c>
      <c r="AH50" s="66" t="str">
        <f>IFERROR(VLOOKUP(TableHandbook[[#This Row],[UDC]],TableMJRULGSCM[],7,FALSE),"")</f>
        <v/>
      </c>
      <c r="AI50" s="66" t="str">
        <f>IFERROR(VLOOKUP(TableHandbook[[#This Row],[UDC]],TableMJRUMNGMT[],7,FALSE),"")</f>
        <v/>
      </c>
      <c r="AJ50" s="66" t="str">
        <f>IFERROR(VLOOKUP(TableHandbook[[#This Row],[UDC]],TableMJRUMRKTG[],7,FALSE),"")</f>
        <v/>
      </c>
      <c r="AK50" s="66" t="str">
        <f>IFERROR(VLOOKUP(TableHandbook[[#This Row],[UDC]],TableMJRUPRPTY[],7,FALSE),"")</f>
        <v/>
      </c>
      <c r="AL50" s="66" t="str">
        <f>IFERROR(VLOOKUP(TableHandbook[[#This Row],[UDC]],TableMJRUSCRAR[],7,FALSE),"")</f>
        <v/>
      </c>
      <c r="AM50" s="66" t="str">
        <f>IFERROR(VLOOKUP(TableHandbook[[#This Row],[UDC]],TableMJRUTHTRA[],7,FALSE),"")</f>
        <v/>
      </c>
      <c r="AN50" s="66" t="str">
        <f>IFERROR(VLOOKUP(TableHandbook[[#This Row],[UDC]],TableMJRUTRHOS[],7,FALSE),"")</f>
        <v/>
      </c>
    </row>
    <row r="51" spans="1:40" x14ac:dyDescent="0.25">
      <c r="A51" s="8" t="s">
        <v>81</v>
      </c>
      <c r="B51" s="9">
        <v>2</v>
      </c>
      <c r="C51" s="8"/>
      <c r="D51" s="8" t="s">
        <v>562</v>
      </c>
      <c r="E51" s="9">
        <v>25</v>
      </c>
      <c r="F51" s="49" t="s">
        <v>526</v>
      </c>
      <c r="G51" s="67" t="str">
        <f>IFERROR(IF(VLOOKUP(TableHandbook[[#This Row],[UDC]],TableAvailabilities[],2,FALSE)&gt;0,"Y",""),"")</f>
        <v>Y</v>
      </c>
      <c r="H51" s="68" t="str">
        <f>IFERROR(IF(VLOOKUP(TableHandbook[[#This Row],[UDC]],TableAvailabilities[],3,FALSE)&gt;0,"Y",""),"")</f>
        <v>Y</v>
      </c>
      <c r="I51" s="69" t="str">
        <f>IFERROR(IF(VLOOKUP(TableHandbook[[#This Row],[UDC]],TableAvailabilities[],4,FALSE)&gt;0,"Y",""),"")</f>
        <v>Y</v>
      </c>
      <c r="J51" s="70" t="str">
        <f>IFERROR(IF(VLOOKUP(TableHandbook[[#This Row],[UDC]],TableAvailabilities[],5,FALSE)&gt;0,"Y",""),"")</f>
        <v>Y</v>
      </c>
      <c r="K51" s="163"/>
      <c r="L51" s="64" t="str">
        <f>IFERROR(VLOOKUP(TableHandbook[[#This Row],[UDC]],TableBARTS[],7,FALSE),"")</f>
        <v>Core</v>
      </c>
      <c r="M51" s="65" t="str">
        <f>IFERROR(VLOOKUP(TableHandbook[[#This Row],[UDC]],TableMJRUANTSO[],7,FALSE),"")</f>
        <v/>
      </c>
      <c r="N51" s="65" t="str">
        <f>IFERROR(VLOOKUP(TableHandbook[[#This Row],[UDC]],TableMJRUCHNSE[],7,FALSE),"")</f>
        <v/>
      </c>
      <c r="O51" s="65" t="str">
        <f>IFERROR(VLOOKUP(TableHandbook[[#This Row],[UDC]],TableMJRUCRWRI[],7,FALSE),"")</f>
        <v/>
      </c>
      <c r="P51" s="65" t="str">
        <f>IFERROR(VLOOKUP(TableHandbook[[#This Row],[UDC]],TableMJRUGEOGR[],7,FALSE),"")</f>
        <v/>
      </c>
      <c r="Q51" s="65" t="str">
        <f>IFERROR(VLOOKUP(TableHandbook[[#This Row],[UDC]],TableMJRUHISTR[],7,FALSE),"")</f>
        <v/>
      </c>
      <c r="R51" s="65" t="str">
        <f>IFERROR(VLOOKUP(TableHandbook[[#This Row],[UDC]],TableMJRUINAUC[],7,FALSE),"")</f>
        <v/>
      </c>
      <c r="S51" s="65" t="str">
        <f>IFERROR(VLOOKUP(TableHandbook[[#This Row],[UDC]],TableMJRUINTRL[],7,FALSE),"")</f>
        <v/>
      </c>
      <c r="T51" s="65" t="str">
        <f>IFERROR(VLOOKUP(TableHandbook[[#This Row],[UDC]],TableMJRUJAPAN[],7,FALSE),"")</f>
        <v/>
      </c>
      <c r="U51" s="65" t="str">
        <f>IFERROR(VLOOKUP(TableHandbook[[#This Row],[UDC]],TableMJRUJOURN[],7,FALSE),"")</f>
        <v/>
      </c>
      <c r="V51" s="65" t="str">
        <f>IFERROR(VLOOKUP(TableHandbook[[#This Row],[UDC]],TableMJRUKORES[],7,FALSE),"")</f>
        <v/>
      </c>
      <c r="W51" s="65" t="str">
        <f>IFERROR(VLOOKUP(TableHandbook[[#This Row],[UDC]],TableMJRULITCU[],7,FALSE),"")</f>
        <v/>
      </c>
      <c r="X51" s="65" t="str">
        <f>IFERROR(VLOOKUP(TableHandbook[[#This Row],[UDC]],TableMJRUNETCM[],7,FALSE),"")</f>
        <v/>
      </c>
      <c r="Y51" s="65" t="str">
        <f>IFERROR(VLOOKUP(TableHandbook[[#This Row],[UDC]],TableMJRUPRWRP[],7,FALSE),"")</f>
        <v/>
      </c>
      <c r="Z51" s="66" t="str">
        <f>IFERROR(VLOOKUP(TableHandbook[[#This Row],[UDC]],TableMJRUSCSTR[],7,FALSE),"")</f>
        <v/>
      </c>
      <c r="AA51" s="74"/>
      <c r="AB51" s="66" t="str">
        <f>IFERROR(VLOOKUP(TableHandbook[[#This Row],[UDC]],TableMJRUBSLAW[],7,FALSE),"")</f>
        <v/>
      </c>
      <c r="AC51" s="66" t="str">
        <f>IFERROR(VLOOKUP(TableHandbook[[#This Row],[UDC]],TableMJRUECONS[],7,FALSE),"")</f>
        <v/>
      </c>
      <c r="AD51" s="66" t="str">
        <f>IFERROR(VLOOKUP(TableHandbook[[#This Row],[UDC]],TableMJRUFINAR[],7,FALSE),"")</f>
        <v/>
      </c>
      <c r="AE51" s="66" t="str">
        <f>IFERROR(VLOOKUP(TableHandbook[[#This Row],[UDC]],TableMJRUFINCE[],7,FALSE),"")</f>
        <v/>
      </c>
      <c r="AF51" s="66" t="str">
        <f>IFERROR(VLOOKUP(TableHandbook[[#This Row],[UDC]],TableMJRUHRMGM[],7,FALSE),"")</f>
        <v/>
      </c>
      <c r="AG51" s="66" t="str">
        <f>IFERROR(VLOOKUP(TableHandbook[[#This Row],[UDC]],TableMJRUINTBU[],7,FALSE),"")</f>
        <v/>
      </c>
      <c r="AH51" s="66" t="str">
        <f>IFERROR(VLOOKUP(TableHandbook[[#This Row],[UDC]],TableMJRULGSCM[],7,FALSE),"")</f>
        <v/>
      </c>
      <c r="AI51" s="66" t="str">
        <f>IFERROR(VLOOKUP(TableHandbook[[#This Row],[UDC]],TableMJRUMNGMT[],7,FALSE),"")</f>
        <v/>
      </c>
      <c r="AJ51" s="66" t="str">
        <f>IFERROR(VLOOKUP(TableHandbook[[#This Row],[UDC]],TableMJRUMRKTG[],7,FALSE),"")</f>
        <v/>
      </c>
      <c r="AK51" s="66" t="str">
        <f>IFERROR(VLOOKUP(TableHandbook[[#This Row],[UDC]],TableMJRUPRPTY[],7,FALSE),"")</f>
        <v/>
      </c>
      <c r="AL51" s="66" t="str">
        <f>IFERROR(VLOOKUP(TableHandbook[[#This Row],[UDC]],TableMJRUSCRAR[],7,FALSE),"")</f>
        <v/>
      </c>
      <c r="AM51" s="66" t="str">
        <f>IFERROR(VLOOKUP(TableHandbook[[#This Row],[UDC]],TableMJRUTHTRA[],7,FALSE),"")</f>
        <v/>
      </c>
      <c r="AN51" s="66" t="str">
        <f>IFERROR(VLOOKUP(TableHandbook[[#This Row],[UDC]],TableMJRUTRHOS[],7,FALSE),"")</f>
        <v/>
      </c>
    </row>
    <row r="52" spans="1:40" x14ac:dyDescent="0.25">
      <c r="A52" s="8" t="s">
        <v>308</v>
      </c>
      <c r="B52" s="9">
        <v>2</v>
      </c>
      <c r="C52" s="8"/>
      <c r="D52" s="8" t="s">
        <v>563</v>
      </c>
      <c r="E52" s="9">
        <v>25</v>
      </c>
      <c r="F52" s="49" t="s">
        <v>564</v>
      </c>
      <c r="G52" s="67" t="str">
        <f>IFERROR(IF(VLOOKUP(TableHandbook[[#This Row],[UDC]],TableAvailabilities[],2,FALSE)&gt;0,"Y",""),"")</f>
        <v/>
      </c>
      <c r="H52" s="68" t="str">
        <f>IFERROR(IF(VLOOKUP(TableHandbook[[#This Row],[UDC]],TableAvailabilities[],3,FALSE)&gt;0,"Y",""),"")</f>
        <v/>
      </c>
      <c r="I52" s="69" t="str">
        <f>IFERROR(IF(VLOOKUP(TableHandbook[[#This Row],[UDC]],TableAvailabilities[],4,FALSE)&gt;0,"Y",""),"")</f>
        <v>Y</v>
      </c>
      <c r="J52" s="70" t="str">
        <f>IFERROR(IF(VLOOKUP(TableHandbook[[#This Row],[UDC]],TableAvailabilities[],5,FALSE)&gt;0,"Y",""),"")</f>
        <v>Y</v>
      </c>
      <c r="K52" s="163"/>
      <c r="L52" s="64" t="str">
        <f>IFERROR(VLOOKUP(TableHandbook[[#This Row],[UDC]],TableBARTS[],7,FALSE),"")</f>
        <v/>
      </c>
      <c r="M52" s="65" t="str">
        <f>IFERROR(VLOOKUP(TableHandbook[[#This Row],[UDC]],TableMJRUANTSO[],7,FALSE),"")</f>
        <v/>
      </c>
      <c r="N52" s="65" t="str">
        <f>IFERROR(VLOOKUP(TableHandbook[[#This Row],[UDC]],TableMJRUCHNSE[],7,FALSE),"")</f>
        <v/>
      </c>
      <c r="O52" s="65" t="str">
        <f>IFERROR(VLOOKUP(TableHandbook[[#This Row],[UDC]],TableMJRUCRWRI[],7,FALSE),"")</f>
        <v/>
      </c>
      <c r="P52" s="65" t="str">
        <f>IFERROR(VLOOKUP(TableHandbook[[#This Row],[UDC]],TableMJRUGEOGR[],7,FALSE),"")</f>
        <v/>
      </c>
      <c r="Q52" s="65" t="str">
        <f>IFERROR(VLOOKUP(TableHandbook[[#This Row],[UDC]],TableMJRUHISTR[],7,FALSE),"")</f>
        <v/>
      </c>
      <c r="R52" s="65" t="str">
        <f>IFERROR(VLOOKUP(TableHandbook[[#This Row],[UDC]],TableMJRUINAUC[],7,FALSE),"")</f>
        <v/>
      </c>
      <c r="S52" s="65" t="str">
        <f>IFERROR(VLOOKUP(TableHandbook[[#This Row],[UDC]],TableMJRUINTRL[],7,FALSE),"")</f>
        <v/>
      </c>
      <c r="T52" s="65" t="str">
        <f>IFERROR(VLOOKUP(TableHandbook[[#This Row],[UDC]],TableMJRUJAPAN[],7,FALSE),"")</f>
        <v/>
      </c>
      <c r="U52" s="65" t="str">
        <f>IFERROR(VLOOKUP(TableHandbook[[#This Row],[UDC]],TableMJRUJOURN[],7,FALSE),"")</f>
        <v/>
      </c>
      <c r="V52" s="65" t="str">
        <f>IFERROR(VLOOKUP(TableHandbook[[#This Row],[UDC]],TableMJRUKORES[],7,FALSE),"")</f>
        <v/>
      </c>
      <c r="W52" s="65" t="str">
        <f>IFERROR(VLOOKUP(TableHandbook[[#This Row],[UDC]],TableMJRULITCU[],7,FALSE),"")</f>
        <v>Option</v>
      </c>
      <c r="X52" s="65" t="str">
        <f>IFERROR(VLOOKUP(TableHandbook[[#This Row],[UDC]],TableMJRUNETCM[],7,FALSE),"")</f>
        <v/>
      </c>
      <c r="Y52" s="65" t="str">
        <f>IFERROR(VLOOKUP(TableHandbook[[#This Row],[UDC]],TableMJRUPRWRP[],7,FALSE),"")</f>
        <v/>
      </c>
      <c r="Z52" s="66" t="str">
        <f>IFERROR(VLOOKUP(TableHandbook[[#This Row],[UDC]],TableMJRUSCSTR[],7,FALSE),"")</f>
        <v/>
      </c>
      <c r="AA52" s="74"/>
      <c r="AB52" s="66" t="str">
        <f>IFERROR(VLOOKUP(TableHandbook[[#This Row],[UDC]],TableMJRUBSLAW[],7,FALSE),"")</f>
        <v/>
      </c>
      <c r="AC52" s="66" t="str">
        <f>IFERROR(VLOOKUP(TableHandbook[[#This Row],[UDC]],TableMJRUECONS[],7,FALSE),"")</f>
        <v/>
      </c>
      <c r="AD52" s="66" t="str">
        <f>IFERROR(VLOOKUP(TableHandbook[[#This Row],[UDC]],TableMJRUFINAR[],7,FALSE),"")</f>
        <v/>
      </c>
      <c r="AE52" s="66" t="str">
        <f>IFERROR(VLOOKUP(TableHandbook[[#This Row],[UDC]],TableMJRUFINCE[],7,FALSE),"")</f>
        <v/>
      </c>
      <c r="AF52" s="66" t="str">
        <f>IFERROR(VLOOKUP(TableHandbook[[#This Row],[UDC]],TableMJRUHRMGM[],7,FALSE),"")</f>
        <v/>
      </c>
      <c r="AG52" s="66" t="str">
        <f>IFERROR(VLOOKUP(TableHandbook[[#This Row],[UDC]],TableMJRUINTBU[],7,FALSE),"")</f>
        <v/>
      </c>
      <c r="AH52" s="66" t="str">
        <f>IFERROR(VLOOKUP(TableHandbook[[#This Row],[UDC]],TableMJRULGSCM[],7,FALSE),"")</f>
        <v/>
      </c>
      <c r="AI52" s="66" t="str">
        <f>IFERROR(VLOOKUP(TableHandbook[[#This Row],[UDC]],TableMJRUMNGMT[],7,FALSE),"")</f>
        <v/>
      </c>
      <c r="AJ52" s="66" t="str">
        <f>IFERROR(VLOOKUP(TableHandbook[[#This Row],[UDC]],TableMJRUMRKTG[],7,FALSE),"")</f>
        <v/>
      </c>
      <c r="AK52" s="66" t="str">
        <f>IFERROR(VLOOKUP(TableHandbook[[#This Row],[UDC]],TableMJRUPRPTY[],7,FALSE),"")</f>
        <v/>
      </c>
      <c r="AL52" s="66" t="str">
        <f>IFERROR(VLOOKUP(TableHandbook[[#This Row],[UDC]],TableMJRUSCRAR[],7,FALSE),"")</f>
        <v/>
      </c>
      <c r="AM52" s="66" t="str">
        <f>IFERROR(VLOOKUP(TableHandbook[[#This Row],[UDC]],TableMJRUTHTRA[],7,FALSE),"")</f>
        <v/>
      </c>
      <c r="AN52" s="66" t="str">
        <f>IFERROR(VLOOKUP(TableHandbook[[#This Row],[UDC]],TableMJRUTRHOS[],7,FALSE),"")</f>
        <v/>
      </c>
    </row>
    <row r="53" spans="1:40" ht="26.25" x14ac:dyDescent="0.25">
      <c r="A53" s="8" t="s">
        <v>302</v>
      </c>
      <c r="B53" s="9">
        <v>1</v>
      </c>
      <c r="C53" s="8"/>
      <c r="D53" s="8" t="s">
        <v>565</v>
      </c>
      <c r="E53" s="9">
        <v>25</v>
      </c>
      <c r="F53" s="49" t="s">
        <v>566</v>
      </c>
      <c r="G53" s="67" t="str">
        <f>IFERROR(IF(VLOOKUP(TableHandbook[[#This Row],[UDC]],TableAvailabilities[],2,FALSE)&gt;0,"Y",""),"")</f>
        <v>Y</v>
      </c>
      <c r="H53" s="68" t="str">
        <f>IFERROR(IF(VLOOKUP(TableHandbook[[#This Row],[UDC]],TableAvailabilities[],3,FALSE)&gt;0,"Y",""),"")</f>
        <v>Y</v>
      </c>
      <c r="I53" s="69" t="str">
        <f>IFERROR(IF(VLOOKUP(TableHandbook[[#This Row],[UDC]],TableAvailabilities[],4,FALSE)&gt;0,"Y",""),"")</f>
        <v/>
      </c>
      <c r="J53" s="70" t="str">
        <f>IFERROR(IF(VLOOKUP(TableHandbook[[#This Row],[UDC]],TableAvailabilities[],5,FALSE)&gt;0,"Y",""),"")</f>
        <v/>
      </c>
      <c r="K53" s="163"/>
      <c r="L53" s="64" t="str">
        <f>IFERROR(VLOOKUP(TableHandbook[[#This Row],[UDC]],TableBARTS[],7,FALSE),"")</f>
        <v/>
      </c>
      <c r="M53" s="65" t="str">
        <f>IFERROR(VLOOKUP(TableHandbook[[#This Row],[UDC]],TableMJRUANTSO[],7,FALSE),"")</f>
        <v/>
      </c>
      <c r="N53" s="65" t="str">
        <f>IFERROR(VLOOKUP(TableHandbook[[#This Row],[UDC]],TableMJRUCHNSE[],7,FALSE),"")</f>
        <v/>
      </c>
      <c r="O53" s="65" t="str">
        <f>IFERROR(VLOOKUP(TableHandbook[[#This Row],[UDC]],TableMJRUCRWRI[],7,FALSE),"")</f>
        <v/>
      </c>
      <c r="P53" s="65" t="str">
        <f>IFERROR(VLOOKUP(TableHandbook[[#This Row],[UDC]],TableMJRUGEOGR[],7,FALSE),"")</f>
        <v/>
      </c>
      <c r="Q53" s="65" t="str">
        <f>IFERROR(VLOOKUP(TableHandbook[[#This Row],[UDC]],TableMJRUHISTR[],7,FALSE),"")</f>
        <v/>
      </c>
      <c r="R53" s="65" t="str">
        <f>IFERROR(VLOOKUP(TableHandbook[[#This Row],[UDC]],TableMJRUINAUC[],7,FALSE),"")</f>
        <v/>
      </c>
      <c r="S53" s="65" t="str">
        <f>IFERROR(VLOOKUP(TableHandbook[[#This Row],[UDC]],TableMJRUINTRL[],7,FALSE),"")</f>
        <v/>
      </c>
      <c r="T53" s="65" t="str">
        <f>IFERROR(VLOOKUP(TableHandbook[[#This Row],[UDC]],TableMJRUJAPAN[],7,FALSE),"")</f>
        <v/>
      </c>
      <c r="U53" s="65" t="str">
        <f>IFERROR(VLOOKUP(TableHandbook[[#This Row],[UDC]],TableMJRUJOURN[],7,FALSE),"")</f>
        <v/>
      </c>
      <c r="V53" s="65" t="str">
        <f>IFERROR(VLOOKUP(TableHandbook[[#This Row],[UDC]],TableMJRUKORES[],7,FALSE),"")</f>
        <v>AltCore</v>
      </c>
      <c r="W53" s="65" t="str">
        <f>IFERROR(VLOOKUP(TableHandbook[[#This Row],[UDC]],TableMJRULITCU[],7,FALSE),"")</f>
        <v>Option</v>
      </c>
      <c r="X53" s="65" t="str">
        <f>IFERROR(VLOOKUP(TableHandbook[[#This Row],[UDC]],TableMJRUNETCM[],7,FALSE),"")</f>
        <v/>
      </c>
      <c r="Y53" s="65" t="str">
        <f>IFERROR(VLOOKUP(TableHandbook[[#This Row],[UDC]],TableMJRUPRWRP[],7,FALSE),"")</f>
        <v/>
      </c>
      <c r="Z53" s="66" t="str">
        <f>IFERROR(VLOOKUP(TableHandbook[[#This Row],[UDC]],TableMJRUSCSTR[],7,FALSE),"")</f>
        <v/>
      </c>
      <c r="AA53" s="74"/>
      <c r="AB53" s="66" t="str">
        <f>IFERROR(VLOOKUP(TableHandbook[[#This Row],[UDC]],TableMJRUBSLAW[],7,FALSE),"")</f>
        <v/>
      </c>
      <c r="AC53" s="66" t="str">
        <f>IFERROR(VLOOKUP(TableHandbook[[#This Row],[UDC]],TableMJRUECONS[],7,FALSE),"")</f>
        <v/>
      </c>
      <c r="AD53" s="66" t="str">
        <f>IFERROR(VLOOKUP(TableHandbook[[#This Row],[UDC]],TableMJRUFINAR[],7,FALSE),"")</f>
        <v/>
      </c>
      <c r="AE53" s="66" t="str">
        <f>IFERROR(VLOOKUP(TableHandbook[[#This Row],[UDC]],TableMJRUFINCE[],7,FALSE),"")</f>
        <v/>
      </c>
      <c r="AF53" s="66" t="str">
        <f>IFERROR(VLOOKUP(TableHandbook[[#This Row],[UDC]],TableMJRUHRMGM[],7,FALSE),"")</f>
        <v/>
      </c>
      <c r="AG53" s="66" t="str">
        <f>IFERROR(VLOOKUP(TableHandbook[[#This Row],[UDC]],TableMJRUINTBU[],7,FALSE),"")</f>
        <v/>
      </c>
      <c r="AH53" s="66" t="str">
        <f>IFERROR(VLOOKUP(TableHandbook[[#This Row],[UDC]],TableMJRULGSCM[],7,FALSE),"")</f>
        <v/>
      </c>
      <c r="AI53" s="66" t="str">
        <f>IFERROR(VLOOKUP(TableHandbook[[#This Row],[UDC]],TableMJRUMNGMT[],7,FALSE),"")</f>
        <v/>
      </c>
      <c r="AJ53" s="66" t="str">
        <f>IFERROR(VLOOKUP(TableHandbook[[#This Row],[UDC]],TableMJRUMRKTG[],7,FALSE),"")</f>
        <v/>
      </c>
      <c r="AK53" s="66" t="str">
        <f>IFERROR(VLOOKUP(TableHandbook[[#This Row],[UDC]],TableMJRUPRPTY[],7,FALSE),"")</f>
        <v/>
      </c>
      <c r="AL53" s="66" t="str">
        <f>IFERROR(VLOOKUP(TableHandbook[[#This Row],[UDC]],TableMJRUSCRAR[],7,FALSE),"")</f>
        <v/>
      </c>
      <c r="AM53" s="66" t="str">
        <f>IFERROR(VLOOKUP(TableHandbook[[#This Row],[UDC]],TableMJRUTHTRA[],7,FALSE),"")</f>
        <v/>
      </c>
      <c r="AN53" s="66" t="str">
        <f>IFERROR(VLOOKUP(TableHandbook[[#This Row],[UDC]],TableMJRUTRHOS[],7,FALSE),"")</f>
        <v/>
      </c>
    </row>
    <row r="54" spans="1:40" x14ac:dyDescent="0.25">
      <c r="A54" s="8" t="s">
        <v>46</v>
      </c>
      <c r="B54" s="9">
        <v>1</v>
      </c>
      <c r="C54" s="8"/>
      <c r="D54" s="8" t="s">
        <v>567</v>
      </c>
      <c r="E54" s="9">
        <v>25</v>
      </c>
      <c r="F54" s="49" t="s">
        <v>526</v>
      </c>
      <c r="G54" s="67" t="str">
        <f>IFERROR(IF(VLOOKUP(TableHandbook[[#This Row],[UDC]],TableAvailabilities[],2,FALSE)&gt;0,"Y",""),"")</f>
        <v/>
      </c>
      <c r="H54" s="68" t="str">
        <f>IFERROR(IF(VLOOKUP(TableHandbook[[#This Row],[UDC]],TableAvailabilities[],3,FALSE)&gt;0,"Y",""),"")</f>
        <v/>
      </c>
      <c r="I54" s="69" t="str">
        <f>IFERROR(IF(VLOOKUP(TableHandbook[[#This Row],[UDC]],TableAvailabilities[],4,FALSE)&gt;0,"Y",""),"")</f>
        <v>Y</v>
      </c>
      <c r="J54" s="70" t="str">
        <f>IFERROR(IF(VLOOKUP(TableHandbook[[#This Row],[UDC]],TableAvailabilities[],5,FALSE)&gt;0,"Y",""),"")</f>
        <v/>
      </c>
      <c r="K54" s="163"/>
      <c r="L54" s="64" t="str">
        <f>IFERROR(VLOOKUP(TableHandbook[[#This Row],[UDC]],TableBARTS[],7,FALSE),"")</f>
        <v>Option</v>
      </c>
      <c r="M54" s="65" t="str">
        <f>IFERROR(VLOOKUP(TableHandbook[[#This Row],[UDC]],TableMJRUANTSO[],7,FALSE),"")</f>
        <v/>
      </c>
      <c r="N54" s="47" t="str">
        <f>IFERROR(VLOOKUP(TableHandbook[[#This Row],[UDC]],TableMJRUCHNSE[],7,FALSE),"")</f>
        <v/>
      </c>
      <c r="O54" s="47" t="str">
        <f>IFERROR(VLOOKUP(TableHandbook[[#This Row],[UDC]],TableMJRUCRWRI[],7,FALSE),"")</f>
        <v/>
      </c>
      <c r="P54" s="47" t="str">
        <f>IFERROR(VLOOKUP(TableHandbook[[#This Row],[UDC]],TableMJRUGEOGR[],7,FALSE),"")</f>
        <v/>
      </c>
      <c r="Q54" s="47" t="str">
        <f>IFERROR(VLOOKUP(TableHandbook[[#This Row],[UDC]],TableMJRUHISTR[],7,FALSE),"")</f>
        <v/>
      </c>
      <c r="R54" s="47" t="str">
        <f>IFERROR(VLOOKUP(TableHandbook[[#This Row],[UDC]],TableMJRUINAUC[],7,FALSE),"")</f>
        <v/>
      </c>
      <c r="S54" s="47" t="str">
        <f>IFERROR(VLOOKUP(TableHandbook[[#This Row],[UDC]],TableMJRUINTRL[],7,FALSE),"")</f>
        <v/>
      </c>
      <c r="T54" s="47" t="str">
        <f>IFERROR(VLOOKUP(TableHandbook[[#This Row],[UDC]],TableMJRUJAPAN[],7,FALSE),"")</f>
        <v/>
      </c>
      <c r="U54" s="47" t="str">
        <f>IFERROR(VLOOKUP(TableHandbook[[#This Row],[UDC]],TableMJRUJOURN[],7,FALSE),"")</f>
        <v/>
      </c>
      <c r="V54" s="65" t="str">
        <f>IFERROR(VLOOKUP(TableHandbook[[#This Row],[UDC]],TableMJRUKORES[],7,FALSE),"")</f>
        <v/>
      </c>
      <c r="W54" s="65" t="str">
        <f>IFERROR(VLOOKUP(TableHandbook[[#This Row],[UDC]],TableMJRULITCU[],7,FALSE),"")</f>
        <v/>
      </c>
      <c r="X54" s="65" t="str">
        <f>IFERROR(VLOOKUP(TableHandbook[[#This Row],[UDC]],TableMJRUNETCM[],7,FALSE),"")</f>
        <v/>
      </c>
      <c r="Y54" s="65" t="str">
        <f>IFERROR(VLOOKUP(TableHandbook[[#This Row],[UDC]],TableMJRUPRWRP[],7,FALSE),"")</f>
        <v/>
      </c>
      <c r="Z54" s="66" t="str">
        <f>IFERROR(VLOOKUP(TableHandbook[[#This Row],[UDC]],TableMJRUSCSTR[],7,FALSE),"")</f>
        <v/>
      </c>
      <c r="AA54" s="74"/>
      <c r="AB54" s="66" t="str">
        <f>IFERROR(VLOOKUP(TableHandbook[[#This Row],[UDC]],TableMJRUBSLAW[],7,FALSE),"")</f>
        <v/>
      </c>
      <c r="AC54" s="66" t="str">
        <f>IFERROR(VLOOKUP(TableHandbook[[#This Row],[UDC]],TableMJRUECONS[],7,FALSE),"")</f>
        <v/>
      </c>
      <c r="AD54" s="66" t="str">
        <f>IFERROR(VLOOKUP(TableHandbook[[#This Row],[UDC]],TableMJRUFINAR[],7,FALSE),"")</f>
        <v/>
      </c>
      <c r="AE54" s="66" t="str">
        <f>IFERROR(VLOOKUP(TableHandbook[[#This Row],[UDC]],TableMJRUFINCE[],7,FALSE),"")</f>
        <v/>
      </c>
      <c r="AF54" s="66" t="str">
        <f>IFERROR(VLOOKUP(TableHandbook[[#This Row],[UDC]],TableMJRUHRMGM[],7,FALSE),"")</f>
        <v/>
      </c>
      <c r="AG54" s="66" t="str">
        <f>IFERROR(VLOOKUP(TableHandbook[[#This Row],[UDC]],TableMJRUINTBU[],7,FALSE),"")</f>
        <v/>
      </c>
      <c r="AH54" s="66" t="str">
        <f>IFERROR(VLOOKUP(TableHandbook[[#This Row],[UDC]],TableMJRULGSCM[],7,FALSE),"")</f>
        <v/>
      </c>
      <c r="AI54" s="66" t="str">
        <f>IFERROR(VLOOKUP(TableHandbook[[#This Row],[UDC]],TableMJRUMNGMT[],7,FALSE),"")</f>
        <v/>
      </c>
      <c r="AJ54" s="66" t="str">
        <f>IFERROR(VLOOKUP(TableHandbook[[#This Row],[UDC]],TableMJRUMRKTG[],7,FALSE),"")</f>
        <v/>
      </c>
      <c r="AK54" s="66" t="str">
        <f>IFERROR(VLOOKUP(TableHandbook[[#This Row],[UDC]],TableMJRUPRPTY[],7,FALSE),"")</f>
        <v/>
      </c>
      <c r="AL54" s="66" t="str">
        <f>IFERROR(VLOOKUP(TableHandbook[[#This Row],[UDC]],TableMJRUSCRAR[],7,FALSE),"")</f>
        <v/>
      </c>
      <c r="AM54" s="66" t="str">
        <f>IFERROR(VLOOKUP(TableHandbook[[#This Row],[UDC]],TableMJRUTHTRA[],7,FALSE),"")</f>
        <v/>
      </c>
      <c r="AN54" s="66" t="str">
        <f>IFERROR(VLOOKUP(TableHandbook[[#This Row],[UDC]],TableMJRUTRHOS[],7,FALSE),"")</f>
        <v/>
      </c>
    </row>
    <row r="55" spans="1:40" x14ac:dyDescent="0.25">
      <c r="A55" s="8" t="s">
        <v>48</v>
      </c>
      <c r="B55" s="9">
        <v>2</v>
      </c>
      <c r="C55" s="8"/>
      <c r="D55" s="8" t="s">
        <v>568</v>
      </c>
      <c r="E55" s="9">
        <v>25</v>
      </c>
      <c r="F55" s="49" t="s">
        <v>526</v>
      </c>
      <c r="G55" s="67" t="str">
        <f>IFERROR(IF(VLOOKUP(TableHandbook[[#This Row],[UDC]],TableAvailabilities[],2,FALSE)&gt;0,"Y",""),"")</f>
        <v/>
      </c>
      <c r="H55" s="68" t="str">
        <f>IFERROR(IF(VLOOKUP(TableHandbook[[#This Row],[UDC]],TableAvailabilities[],3,FALSE)&gt;0,"Y",""),"")</f>
        <v/>
      </c>
      <c r="I55" s="69" t="str">
        <f>IFERROR(IF(VLOOKUP(TableHandbook[[#This Row],[UDC]],TableAvailabilities[],4,FALSE)&gt;0,"Y",""),"")</f>
        <v>Y</v>
      </c>
      <c r="J55" s="70" t="str">
        <f>IFERROR(IF(VLOOKUP(TableHandbook[[#This Row],[UDC]],TableAvailabilities[],5,FALSE)&gt;0,"Y",""),"")</f>
        <v>Y</v>
      </c>
      <c r="K55" s="163"/>
      <c r="L55" s="64" t="str">
        <f>IFERROR(VLOOKUP(TableHandbook[[#This Row],[UDC]],TableBARTS[],7,FALSE),"")</f>
        <v>Option</v>
      </c>
      <c r="M55" s="65" t="str">
        <f>IFERROR(VLOOKUP(TableHandbook[[#This Row],[UDC]],TableMJRUANTSO[],7,FALSE),"")</f>
        <v/>
      </c>
      <c r="N55" s="65" t="str">
        <f>IFERROR(VLOOKUP(TableHandbook[[#This Row],[UDC]],TableMJRUCHNSE[],7,FALSE),"")</f>
        <v/>
      </c>
      <c r="O55" s="65" t="str">
        <f>IFERROR(VLOOKUP(TableHandbook[[#This Row],[UDC]],TableMJRUCRWRI[],7,FALSE),"")</f>
        <v/>
      </c>
      <c r="P55" s="65" t="str">
        <f>IFERROR(VLOOKUP(TableHandbook[[#This Row],[UDC]],TableMJRUGEOGR[],7,FALSE),"")</f>
        <v/>
      </c>
      <c r="Q55" s="65" t="str">
        <f>IFERROR(VLOOKUP(TableHandbook[[#This Row],[UDC]],TableMJRUHISTR[],7,FALSE),"")</f>
        <v/>
      </c>
      <c r="R55" s="65" t="str">
        <f>IFERROR(VLOOKUP(TableHandbook[[#This Row],[UDC]],TableMJRUINAUC[],7,FALSE),"")</f>
        <v/>
      </c>
      <c r="S55" s="65" t="str">
        <f>IFERROR(VLOOKUP(TableHandbook[[#This Row],[UDC]],TableMJRUINTRL[],7,FALSE),"")</f>
        <v/>
      </c>
      <c r="T55" s="65" t="str">
        <f>IFERROR(VLOOKUP(TableHandbook[[#This Row],[UDC]],TableMJRUJAPAN[],7,FALSE),"")</f>
        <v/>
      </c>
      <c r="U55" s="65" t="str">
        <f>IFERROR(VLOOKUP(TableHandbook[[#This Row],[UDC]],TableMJRUJOURN[],7,FALSE),"")</f>
        <v/>
      </c>
      <c r="V55" s="65" t="str">
        <f>IFERROR(VLOOKUP(TableHandbook[[#This Row],[UDC]],TableMJRUKORES[],7,FALSE),"")</f>
        <v/>
      </c>
      <c r="W55" s="65" t="str">
        <f>IFERROR(VLOOKUP(TableHandbook[[#This Row],[UDC]],TableMJRULITCU[],7,FALSE),"")</f>
        <v/>
      </c>
      <c r="X55" s="65" t="str">
        <f>IFERROR(VLOOKUP(TableHandbook[[#This Row],[UDC]],TableMJRUNETCM[],7,FALSE),"")</f>
        <v/>
      </c>
      <c r="Y55" s="65" t="str">
        <f>IFERROR(VLOOKUP(TableHandbook[[#This Row],[UDC]],TableMJRUPRWRP[],7,FALSE),"")</f>
        <v/>
      </c>
      <c r="Z55" s="66" t="str">
        <f>IFERROR(VLOOKUP(TableHandbook[[#This Row],[UDC]],TableMJRUSCSTR[],7,FALSE),"")</f>
        <v/>
      </c>
      <c r="AA55" s="74"/>
      <c r="AB55" s="66" t="str">
        <f>IFERROR(VLOOKUP(TableHandbook[[#This Row],[UDC]],TableMJRUBSLAW[],7,FALSE),"")</f>
        <v/>
      </c>
      <c r="AC55" s="66" t="str">
        <f>IFERROR(VLOOKUP(TableHandbook[[#This Row],[UDC]],TableMJRUECONS[],7,FALSE),"")</f>
        <v/>
      </c>
      <c r="AD55" s="66" t="str">
        <f>IFERROR(VLOOKUP(TableHandbook[[#This Row],[UDC]],TableMJRUFINAR[],7,FALSE),"")</f>
        <v/>
      </c>
      <c r="AE55" s="66" t="str">
        <f>IFERROR(VLOOKUP(TableHandbook[[#This Row],[UDC]],TableMJRUFINCE[],7,FALSE),"")</f>
        <v/>
      </c>
      <c r="AF55" s="66" t="str">
        <f>IFERROR(VLOOKUP(TableHandbook[[#This Row],[UDC]],TableMJRUHRMGM[],7,FALSE),"")</f>
        <v/>
      </c>
      <c r="AG55" s="66" t="str">
        <f>IFERROR(VLOOKUP(TableHandbook[[#This Row],[UDC]],TableMJRUINTBU[],7,FALSE),"")</f>
        <v/>
      </c>
      <c r="AH55" s="66" t="str">
        <f>IFERROR(VLOOKUP(TableHandbook[[#This Row],[UDC]],TableMJRULGSCM[],7,FALSE),"")</f>
        <v/>
      </c>
      <c r="AI55" s="66" t="str">
        <f>IFERROR(VLOOKUP(TableHandbook[[#This Row],[UDC]],TableMJRUMNGMT[],7,FALSE),"")</f>
        <v/>
      </c>
      <c r="AJ55" s="66" t="str">
        <f>IFERROR(VLOOKUP(TableHandbook[[#This Row],[UDC]],TableMJRUMRKTG[],7,FALSE),"")</f>
        <v/>
      </c>
      <c r="AK55" s="66" t="str">
        <f>IFERROR(VLOOKUP(TableHandbook[[#This Row],[UDC]],TableMJRUPRPTY[],7,FALSE),"")</f>
        <v/>
      </c>
      <c r="AL55" s="66" t="str">
        <f>IFERROR(VLOOKUP(TableHandbook[[#This Row],[UDC]],TableMJRUSCRAR[],7,FALSE),"")</f>
        <v/>
      </c>
      <c r="AM55" s="66" t="str">
        <f>IFERROR(VLOOKUP(TableHandbook[[#This Row],[UDC]],TableMJRUTHTRA[],7,FALSE),"")</f>
        <v/>
      </c>
      <c r="AN55" s="66" t="str">
        <f>IFERROR(VLOOKUP(TableHandbook[[#This Row],[UDC]],TableMJRUTRHOS[],7,FALSE),"")</f>
        <v/>
      </c>
    </row>
    <row r="56" spans="1:40" x14ac:dyDescent="0.25">
      <c r="A56" s="8" t="s">
        <v>198</v>
      </c>
      <c r="B56" s="9">
        <v>1</v>
      </c>
      <c r="C56" s="8"/>
      <c r="D56" s="8" t="s">
        <v>569</v>
      </c>
      <c r="E56" s="9">
        <v>25</v>
      </c>
      <c r="F56" s="49" t="s">
        <v>526</v>
      </c>
      <c r="G56" s="67" t="str">
        <f>IFERROR(IF(VLOOKUP(TableHandbook[[#This Row],[UDC]],TableAvailabilities[],2,FALSE)&gt;0,"Y",""),"")</f>
        <v>Y</v>
      </c>
      <c r="H56" s="68" t="str">
        <f>IFERROR(IF(VLOOKUP(TableHandbook[[#This Row],[UDC]],TableAvailabilities[],3,FALSE)&gt;0,"Y",""),"")</f>
        <v/>
      </c>
      <c r="I56" s="69" t="str">
        <f>IFERROR(IF(VLOOKUP(TableHandbook[[#This Row],[UDC]],TableAvailabilities[],4,FALSE)&gt;0,"Y",""),"")</f>
        <v/>
      </c>
      <c r="J56" s="70" t="str">
        <f>IFERROR(IF(VLOOKUP(TableHandbook[[#This Row],[UDC]],TableAvailabilities[],5,FALSE)&gt;0,"Y",""),"")</f>
        <v/>
      </c>
      <c r="K56" s="163"/>
      <c r="L56" s="64" t="str">
        <f>IFERROR(VLOOKUP(TableHandbook[[#This Row],[UDC]],TableBARTS[],7,FALSE),"")</f>
        <v/>
      </c>
      <c r="M56" s="65" t="str">
        <f>IFERROR(VLOOKUP(TableHandbook[[#This Row],[UDC]],TableMJRUANTSO[],7,FALSE),"")</f>
        <v/>
      </c>
      <c r="N56" s="65" t="str">
        <f>IFERROR(VLOOKUP(TableHandbook[[#This Row],[UDC]],TableMJRUCHNSE[],7,FALSE),"")</f>
        <v/>
      </c>
      <c r="O56" s="65" t="str">
        <f>IFERROR(VLOOKUP(TableHandbook[[#This Row],[UDC]],TableMJRUCRWRI[],7,FALSE),"")</f>
        <v>Core</v>
      </c>
      <c r="P56" s="65" t="str">
        <f>IFERROR(VLOOKUP(TableHandbook[[#This Row],[UDC]],TableMJRUGEOGR[],7,FALSE),"")</f>
        <v/>
      </c>
      <c r="Q56" s="65" t="str">
        <f>IFERROR(VLOOKUP(TableHandbook[[#This Row],[UDC]],TableMJRUHISTR[],7,FALSE),"")</f>
        <v/>
      </c>
      <c r="R56" s="65" t="str">
        <f>IFERROR(VLOOKUP(TableHandbook[[#This Row],[UDC]],TableMJRUINAUC[],7,FALSE),"")</f>
        <v/>
      </c>
      <c r="S56" s="65" t="str">
        <f>IFERROR(VLOOKUP(TableHandbook[[#This Row],[UDC]],TableMJRUINTRL[],7,FALSE),"")</f>
        <v/>
      </c>
      <c r="T56" s="65" t="str">
        <f>IFERROR(VLOOKUP(TableHandbook[[#This Row],[UDC]],TableMJRUJAPAN[],7,FALSE),"")</f>
        <v/>
      </c>
      <c r="U56" s="65" t="str">
        <f>IFERROR(VLOOKUP(TableHandbook[[#This Row],[UDC]],TableMJRUJOURN[],7,FALSE),"")</f>
        <v/>
      </c>
      <c r="V56" s="65" t="str">
        <f>IFERROR(VLOOKUP(TableHandbook[[#This Row],[UDC]],TableMJRUKORES[],7,FALSE),"")</f>
        <v/>
      </c>
      <c r="W56" s="65" t="str">
        <f>IFERROR(VLOOKUP(TableHandbook[[#This Row],[UDC]],TableMJRULITCU[],7,FALSE),"")</f>
        <v>Option</v>
      </c>
      <c r="X56" s="65" t="str">
        <f>IFERROR(VLOOKUP(TableHandbook[[#This Row],[UDC]],TableMJRUNETCM[],7,FALSE),"")</f>
        <v/>
      </c>
      <c r="Y56" s="65" t="str">
        <f>IFERROR(VLOOKUP(TableHandbook[[#This Row],[UDC]],TableMJRUPRWRP[],7,FALSE),"")</f>
        <v/>
      </c>
      <c r="Z56" s="66" t="str">
        <f>IFERROR(VLOOKUP(TableHandbook[[#This Row],[UDC]],TableMJRUSCSTR[],7,FALSE),"")</f>
        <v/>
      </c>
      <c r="AA56" s="74"/>
      <c r="AB56" s="66" t="str">
        <f>IFERROR(VLOOKUP(TableHandbook[[#This Row],[UDC]],TableMJRUBSLAW[],7,FALSE),"")</f>
        <v/>
      </c>
      <c r="AC56" s="66" t="str">
        <f>IFERROR(VLOOKUP(TableHandbook[[#This Row],[UDC]],TableMJRUECONS[],7,FALSE),"")</f>
        <v/>
      </c>
      <c r="AD56" s="66" t="str">
        <f>IFERROR(VLOOKUP(TableHandbook[[#This Row],[UDC]],TableMJRUFINAR[],7,FALSE),"")</f>
        <v/>
      </c>
      <c r="AE56" s="66" t="str">
        <f>IFERROR(VLOOKUP(TableHandbook[[#This Row],[UDC]],TableMJRUFINCE[],7,FALSE),"")</f>
        <v/>
      </c>
      <c r="AF56" s="66" t="str">
        <f>IFERROR(VLOOKUP(TableHandbook[[#This Row],[UDC]],TableMJRUHRMGM[],7,FALSE),"")</f>
        <v/>
      </c>
      <c r="AG56" s="66" t="str">
        <f>IFERROR(VLOOKUP(TableHandbook[[#This Row],[UDC]],TableMJRUINTBU[],7,FALSE),"")</f>
        <v/>
      </c>
      <c r="AH56" s="66" t="str">
        <f>IFERROR(VLOOKUP(TableHandbook[[#This Row],[UDC]],TableMJRULGSCM[],7,FALSE),"")</f>
        <v/>
      </c>
      <c r="AI56" s="66" t="str">
        <f>IFERROR(VLOOKUP(TableHandbook[[#This Row],[UDC]],TableMJRUMNGMT[],7,FALSE),"")</f>
        <v/>
      </c>
      <c r="AJ56" s="66" t="str">
        <f>IFERROR(VLOOKUP(TableHandbook[[#This Row],[UDC]],TableMJRUMRKTG[],7,FALSE),"")</f>
        <v/>
      </c>
      <c r="AK56" s="66" t="str">
        <f>IFERROR(VLOOKUP(TableHandbook[[#This Row],[UDC]],TableMJRUPRPTY[],7,FALSE),"")</f>
        <v/>
      </c>
      <c r="AL56" s="66" t="str">
        <f>IFERROR(VLOOKUP(TableHandbook[[#This Row],[UDC]],TableMJRUSCRAR[],7,FALSE),"")</f>
        <v/>
      </c>
      <c r="AM56" s="66" t="str">
        <f>IFERROR(VLOOKUP(TableHandbook[[#This Row],[UDC]],TableMJRUTHTRA[],7,FALSE),"")</f>
        <v/>
      </c>
      <c r="AN56" s="66" t="str">
        <f>IFERROR(VLOOKUP(TableHandbook[[#This Row],[UDC]],TableMJRUTRHOS[],7,FALSE),"")</f>
        <v/>
      </c>
    </row>
    <row r="57" spans="1:40" x14ac:dyDescent="0.25">
      <c r="A57" s="8" t="s">
        <v>222</v>
      </c>
      <c r="B57" s="9">
        <v>1</v>
      </c>
      <c r="C57" s="8"/>
      <c r="D57" s="8" t="s">
        <v>570</v>
      </c>
      <c r="E57" s="9">
        <v>25</v>
      </c>
      <c r="F57" s="49" t="s">
        <v>526</v>
      </c>
      <c r="G57" s="67" t="str">
        <f>IFERROR(IF(VLOOKUP(TableHandbook[[#This Row],[UDC]],TableAvailabilities[],2,FALSE)&gt;0,"Y",""),"")</f>
        <v>Y</v>
      </c>
      <c r="H57" s="68" t="str">
        <f>IFERROR(IF(VLOOKUP(TableHandbook[[#This Row],[UDC]],TableAvailabilities[],3,FALSE)&gt;0,"Y",""),"")</f>
        <v/>
      </c>
      <c r="I57" s="69" t="str">
        <f>IFERROR(IF(VLOOKUP(TableHandbook[[#This Row],[UDC]],TableAvailabilities[],4,FALSE)&gt;0,"Y",""),"")</f>
        <v/>
      </c>
      <c r="J57" s="70" t="str">
        <f>IFERROR(IF(VLOOKUP(TableHandbook[[#This Row],[UDC]],TableAvailabilities[],5,FALSE)&gt;0,"Y",""),"")</f>
        <v/>
      </c>
      <c r="K57" s="163"/>
      <c r="L57" s="64" t="str">
        <f>IFERROR(VLOOKUP(TableHandbook[[#This Row],[UDC]],TableBARTS[],7,FALSE),"")</f>
        <v/>
      </c>
      <c r="M57" s="65" t="str">
        <f>IFERROR(VLOOKUP(TableHandbook[[#This Row],[UDC]],TableMJRUANTSO[],7,FALSE),"")</f>
        <v/>
      </c>
      <c r="N57" s="65" t="str">
        <f>IFERROR(VLOOKUP(TableHandbook[[#This Row],[UDC]],TableMJRUCHNSE[],7,FALSE),"")</f>
        <v/>
      </c>
      <c r="O57" s="65" t="str">
        <f>IFERROR(VLOOKUP(TableHandbook[[#This Row],[UDC]],TableMJRUCRWRI[],7,FALSE),"")</f>
        <v>Core</v>
      </c>
      <c r="P57" s="65" t="str">
        <f>IFERROR(VLOOKUP(TableHandbook[[#This Row],[UDC]],TableMJRUGEOGR[],7,FALSE),"")</f>
        <v/>
      </c>
      <c r="Q57" s="65" t="str">
        <f>IFERROR(VLOOKUP(TableHandbook[[#This Row],[UDC]],TableMJRUHISTR[],7,FALSE),"")</f>
        <v/>
      </c>
      <c r="R57" s="65" t="str">
        <f>IFERROR(VLOOKUP(TableHandbook[[#This Row],[UDC]],TableMJRUINAUC[],7,FALSE),"")</f>
        <v/>
      </c>
      <c r="S57" s="65" t="str">
        <f>IFERROR(VLOOKUP(TableHandbook[[#This Row],[UDC]],TableMJRUINTRL[],7,FALSE),"")</f>
        <v/>
      </c>
      <c r="T57" s="65" t="str">
        <f>IFERROR(VLOOKUP(TableHandbook[[#This Row],[UDC]],TableMJRUJAPAN[],7,FALSE),"")</f>
        <v/>
      </c>
      <c r="U57" s="65" t="str">
        <f>IFERROR(VLOOKUP(TableHandbook[[#This Row],[UDC]],TableMJRUJOURN[],7,FALSE),"")</f>
        <v/>
      </c>
      <c r="V57" s="65" t="str">
        <f>IFERROR(VLOOKUP(TableHandbook[[#This Row],[UDC]],TableMJRUKORES[],7,FALSE),"")</f>
        <v/>
      </c>
      <c r="W57" s="65" t="str">
        <f>IFERROR(VLOOKUP(TableHandbook[[#This Row],[UDC]],TableMJRULITCU[],7,FALSE),"")</f>
        <v>Option</v>
      </c>
      <c r="X57" s="65" t="str">
        <f>IFERROR(VLOOKUP(TableHandbook[[#This Row],[UDC]],TableMJRUNETCM[],7,FALSE),"")</f>
        <v/>
      </c>
      <c r="Y57" s="65" t="str">
        <f>IFERROR(VLOOKUP(TableHandbook[[#This Row],[UDC]],TableMJRUPRWRP[],7,FALSE),"")</f>
        <v/>
      </c>
      <c r="Z57" s="66" t="str">
        <f>IFERROR(VLOOKUP(TableHandbook[[#This Row],[UDC]],TableMJRUSCSTR[],7,FALSE),"")</f>
        <v/>
      </c>
      <c r="AA57" s="74"/>
      <c r="AB57" s="66" t="str">
        <f>IFERROR(VLOOKUP(TableHandbook[[#This Row],[UDC]],TableMJRUBSLAW[],7,FALSE),"")</f>
        <v/>
      </c>
      <c r="AC57" s="66" t="str">
        <f>IFERROR(VLOOKUP(TableHandbook[[#This Row],[UDC]],TableMJRUECONS[],7,FALSE),"")</f>
        <v/>
      </c>
      <c r="AD57" s="66" t="str">
        <f>IFERROR(VLOOKUP(TableHandbook[[#This Row],[UDC]],TableMJRUFINAR[],7,FALSE),"")</f>
        <v/>
      </c>
      <c r="AE57" s="66" t="str">
        <f>IFERROR(VLOOKUP(TableHandbook[[#This Row],[UDC]],TableMJRUFINCE[],7,FALSE),"")</f>
        <v/>
      </c>
      <c r="AF57" s="66" t="str">
        <f>IFERROR(VLOOKUP(TableHandbook[[#This Row],[UDC]],TableMJRUHRMGM[],7,FALSE),"")</f>
        <v/>
      </c>
      <c r="AG57" s="66" t="str">
        <f>IFERROR(VLOOKUP(TableHandbook[[#This Row],[UDC]],TableMJRUINTBU[],7,FALSE),"")</f>
        <v/>
      </c>
      <c r="AH57" s="66" t="str">
        <f>IFERROR(VLOOKUP(TableHandbook[[#This Row],[UDC]],TableMJRULGSCM[],7,FALSE),"")</f>
        <v/>
      </c>
      <c r="AI57" s="66" t="str">
        <f>IFERROR(VLOOKUP(TableHandbook[[#This Row],[UDC]],TableMJRUMNGMT[],7,FALSE),"")</f>
        <v/>
      </c>
      <c r="AJ57" s="66" t="str">
        <f>IFERROR(VLOOKUP(TableHandbook[[#This Row],[UDC]],TableMJRUMRKTG[],7,FALSE),"")</f>
        <v/>
      </c>
      <c r="AK57" s="66" t="str">
        <f>IFERROR(VLOOKUP(TableHandbook[[#This Row],[UDC]],TableMJRUPRPTY[],7,FALSE),"")</f>
        <v/>
      </c>
      <c r="AL57" s="66" t="str">
        <f>IFERROR(VLOOKUP(TableHandbook[[#This Row],[UDC]],TableMJRUSCRAR[],7,FALSE),"")</f>
        <v/>
      </c>
      <c r="AM57" s="66" t="str">
        <f>IFERROR(VLOOKUP(TableHandbook[[#This Row],[UDC]],TableMJRUTHTRA[],7,FALSE),"")</f>
        <v/>
      </c>
      <c r="AN57" s="66" t="str">
        <f>IFERROR(VLOOKUP(TableHandbook[[#This Row],[UDC]],TableMJRUTRHOS[],7,FALSE),"")</f>
        <v/>
      </c>
    </row>
    <row r="58" spans="1:40" x14ac:dyDescent="0.25">
      <c r="A58" s="8" t="s">
        <v>199</v>
      </c>
      <c r="B58" s="9">
        <v>1</v>
      </c>
      <c r="C58" s="8"/>
      <c r="D58" s="8" t="s">
        <v>571</v>
      </c>
      <c r="E58" s="9">
        <v>25</v>
      </c>
      <c r="F58" s="49" t="s">
        <v>526</v>
      </c>
      <c r="G58" s="67" t="str">
        <f>IFERROR(IF(VLOOKUP(TableHandbook[[#This Row],[UDC]],TableAvailabilities[],2,FALSE)&gt;0,"Y",""),"")</f>
        <v/>
      </c>
      <c r="H58" s="68" t="str">
        <f>IFERROR(IF(VLOOKUP(TableHandbook[[#This Row],[UDC]],TableAvailabilities[],3,FALSE)&gt;0,"Y",""),"")</f>
        <v/>
      </c>
      <c r="I58" s="69" t="str">
        <f>IFERROR(IF(VLOOKUP(TableHandbook[[#This Row],[UDC]],TableAvailabilities[],4,FALSE)&gt;0,"Y",""),"")</f>
        <v>Y</v>
      </c>
      <c r="J58" s="70" t="str">
        <f>IFERROR(IF(VLOOKUP(TableHandbook[[#This Row],[UDC]],TableAvailabilities[],5,FALSE)&gt;0,"Y",""),"")</f>
        <v/>
      </c>
      <c r="K58" s="163"/>
      <c r="L58" s="64" t="str">
        <f>IFERROR(VLOOKUP(TableHandbook[[#This Row],[UDC]],TableBARTS[],7,FALSE),"")</f>
        <v/>
      </c>
      <c r="M58" s="65" t="str">
        <f>IFERROR(VLOOKUP(TableHandbook[[#This Row],[UDC]],TableMJRUANTSO[],7,FALSE),"")</f>
        <v/>
      </c>
      <c r="N58" s="65" t="str">
        <f>IFERROR(VLOOKUP(TableHandbook[[#This Row],[UDC]],TableMJRUCHNSE[],7,FALSE),"")</f>
        <v/>
      </c>
      <c r="O58" s="65" t="str">
        <f>IFERROR(VLOOKUP(TableHandbook[[#This Row],[UDC]],TableMJRUCRWRI[],7,FALSE),"")</f>
        <v>Core</v>
      </c>
      <c r="P58" s="65" t="str">
        <f>IFERROR(VLOOKUP(TableHandbook[[#This Row],[UDC]],TableMJRUGEOGR[],7,FALSE),"")</f>
        <v/>
      </c>
      <c r="Q58" s="65" t="str">
        <f>IFERROR(VLOOKUP(TableHandbook[[#This Row],[UDC]],TableMJRUHISTR[],7,FALSE),"")</f>
        <v/>
      </c>
      <c r="R58" s="65" t="str">
        <f>IFERROR(VLOOKUP(TableHandbook[[#This Row],[UDC]],TableMJRUINAUC[],7,FALSE),"")</f>
        <v/>
      </c>
      <c r="S58" s="65" t="str">
        <f>IFERROR(VLOOKUP(TableHandbook[[#This Row],[UDC]],TableMJRUINTRL[],7,FALSE),"")</f>
        <v/>
      </c>
      <c r="T58" s="65" t="str">
        <f>IFERROR(VLOOKUP(TableHandbook[[#This Row],[UDC]],TableMJRUJAPAN[],7,FALSE),"")</f>
        <v/>
      </c>
      <c r="U58" s="65" t="str">
        <f>IFERROR(VLOOKUP(TableHandbook[[#This Row],[UDC]],TableMJRUJOURN[],7,FALSE),"")</f>
        <v/>
      </c>
      <c r="V58" s="65" t="str">
        <f>IFERROR(VLOOKUP(TableHandbook[[#This Row],[UDC]],TableMJRUKORES[],7,FALSE),"")</f>
        <v/>
      </c>
      <c r="W58" s="65" t="str">
        <f>IFERROR(VLOOKUP(TableHandbook[[#This Row],[UDC]],TableMJRULITCU[],7,FALSE),"")</f>
        <v/>
      </c>
      <c r="X58" s="65" t="str">
        <f>IFERROR(VLOOKUP(TableHandbook[[#This Row],[UDC]],TableMJRUNETCM[],7,FALSE),"")</f>
        <v/>
      </c>
      <c r="Y58" s="65" t="str">
        <f>IFERROR(VLOOKUP(TableHandbook[[#This Row],[UDC]],TableMJRUPRWRP[],7,FALSE),"")</f>
        <v/>
      </c>
      <c r="Z58" s="66" t="str">
        <f>IFERROR(VLOOKUP(TableHandbook[[#This Row],[UDC]],TableMJRUSCSTR[],7,FALSE),"")</f>
        <v/>
      </c>
      <c r="AA58" s="74"/>
      <c r="AB58" s="66" t="str">
        <f>IFERROR(VLOOKUP(TableHandbook[[#This Row],[UDC]],TableMJRUBSLAW[],7,FALSE),"")</f>
        <v/>
      </c>
      <c r="AC58" s="66" t="str">
        <f>IFERROR(VLOOKUP(TableHandbook[[#This Row],[UDC]],TableMJRUECONS[],7,FALSE),"")</f>
        <v/>
      </c>
      <c r="AD58" s="66" t="str">
        <f>IFERROR(VLOOKUP(TableHandbook[[#This Row],[UDC]],TableMJRUFINAR[],7,FALSE),"")</f>
        <v/>
      </c>
      <c r="AE58" s="66" t="str">
        <f>IFERROR(VLOOKUP(TableHandbook[[#This Row],[UDC]],TableMJRUFINCE[],7,FALSE),"")</f>
        <v/>
      </c>
      <c r="AF58" s="66" t="str">
        <f>IFERROR(VLOOKUP(TableHandbook[[#This Row],[UDC]],TableMJRUHRMGM[],7,FALSE),"")</f>
        <v/>
      </c>
      <c r="AG58" s="66" t="str">
        <f>IFERROR(VLOOKUP(TableHandbook[[#This Row],[UDC]],TableMJRUINTBU[],7,FALSE),"")</f>
        <v/>
      </c>
      <c r="AH58" s="66" t="str">
        <f>IFERROR(VLOOKUP(TableHandbook[[#This Row],[UDC]],TableMJRULGSCM[],7,FALSE),"")</f>
        <v/>
      </c>
      <c r="AI58" s="66" t="str">
        <f>IFERROR(VLOOKUP(TableHandbook[[#This Row],[UDC]],TableMJRUMNGMT[],7,FALSE),"")</f>
        <v/>
      </c>
      <c r="AJ58" s="66" t="str">
        <f>IFERROR(VLOOKUP(TableHandbook[[#This Row],[UDC]],TableMJRUMRKTG[],7,FALSE),"")</f>
        <v/>
      </c>
      <c r="AK58" s="66" t="str">
        <f>IFERROR(VLOOKUP(TableHandbook[[#This Row],[UDC]],TableMJRUPRPTY[],7,FALSE),"")</f>
        <v/>
      </c>
      <c r="AL58" s="66" t="str">
        <f>IFERROR(VLOOKUP(TableHandbook[[#This Row],[UDC]],TableMJRUSCRAR[],7,FALSE),"")</f>
        <v/>
      </c>
      <c r="AM58" s="66" t="str">
        <f>IFERROR(VLOOKUP(TableHandbook[[#This Row],[UDC]],TableMJRUTHTRA[],7,FALSE),"")</f>
        <v/>
      </c>
      <c r="AN58" s="66" t="str">
        <f>IFERROR(VLOOKUP(TableHandbook[[#This Row],[UDC]],TableMJRUTRHOS[],7,FALSE),"")</f>
        <v/>
      </c>
    </row>
    <row r="59" spans="1:40" x14ac:dyDescent="0.25">
      <c r="A59" s="8" t="s">
        <v>223</v>
      </c>
      <c r="B59" s="9">
        <v>1</v>
      </c>
      <c r="C59" s="8"/>
      <c r="D59" s="8" t="s">
        <v>572</v>
      </c>
      <c r="E59" s="9">
        <v>25</v>
      </c>
      <c r="F59" s="49" t="s">
        <v>526</v>
      </c>
      <c r="G59" s="67" t="str">
        <f>IFERROR(IF(VLOOKUP(TableHandbook[[#This Row],[UDC]],TableAvailabilities[],2,FALSE)&gt;0,"Y",""),"")</f>
        <v/>
      </c>
      <c r="H59" s="68" t="str">
        <f>IFERROR(IF(VLOOKUP(TableHandbook[[#This Row],[UDC]],TableAvailabilities[],3,FALSE)&gt;0,"Y",""),"")</f>
        <v/>
      </c>
      <c r="I59" s="69" t="str">
        <f>IFERROR(IF(VLOOKUP(TableHandbook[[#This Row],[UDC]],TableAvailabilities[],4,FALSE)&gt;0,"Y",""),"")</f>
        <v>Y</v>
      </c>
      <c r="J59" s="70" t="str">
        <f>IFERROR(IF(VLOOKUP(TableHandbook[[#This Row],[UDC]],TableAvailabilities[],5,FALSE)&gt;0,"Y",""),"")</f>
        <v/>
      </c>
      <c r="K59" s="163"/>
      <c r="L59" s="64" t="str">
        <f>IFERROR(VLOOKUP(TableHandbook[[#This Row],[UDC]],TableBARTS[],7,FALSE),"")</f>
        <v/>
      </c>
      <c r="M59" s="65" t="str">
        <f>IFERROR(VLOOKUP(TableHandbook[[#This Row],[UDC]],TableMJRUANTSO[],7,FALSE),"")</f>
        <v/>
      </c>
      <c r="N59" s="65" t="str">
        <f>IFERROR(VLOOKUP(TableHandbook[[#This Row],[UDC]],TableMJRUCHNSE[],7,FALSE),"")</f>
        <v/>
      </c>
      <c r="O59" s="65" t="str">
        <f>IFERROR(VLOOKUP(TableHandbook[[#This Row],[UDC]],TableMJRUCRWRI[],7,FALSE),"")</f>
        <v>Core</v>
      </c>
      <c r="P59" s="65" t="str">
        <f>IFERROR(VLOOKUP(TableHandbook[[#This Row],[UDC]],TableMJRUGEOGR[],7,FALSE),"")</f>
        <v/>
      </c>
      <c r="Q59" s="65" t="str">
        <f>IFERROR(VLOOKUP(TableHandbook[[#This Row],[UDC]],TableMJRUHISTR[],7,FALSE),"")</f>
        <v/>
      </c>
      <c r="R59" s="65" t="str">
        <f>IFERROR(VLOOKUP(TableHandbook[[#This Row],[UDC]],TableMJRUINAUC[],7,FALSE),"")</f>
        <v/>
      </c>
      <c r="S59" s="65" t="str">
        <f>IFERROR(VLOOKUP(TableHandbook[[#This Row],[UDC]],TableMJRUINTRL[],7,FALSE),"")</f>
        <v/>
      </c>
      <c r="T59" s="65" t="str">
        <f>IFERROR(VLOOKUP(TableHandbook[[#This Row],[UDC]],TableMJRUJAPAN[],7,FALSE),"")</f>
        <v/>
      </c>
      <c r="U59" s="65" t="str">
        <f>IFERROR(VLOOKUP(TableHandbook[[#This Row],[UDC]],TableMJRUJOURN[],7,FALSE),"")</f>
        <v/>
      </c>
      <c r="V59" s="65" t="str">
        <f>IFERROR(VLOOKUP(TableHandbook[[#This Row],[UDC]],TableMJRUKORES[],7,FALSE),"")</f>
        <v/>
      </c>
      <c r="W59" s="65" t="str">
        <f>IFERROR(VLOOKUP(TableHandbook[[#This Row],[UDC]],TableMJRULITCU[],7,FALSE),"")</f>
        <v>Option</v>
      </c>
      <c r="X59" s="65" t="str">
        <f>IFERROR(VLOOKUP(TableHandbook[[#This Row],[UDC]],TableMJRUNETCM[],7,FALSE),"")</f>
        <v/>
      </c>
      <c r="Y59" s="65" t="str">
        <f>IFERROR(VLOOKUP(TableHandbook[[#This Row],[UDC]],TableMJRUPRWRP[],7,FALSE),"")</f>
        <v/>
      </c>
      <c r="Z59" s="66" t="str">
        <f>IFERROR(VLOOKUP(TableHandbook[[#This Row],[UDC]],TableMJRUSCSTR[],7,FALSE),"")</f>
        <v/>
      </c>
      <c r="AA59" s="74"/>
      <c r="AB59" s="66" t="str">
        <f>IFERROR(VLOOKUP(TableHandbook[[#This Row],[UDC]],TableMJRUBSLAW[],7,FALSE),"")</f>
        <v/>
      </c>
      <c r="AC59" s="66" t="str">
        <f>IFERROR(VLOOKUP(TableHandbook[[#This Row],[UDC]],TableMJRUECONS[],7,FALSE),"")</f>
        <v/>
      </c>
      <c r="AD59" s="66" t="str">
        <f>IFERROR(VLOOKUP(TableHandbook[[#This Row],[UDC]],TableMJRUFINAR[],7,FALSE),"")</f>
        <v/>
      </c>
      <c r="AE59" s="66" t="str">
        <f>IFERROR(VLOOKUP(TableHandbook[[#This Row],[UDC]],TableMJRUFINCE[],7,FALSE),"")</f>
        <v/>
      </c>
      <c r="AF59" s="66" t="str">
        <f>IFERROR(VLOOKUP(TableHandbook[[#This Row],[UDC]],TableMJRUHRMGM[],7,FALSE),"")</f>
        <v/>
      </c>
      <c r="AG59" s="66" t="str">
        <f>IFERROR(VLOOKUP(TableHandbook[[#This Row],[UDC]],TableMJRUINTBU[],7,FALSE),"")</f>
        <v/>
      </c>
      <c r="AH59" s="66" t="str">
        <f>IFERROR(VLOOKUP(TableHandbook[[#This Row],[UDC]],TableMJRULGSCM[],7,FALSE),"")</f>
        <v/>
      </c>
      <c r="AI59" s="66" t="str">
        <f>IFERROR(VLOOKUP(TableHandbook[[#This Row],[UDC]],TableMJRUMNGMT[],7,FALSE),"")</f>
        <v/>
      </c>
      <c r="AJ59" s="66" t="str">
        <f>IFERROR(VLOOKUP(TableHandbook[[#This Row],[UDC]],TableMJRUMRKTG[],7,FALSE),"")</f>
        <v/>
      </c>
      <c r="AK59" s="66" t="str">
        <f>IFERROR(VLOOKUP(TableHandbook[[#This Row],[UDC]],TableMJRUPRPTY[],7,FALSE),"")</f>
        <v/>
      </c>
      <c r="AL59" s="66" t="str">
        <f>IFERROR(VLOOKUP(TableHandbook[[#This Row],[UDC]],TableMJRUSCRAR[],7,FALSE),"")</f>
        <v/>
      </c>
      <c r="AM59" s="66" t="str">
        <f>IFERROR(VLOOKUP(TableHandbook[[#This Row],[UDC]],TableMJRUTHTRA[],7,FALSE),"")</f>
        <v/>
      </c>
      <c r="AN59" s="66" t="str">
        <f>IFERROR(VLOOKUP(TableHandbook[[#This Row],[UDC]],TableMJRUTRHOS[],7,FALSE),"")</f>
        <v/>
      </c>
    </row>
    <row r="60" spans="1:40" x14ac:dyDescent="0.25">
      <c r="A60" s="8" t="s">
        <v>300</v>
      </c>
      <c r="B60" s="9">
        <v>1</v>
      </c>
      <c r="C60" s="8"/>
      <c r="D60" s="8" t="s">
        <v>573</v>
      </c>
      <c r="E60" s="9">
        <v>25</v>
      </c>
      <c r="F60" s="49" t="s">
        <v>526</v>
      </c>
      <c r="G60" s="67" t="str">
        <f>IFERROR(IF(VLOOKUP(TableHandbook[[#This Row],[UDC]],TableAvailabilities[],2,FALSE)&gt;0,"Y",""),"")</f>
        <v>Y</v>
      </c>
      <c r="H60" s="68" t="str">
        <f>IFERROR(IF(VLOOKUP(TableHandbook[[#This Row],[UDC]],TableAvailabilities[],3,FALSE)&gt;0,"Y",""),"")</f>
        <v/>
      </c>
      <c r="I60" s="69" t="str">
        <f>IFERROR(IF(VLOOKUP(TableHandbook[[#This Row],[UDC]],TableAvailabilities[],4,FALSE)&gt;0,"Y",""),"")</f>
        <v/>
      </c>
      <c r="J60" s="70" t="str">
        <f>IFERROR(IF(VLOOKUP(TableHandbook[[#This Row],[UDC]],TableAvailabilities[],5,FALSE)&gt;0,"Y",""),"")</f>
        <v/>
      </c>
      <c r="K60" s="163"/>
      <c r="L60" s="64" t="str">
        <f>IFERROR(VLOOKUP(TableHandbook[[#This Row],[UDC]],TableBARTS[],7,FALSE),"")</f>
        <v/>
      </c>
      <c r="M60" s="65" t="str">
        <f>IFERROR(VLOOKUP(TableHandbook[[#This Row],[UDC]],TableMJRUANTSO[],7,FALSE),"")</f>
        <v/>
      </c>
      <c r="N60" s="65" t="str">
        <f>IFERROR(VLOOKUP(TableHandbook[[#This Row],[UDC]],TableMJRUCHNSE[],7,FALSE),"")</f>
        <v/>
      </c>
      <c r="O60" s="65" t="str">
        <f>IFERROR(VLOOKUP(TableHandbook[[#This Row],[UDC]],TableMJRUCRWRI[],7,FALSE),"")</f>
        <v>Option</v>
      </c>
      <c r="P60" s="65" t="str">
        <f>IFERROR(VLOOKUP(TableHandbook[[#This Row],[UDC]],TableMJRUGEOGR[],7,FALSE),"")</f>
        <v/>
      </c>
      <c r="Q60" s="65" t="str">
        <f>IFERROR(VLOOKUP(TableHandbook[[#This Row],[UDC]],TableMJRUHISTR[],7,FALSE),"")</f>
        <v/>
      </c>
      <c r="R60" s="65" t="str">
        <f>IFERROR(VLOOKUP(TableHandbook[[#This Row],[UDC]],TableMJRUINAUC[],7,FALSE),"")</f>
        <v/>
      </c>
      <c r="S60" s="65" t="str">
        <f>IFERROR(VLOOKUP(TableHandbook[[#This Row],[UDC]],TableMJRUINTRL[],7,FALSE),"")</f>
        <v/>
      </c>
      <c r="T60" s="65" t="str">
        <f>IFERROR(VLOOKUP(TableHandbook[[#This Row],[UDC]],TableMJRUJAPAN[],7,FALSE),"")</f>
        <v/>
      </c>
      <c r="U60" s="65" t="str">
        <f>IFERROR(VLOOKUP(TableHandbook[[#This Row],[UDC]],TableMJRUJOURN[],7,FALSE),"")</f>
        <v/>
      </c>
      <c r="V60" s="65" t="str">
        <f>IFERROR(VLOOKUP(TableHandbook[[#This Row],[UDC]],TableMJRUKORES[],7,FALSE),"")</f>
        <v/>
      </c>
      <c r="W60" s="65" t="str">
        <f>IFERROR(VLOOKUP(TableHandbook[[#This Row],[UDC]],TableMJRULITCU[],7,FALSE),"")</f>
        <v>Option</v>
      </c>
      <c r="X60" s="65" t="str">
        <f>IFERROR(VLOOKUP(TableHandbook[[#This Row],[UDC]],TableMJRUNETCM[],7,FALSE),"")</f>
        <v/>
      </c>
      <c r="Y60" s="65" t="str">
        <f>IFERROR(VLOOKUP(TableHandbook[[#This Row],[UDC]],TableMJRUPRWRP[],7,FALSE),"")</f>
        <v/>
      </c>
      <c r="Z60" s="66" t="str">
        <f>IFERROR(VLOOKUP(TableHandbook[[#This Row],[UDC]],TableMJRUSCSTR[],7,FALSE),"")</f>
        <v/>
      </c>
      <c r="AA60" s="74"/>
      <c r="AB60" s="66" t="str">
        <f>IFERROR(VLOOKUP(TableHandbook[[#This Row],[UDC]],TableMJRUBSLAW[],7,FALSE),"")</f>
        <v/>
      </c>
      <c r="AC60" s="66" t="str">
        <f>IFERROR(VLOOKUP(TableHandbook[[#This Row],[UDC]],TableMJRUECONS[],7,FALSE),"")</f>
        <v/>
      </c>
      <c r="AD60" s="66" t="str">
        <f>IFERROR(VLOOKUP(TableHandbook[[#This Row],[UDC]],TableMJRUFINAR[],7,FALSE),"")</f>
        <v/>
      </c>
      <c r="AE60" s="66" t="str">
        <f>IFERROR(VLOOKUP(TableHandbook[[#This Row],[UDC]],TableMJRUFINCE[],7,FALSE),"")</f>
        <v/>
      </c>
      <c r="AF60" s="66" t="str">
        <f>IFERROR(VLOOKUP(TableHandbook[[#This Row],[UDC]],TableMJRUHRMGM[],7,FALSE),"")</f>
        <v/>
      </c>
      <c r="AG60" s="66" t="str">
        <f>IFERROR(VLOOKUP(TableHandbook[[#This Row],[UDC]],TableMJRUINTBU[],7,FALSE),"")</f>
        <v/>
      </c>
      <c r="AH60" s="66" t="str">
        <f>IFERROR(VLOOKUP(TableHandbook[[#This Row],[UDC]],TableMJRULGSCM[],7,FALSE),"")</f>
        <v/>
      </c>
      <c r="AI60" s="66" t="str">
        <f>IFERROR(VLOOKUP(TableHandbook[[#This Row],[UDC]],TableMJRUMNGMT[],7,FALSE),"")</f>
        <v/>
      </c>
      <c r="AJ60" s="66" t="str">
        <f>IFERROR(VLOOKUP(TableHandbook[[#This Row],[UDC]],TableMJRUMRKTG[],7,FALSE),"")</f>
        <v/>
      </c>
      <c r="AK60" s="66" t="str">
        <f>IFERROR(VLOOKUP(TableHandbook[[#This Row],[UDC]],TableMJRUPRPTY[],7,FALSE),"")</f>
        <v/>
      </c>
      <c r="AL60" s="66" t="str">
        <f>IFERROR(VLOOKUP(TableHandbook[[#This Row],[UDC]],TableMJRUSCRAR[],7,FALSE),"")</f>
        <v/>
      </c>
      <c r="AM60" s="66" t="str">
        <f>IFERROR(VLOOKUP(TableHandbook[[#This Row],[UDC]],TableMJRUTHTRA[],7,FALSE),"")</f>
        <v/>
      </c>
      <c r="AN60" s="66" t="str">
        <f>IFERROR(VLOOKUP(TableHandbook[[#This Row],[UDC]],TableMJRUTRHOS[],7,FALSE),"")</f>
        <v/>
      </c>
    </row>
    <row r="61" spans="1:40" x14ac:dyDescent="0.25">
      <c r="A61" s="8" t="s">
        <v>252</v>
      </c>
      <c r="B61" s="9">
        <v>1</v>
      </c>
      <c r="C61" s="8"/>
      <c r="D61" s="8" t="s">
        <v>574</v>
      </c>
      <c r="E61" s="9">
        <v>50</v>
      </c>
      <c r="F61" s="49" t="s">
        <v>575</v>
      </c>
      <c r="G61" s="67" t="str">
        <f>IFERROR(IF(VLOOKUP(TableHandbook[[#This Row],[UDC]],TableAvailabilities[],2,FALSE)&gt;0,"Y",""),"")</f>
        <v/>
      </c>
      <c r="H61" s="68" t="str">
        <f>IFERROR(IF(VLOOKUP(TableHandbook[[#This Row],[UDC]],TableAvailabilities[],3,FALSE)&gt;0,"Y",""),"")</f>
        <v/>
      </c>
      <c r="I61" s="69" t="str">
        <f>IFERROR(IF(VLOOKUP(TableHandbook[[#This Row],[UDC]],TableAvailabilities[],4,FALSE)&gt;0,"Y",""),"")</f>
        <v>Y</v>
      </c>
      <c r="J61" s="70" t="str">
        <f>IFERROR(IF(VLOOKUP(TableHandbook[[#This Row],[UDC]],TableAvailabilities[],5,FALSE)&gt;0,"Y",""),"")</f>
        <v/>
      </c>
      <c r="K61" s="163"/>
      <c r="L61" s="64" t="str">
        <f>IFERROR(VLOOKUP(TableHandbook[[#This Row],[UDC]],TableBARTS[],7,FALSE),"")</f>
        <v/>
      </c>
      <c r="M61" s="65" t="str">
        <f>IFERROR(VLOOKUP(TableHandbook[[#This Row],[UDC]],TableMJRUANTSO[],7,FALSE),"")</f>
        <v/>
      </c>
      <c r="N61" s="65" t="str">
        <f>IFERROR(VLOOKUP(TableHandbook[[#This Row],[UDC]],TableMJRUCHNSE[],7,FALSE),"")</f>
        <v/>
      </c>
      <c r="O61" s="65" t="str">
        <f>IFERROR(VLOOKUP(TableHandbook[[#This Row],[UDC]],TableMJRUCRWRI[],7,FALSE),"")</f>
        <v>Core</v>
      </c>
      <c r="P61" s="65" t="str">
        <f>IFERROR(VLOOKUP(TableHandbook[[#This Row],[UDC]],TableMJRUGEOGR[],7,FALSE),"")</f>
        <v/>
      </c>
      <c r="Q61" s="65" t="str">
        <f>IFERROR(VLOOKUP(TableHandbook[[#This Row],[UDC]],TableMJRUHISTR[],7,FALSE),"")</f>
        <v/>
      </c>
      <c r="R61" s="65" t="str">
        <f>IFERROR(VLOOKUP(TableHandbook[[#This Row],[UDC]],TableMJRUINAUC[],7,FALSE),"")</f>
        <v/>
      </c>
      <c r="S61" s="65" t="str">
        <f>IFERROR(VLOOKUP(TableHandbook[[#This Row],[UDC]],TableMJRUINTRL[],7,FALSE),"")</f>
        <v/>
      </c>
      <c r="T61" s="65" t="str">
        <f>IFERROR(VLOOKUP(TableHandbook[[#This Row],[UDC]],TableMJRUJAPAN[],7,FALSE),"")</f>
        <v/>
      </c>
      <c r="U61" s="65" t="str">
        <f>IFERROR(VLOOKUP(TableHandbook[[#This Row],[UDC]],TableMJRUJOURN[],7,FALSE),"")</f>
        <v/>
      </c>
      <c r="V61" s="65" t="str">
        <f>IFERROR(VLOOKUP(TableHandbook[[#This Row],[UDC]],TableMJRUKORES[],7,FALSE),"")</f>
        <v/>
      </c>
      <c r="W61" s="65" t="str">
        <f>IFERROR(VLOOKUP(TableHandbook[[#This Row],[UDC]],TableMJRULITCU[],7,FALSE),"")</f>
        <v/>
      </c>
      <c r="X61" s="65" t="str">
        <f>IFERROR(VLOOKUP(TableHandbook[[#This Row],[UDC]],TableMJRUNETCM[],7,FALSE),"")</f>
        <v/>
      </c>
      <c r="Y61" s="65" t="str">
        <f>IFERROR(VLOOKUP(TableHandbook[[#This Row],[UDC]],TableMJRUPRWRP[],7,FALSE),"")</f>
        <v/>
      </c>
      <c r="Z61" s="66" t="str">
        <f>IFERROR(VLOOKUP(TableHandbook[[#This Row],[UDC]],TableMJRUSCSTR[],7,FALSE),"")</f>
        <v/>
      </c>
      <c r="AA61" s="74"/>
      <c r="AB61" s="66" t="str">
        <f>IFERROR(VLOOKUP(TableHandbook[[#This Row],[UDC]],TableMJRUBSLAW[],7,FALSE),"")</f>
        <v/>
      </c>
      <c r="AC61" s="66" t="str">
        <f>IFERROR(VLOOKUP(TableHandbook[[#This Row],[UDC]],TableMJRUECONS[],7,FALSE),"")</f>
        <v/>
      </c>
      <c r="AD61" s="66" t="str">
        <f>IFERROR(VLOOKUP(TableHandbook[[#This Row],[UDC]],TableMJRUFINAR[],7,FALSE),"")</f>
        <v/>
      </c>
      <c r="AE61" s="66" t="str">
        <f>IFERROR(VLOOKUP(TableHandbook[[#This Row],[UDC]],TableMJRUFINCE[],7,FALSE),"")</f>
        <v/>
      </c>
      <c r="AF61" s="66" t="str">
        <f>IFERROR(VLOOKUP(TableHandbook[[#This Row],[UDC]],TableMJRUHRMGM[],7,FALSE),"")</f>
        <v/>
      </c>
      <c r="AG61" s="66" t="str">
        <f>IFERROR(VLOOKUP(TableHandbook[[#This Row],[UDC]],TableMJRUINTBU[],7,FALSE),"")</f>
        <v/>
      </c>
      <c r="AH61" s="66" t="str">
        <f>IFERROR(VLOOKUP(TableHandbook[[#This Row],[UDC]],TableMJRULGSCM[],7,FALSE),"")</f>
        <v/>
      </c>
      <c r="AI61" s="66" t="str">
        <f>IFERROR(VLOOKUP(TableHandbook[[#This Row],[UDC]],TableMJRUMNGMT[],7,FALSE),"")</f>
        <v/>
      </c>
      <c r="AJ61" s="66" t="str">
        <f>IFERROR(VLOOKUP(TableHandbook[[#This Row],[UDC]],TableMJRUMRKTG[],7,FALSE),"")</f>
        <v/>
      </c>
      <c r="AK61" s="66" t="str">
        <f>IFERROR(VLOOKUP(TableHandbook[[#This Row],[UDC]],TableMJRUPRPTY[],7,FALSE),"")</f>
        <v/>
      </c>
      <c r="AL61" s="66" t="str">
        <f>IFERROR(VLOOKUP(TableHandbook[[#This Row],[UDC]],TableMJRUSCRAR[],7,FALSE),"")</f>
        <v/>
      </c>
      <c r="AM61" s="66" t="str">
        <f>IFERROR(VLOOKUP(TableHandbook[[#This Row],[UDC]],TableMJRUTHTRA[],7,FALSE),"")</f>
        <v/>
      </c>
      <c r="AN61" s="66" t="str">
        <f>IFERROR(VLOOKUP(TableHandbook[[#This Row],[UDC]],TableMJRUTRHOS[],7,FALSE),"")</f>
        <v/>
      </c>
    </row>
    <row r="62" spans="1:40" x14ac:dyDescent="0.25">
      <c r="A62" s="8" t="s">
        <v>251</v>
      </c>
      <c r="B62" s="9">
        <v>1</v>
      </c>
      <c r="C62" s="8"/>
      <c r="D62" s="8" t="s">
        <v>576</v>
      </c>
      <c r="E62" s="9">
        <v>25</v>
      </c>
      <c r="F62" s="49" t="s">
        <v>526</v>
      </c>
      <c r="G62" s="67" t="str">
        <f>IFERROR(IF(VLOOKUP(TableHandbook[[#This Row],[UDC]],TableAvailabilities[],2,FALSE)&gt;0,"Y",""),"")</f>
        <v>Y</v>
      </c>
      <c r="H62" s="68" t="str">
        <f>IFERROR(IF(VLOOKUP(TableHandbook[[#This Row],[UDC]],TableAvailabilities[],3,FALSE)&gt;0,"Y",""),"")</f>
        <v/>
      </c>
      <c r="I62" s="69" t="str">
        <f>IFERROR(IF(VLOOKUP(TableHandbook[[#This Row],[UDC]],TableAvailabilities[],4,FALSE)&gt;0,"Y",""),"")</f>
        <v/>
      </c>
      <c r="J62" s="70" t="str">
        <f>IFERROR(IF(VLOOKUP(TableHandbook[[#This Row],[UDC]],TableAvailabilities[],5,FALSE)&gt;0,"Y",""),"")</f>
        <v/>
      </c>
      <c r="K62" s="163"/>
      <c r="L62" s="64" t="str">
        <f>IFERROR(VLOOKUP(TableHandbook[[#This Row],[UDC]],TableBARTS[],7,FALSE),"")</f>
        <v/>
      </c>
      <c r="M62" s="65" t="str">
        <f>IFERROR(VLOOKUP(TableHandbook[[#This Row],[UDC]],TableMJRUANTSO[],7,FALSE),"")</f>
        <v/>
      </c>
      <c r="N62" s="65" t="str">
        <f>IFERROR(VLOOKUP(TableHandbook[[#This Row],[UDC]],TableMJRUCHNSE[],7,FALSE),"")</f>
        <v/>
      </c>
      <c r="O62" s="65" t="str">
        <f>IFERROR(VLOOKUP(TableHandbook[[#This Row],[UDC]],TableMJRUCRWRI[],7,FALSE),"")</f>
        <v>Core</v>
      </c>
      <c r="P62" s="65" t="str">
        <f>IFERROR(VLOOKUP(TableHandbook[[#This Row],[UDC]],TableMJRUGEOGR[],7,FALSE),"")</f>
        <v/>
      </c>
      <c r="Q62" s="65" t="str">
        <f>IFERROR(VLOOKUP(TableHandbook[[#This Row],[UDC]],TableMJRUHISTR[],7,FALSE),"")</f>
        <v/>
      </c>
      <c r="R62" s="65" t="str">
        <f>IFERROR(VLOOKUP(TableHandbook[[#This Row],[UDC]],TableMJRUINAUC[],7,FALSE),"")</f>
        <v/>
      </c>
      <c r="S62" s="65" t="str">
        <f>IFERROR(VLOOKUP(TableHandbook[[#This Row],[UDC]],TableMJRUINTRL[],7,FALSE),"")</f>
        <v/>
      </c>
      <c r="T62" s="65" t="str">
        <f>IFERROR(VLOOKUP(TableHandbook[[#This Row],[UDC]],TableMJRUJAPAN[],7,FALSE),"")</f>
        <v/>
      </c>
      <c r="U62" s="65" t="str">
        <f>IFERROR(VLOOKUP(TableHandbook[[#This Row],[UDC]],TableMJRUJOURN[],7,FALSE),"")</f>
        <v/>
      </c>
      <c r="V62" s="65" t="str">
        <f>IFERROR(VLOOKUP(TableHandbook[[#This Row],[UDC]],TableMJRUKORES[],7,FALSE),"")</f>
        <v/>
      </c>
      <c r="W62" s="65" t="str">
        <f>IFERROR(VLOOKUP(TableHandbook[[#This Row],[UDC]],TableMJRULITCU[],7,FALSE),"")</f>
        <v/>
      </c>
      <c r="X62" s="65" t="str">
        <f>IFERROR(VLOOKUP(TableHandbook[[#This Row],[UDC]],TableMJRUNETCM[],7,FALSE),"")</f>
        <v/>
      </c>
      <c r="Y62" s="65" t="str">
        <f>IFERROR(VLOOKUP(TableHandbook[[#This Row],[UDC]],TableMJRUPRWRP[],7,FALSE),"")</f>
        <v/>
      </c>
      <c r="Z62" s="66" t="str">
        <f>IFERROR(VLOOKUP(TableHandbook[[#This Row],[UDC]],TableMJRUSCSTR[],7,FALSE),"")</f>
        <v/>
      </c>
      <c r="AA62" s="74"/>
      <c r="AB62" s="66" t="str">
        <f>IFERROR(VLOOKUP(TableHandbook[[#This Row],[UDC]],TableMJRUBSLAW[],7,FALSE),"")</f>
        <v/>
      </c>
      <c r="AC62" s="66" t="str">
        <f>IFERROR(VLOOKUP(TableHandbook[[#This Row],[UDC]],TableMJRUECONS[],7,FALSE),"")</f>
        <v/>
      </c>
      <c r="AD62" s="66" t="str">
        <f>IFERROR(VLOOKUP(TableHandbook[[#This Row],[UDC]],TableMJRUFINAR[],7,FALSE),"")</f>
        <v/>
      </c>
      <c r="AE62" s="66" t="str">
        <f>IFERROR(VLOOKUP(TableHandbook[[#This Row],[UDC]],TableMJRUFINCE[],7,FALSE),"")</f>
        <v/>
      </c>
      <c r="AF62" s="66" t="str">
        <f>IFERROR(VLOOKUP(TableHandbook[[#This Row],[UDC]],TableMJRUHRMGM[],7,FALSE),"")</f>
        <v/>
      </c>
      <c r="AG62" s="66" t="str">
        <f>IFERROR(VLOOKUP(TableHandbook[[#This Row],[UDC]],TableMJRUINTBU[],7,FALSE),"")</f>
        <v/>
      </c>
      <c r="AH62" s="66" t="str">
        <f>IFERROR(VLOOKUP(TableHandbook[[#This Row],[UDC]],TableMJRULGSCM[],7,FALSE),"")</f>
        <v/>
      </c>
      <c r="AI62" s="66" t="str">
        <f>IFERROR(VLOOKUP(TableHandbook[[#This Row],[UDC]],TableMJRUMNGMT[],7,FALSE),"")</f>
        <v/>
      </c>
      <c r="AJ62" s="66" t="str">
        <f>IFERROR(VLOOKUP(TableHandbook[[#This Row],[UDC]],TableMJRUMRKTG[],7,FALSE),"")</f>
        <v/>
      </c>
      <c r="AK62" s="66" t="str">
        <f>IFERROR(VLOOKUP(TableHandbook[[#This Row],[UDC]],TableMJRUPRPTY[],7,FALSE),"")</f>
        <v/>
      </c>
      <c r="AL62" s="66" t="str">
        <f>IFERROR(VLOOKUP(TableHandbook[[#This Row],[UDC]],TableMJRUSCRAR[],7,FALSE),"")</f>
        <v/>
      </c>
      <c r="AM62" s="66" t="str">
        <f>IFERROR(VLOOKUP(TableHandbook[[#This Row],[UDC]],TableMJRUTHTRA[],7,FALSE),"")</f>
        <v/>
      </c>
      <c r="AN62" s="66" t="str">
        <f>IFERROR(VLOOKUP(TableHandbook[[#This Row],[UDC]],TableMJRUTRHOS[],7,FALSE),"")</f>
        <v/>
      </c>
    </row>
    <row r="63" spans="1:40" x14ac:dyDescent="0.25">
      <c r="A63" s="8" t="s">
        <v>304</v>
      </c>
      <c r="B63" s="9">
        <v>1</v>
      </c>
      <c r="C63" s="8"/>
      <c r="D63" s="8" t="s">
        <v>577</v>
      </c>
      <c r="E63" s="9">
        <v>25</v>
      </c>
      <c r="F63" s="49" t="s">
        <v>526</v>
      </c>
      <c r="G63" s="67" t="str">
        <f>IFERROR(IF(VLOOKUP(TableHandbook[[#This Row],[UDC]],TableAvailabilities[],2,FALSE)&gt;0,"Y",""),"")</f>
        <v>Y</v>
      </c>
      <c r="H63" s="68" t="str">
        <f>IFERROR(IF(VLOOKUP(TableHandbook[[#This Row],[UDC]],TableAvailabilities[],3,FALSE)&gt;0,"Y",""),"")</f>
        <v/>
      </c>
      <c r="I63" s="69" t="str">
        <f>IFERROR(IF(VLOOKUP(TableHandbook[[#This Row],[UDC]],TableAvailabilities[],4,FALSE)&gt;0,"Y",""),"")</f>
        <v/>
      </c>
      <c r="J63" s="70" t="str">
        <f>IFERROR(IF(VLOOKUP(TableHandbook[[#This Row],[UDC]],TableAvailabilities[],5,FALSE)&gt;0,"Y",""),"")</f>
        <v/>
      </c>
      <c r="K63" s="163"/>
      <c r="L63" s="64" t="str">
        <f>IFERROR(VLOOKUP(TableHandbook[[#This Row],[UDC]],TableBARTS[],7,FALSE),"")</f>
        <v/>
      </c>
      <c r="M63" s="65" t="str">
        <f>IFERROR(VLOOKUP(TableHandbook[[#This Row],[UDC]],TableMJRUANTSO[],7,FALSE),"")</f>
        <v/>
      </c>
      <c r="N63" s="65" t="str">
        <f>IFERROR(VLOOKUP(TableHandbook[[#This Row],[UDC]],TableMJRUCHNSE[],7,FALSE),"")</f>
        <v/>
      </c>
      <c r="O63" s="65" t="str">
        <f>IFERROR(VLOOKUP(TableHandbook[[#This Row],[UDC]],TableMJRUCRWRI[],7,FALSE),"")</f>
        <v>Option</v>
      </c>
      <c r="P63" s="65" t="str">
        <f>IFERROR(VLOOKUP(TableHandbook[[#This Row],[UDC]],TableMJRUGEOGR[],7,FALSE),"")</f>
        <v/>
      </c>
      <c r="Q63" s="65" t="str">
        <f>IFERROR(VLOOKUP(TableHandbook[[#This Row],[UDC]],TableMJRUHISTR[],7,FALSE),"")</f>
        <v/>
      </c>
      <c r="R63" s="65" t="str">
        <f>IFERROR(VLOOKUP(TableHandbook[[#This Row],[UDC]],TableMJRUINAUC[],7,FALSE),"")</f>
        <v/>
      </c>
      <c r="S63" s="65" t="str">
        <f>IFERROR(VLOOKUP(TableHandbook[[#This Row],[UDC]],TableMJRUINTRL[],7,FALSE),"")</f>
        <v/>
      </c>
      <c r="T63" s="65" t="str">
        <f>IFERROR(VLOOKUP(TableHandbook[[#This Row],[UDC]],TableMJRUJAPAN[],7,FALSE),"")</f>
        <v/>
      </c>
      <c r="U63" s="65" t="str">
        <f>IFERROR(VLOOKUP(TableHandbook[[#This Row],[UDC]],TableMJRUJOURN[],7,FALSE),"")</f>
        <v/>
      </c>
      <c r="V63" s="65" t="str">
        <f>IFERROR(VLOOKUP(TableHandbook[[#This Row],[UDC]],TableMJRUKORES[],7,FALSE),"")</f>
        <v/>
      </c>
      <c r="W63" s="65" t="str">
        <f>IFERROR(VLOOKUP(TableHandbook[[#This Row],[UDC]],TableMJRULITCU[],7,FALSE),"")</f>
        <v>Option</v>
      </c>
      <c r="X63" s="65" t="str">
        <f>IFERROR(VLOOKUP(TableHandbook[[#This Row],[UDC]],TableMJRUNETCM[],7,FALSE),"")</f>
        <v/>
      </c>
      <c r="Y63" s="65" t="str">
        <f>IFERROR(VLOOKUP(TableHandbook[[#This Row],[UDC]],TableMJRUPRWRP[],7,FALSE),"")</f>
        <v/>
      </c>
      <c r="Z63" s="66" t="str">
        <f>IFERROR(VLOOKUP(TableHandbook[[#This Row],[UDC]],TableMJRUSCSTR[],7,FALSE),"")</f>
        <v/>
      </c>
      <c r="AA63" s="74"/>
      <c r="AB63" s="66" t="str">
        <f>IFERROR(VLOOKUP(TableHandbook[[#This Row],[UDC]],TableMJRUBSLAW[],7,FALSE),"")</f>
        <v/>
      </c>
      <c r="AC63" s="66" t="str">
        <f>IFERROR(VLOOKUP(TableHandbook[[#This Row],[UDC]],TableMJRUECONS[],7,FALSE),"")</f>
        <v/>
      </c>
      <c r="AD63" s="66" t="str">
        <f>IFERROR(VLOOKUP(TableHandbook[[#This Row],[UDC]],TableMJRUFINAR[],7,FALSE),"")</f>
        <v/>
      </c>
      <c r="AE63" s="66" t="str">
        <f>IFERROR(VLOOKUP(TableHandbook[[#This Row],[UDC]],TableMJRUFINCE[],7,FALSE),"")</f>
        <v/>
      </c>
      <c r="AF63" s="66" t="str">
        <f>IFERROR(VLOOKUP(TableHandbook[[#This Row],[UDC]],TableMJRUHRMGM[],7,FALSE),"")</f>
        <v/>
      </c>
      <c r="AG63" s="66" t="str">
        <f>IFERROR(VLOOKUP(TableHandbook[[#This Row],[UDC]],TableMJRUINTBU[],7,FALSE),"")</f>
        <v/>
      </c>
      <c r="AH63" s="66" t="str">
        <f>IFERROR(VLOOKUP(TableHandbook[[#This Row],[UDC]],TableMJRULGSCM[],7,FALSE),"")</f>
        <v/>
      </c>
      <c r="AI63" s="66" t="str">
        <f>IFERROR(VLOOKUP(TableHandbook[[#This Row],[UDC]],TableMJRUMNGMT[],7,FALSE),"")</f>
        <v/>
      </c>
      <c r="AJ63" s="66" t="str">
        <f>IFERROR(VLOOKUP(TableHandbook[[#This Row],[UDC]],TableMJRUMRKTG[],7,FALSE),"")</f>
        <v/>
      </c>
      <c r="AK63" s="66" t="str">
        <f>IFERROR(VLOOKUP(TableHandbook[[#This Row],[UDC]],TableMJRUPRPTY[],7,FALSE),"")</f>
        <v/>
      </c>
      <c r="AL63" s="66" t="str">
        <f>IFERROR(VLOOKUP(TableHandbook[[#This Row],[UDC]],TableMJRUSCRAR[],7,FALSE),"")</f>
        <v/>
      </c>
      <c r="AM63" s="66" t="str">
        <f>IFERROR(VLOOKUP(TableHandbook[[#This Row],[UDC]],TableMJRUTHTRA[],7,FALSE),"")</f>
        <v/>
      </c>
      <c r="AN63" s="66" t="str">
        <f>IFERROR(VLOOKUP(TableHandbook[[#This Row],[UDC]],TableMJRUTRHOS[],7,FALSE),"")</f>
        <v/>
      </c>
    </row>
    <row r="64" spans="1:40" x14ac:dyDescent="0.25">
      <c r="A64" s="8" t="s">
        <v>478</v>
      </c>
      <c r="B64" s="9">
        <v>1</v>
      </c>
      <c r="C64" s="8"/>
      <c r="D64" s="8" t="s">
        <v>578</v>
      </c>
      <c r="E64" s="9">
        <v>25</v>
      </c>
      <c r="F64" s="49" t="s">
        <v>579</v>
      </c>
      <c r="G64" s="67" t="str">
        <f>IFERROR(IF(VLOOKUP(TableHandbook[[#This Row],[UDC]],TableAvailabilities[],2,FALSE)&gt;0,"Y",""),"")</f>
        <v/>
      </c>
      <c r="H64" s="68" t="str">
        <f>IFERROR(IF(VLOOKUP(TableHandbook[[#This Row],[UDC]],TableAvailabilities[],3,FALSE)&gt;0,"Y",""),"")</f>
        <v/>
      </c>
      <c r="I64" s="69" t="str">
        <f>IFERROR(IF(VLOOKUP(TableHandbook[[#This Row],[UDC]],TableAvailabilities[],4,FALSE)&gt;0,"Y",""),"")</f>
        <v>Y</v>
      </c>
      <c r="J64" s="70" t="str">
        <f>IFERROR(IF(VLOOKUP(TableHandbook[[#This Row],[UDC]],TableAvailabilities[],5,FALSE)&gt;0,"Y",""),"")</f>
        <v>Y</v>
      </c>
      <c r="K64" s="163"/>
      <c r="L64" s="64" t="str">
        <f>IFERROR(VLOOKUP(TableHandbook[[#This Row],[UDC]],TableBARTS[],7,FALSE),"")</f>
        <v/>
      </c>
      <c r="M64" s="65" t="str">
        <f>IFERROR(VLOOKUP(TableHandbook[[#This Row],[UDC]],TableMJRUANTSO[],7,FALSE),"")</f>
        <v/>
      </c>
      <c r="N64" s="65" t="str">
        <f>IFERROR(VLOOKUP(TableHandbook[[#This Row],[UDC]],TableMJRUCHNSE[],7,FALSE),"")</f>
        <v/>
      </c>
      <c r="O64" s="65" t="str">
        <f>IFERROR(VLOOKUP(TableHandbook[[#This Row],[UDC]],TableMJRUCRWRI[],7,FALSE),"")</f>
        <v/>
      </c>
      <c r="P64" s="65" t="str">
        <f>IFERROR(VLOOKUP(TableHandbook[[#This Row],[UDC]],TableMJRUGEOGR[],7,FALSE),"")</f>
        <v/>
      </c>
      <c r="Q64" s="65" t="str">
        <f>IFERROR(VLOOKUP(TableHandbook[[#This Row],[UDC]],TableMJRUHISTR[],7,FALSE),"")</f>
        <v/>
      </c>
      <c r="R64" s="65" t="str">
        <f>IFERROR(VLOOKUP(TableHandbook[[#This Row],[UDC]],TableMJRUINAUC[],7,FALSE),"")</f>
        <v/>
      </c>
      <c r="S64" s="65" t="str">
        <f>IFERROR(VLOOKUP(TableHandbook[[#This Row],[UDC]],TableMJRUINTRL[],7,FALSE),"")</f>
        <v/>
      </c>
      <c r="T64" s="65" t="str">
        <f>IFERROR(VLOOKUP(TableHandbook[[#This Row],[UDC]],TableMJRUJAPAN[],7,FALSE),"")</f>
        <v/>
      </c>
      <c r="U64" s="65" t="str">
        <f>IFERROR(VLOOKUP(TableHandbook[[#This Row],[UDC]],TableMJRUJOURN[],7,FALSE),"")</f>
        <v/>
      </c>
      <c r="V64" s="65" t="str">
        <f>IFERROR(VLOOKUP(TableHandbook[[#This Row],[UDC]],TableMJRUKORES[],7,FALSE),"")</f>
        <v/>
      </c>
      <c r="W64" s="65" t="str">
        <f>IFERROR(VLOOKUP(TableHandbook[[#This Row],[UDC]],TableMJRULITCU[],7,FALSE),"")</f>
        <v/>
      </c>
      <c r="X64" s="65" t="str">
        <f>IFERROR(VLOOKUP(TableHandbook[[#This Row],[UDC]],TableMJRUNETCM[],7,FALSE),"")</f>
        <v/>
      </c>
      <c r="Y64" s="65" t="str">
        <f>IFERROR(VLOOKUP(TableHandbook[[#This Row],[UDC]],TableMJRUPRWRP[],7,FALSE),"")</f>
        <v/>
      </c>
      <c r="Z64" s="66" t="str">
        <f>IFERROR(VLOOKUP(TableHandbook[[#This Row],[UDC]],TableMJRUSCSTR[],7,FALSE),"")</f>
        <v/>
      </c>
      <c r="AA64" s="74"/>
      <c r="AB64" s="66" t="str">
        <f>IFERROR(VLOOKUP(TableHandbook[[#This Row],[UDC]],TableMJRUBSLAW[],7,FALSE),"")</f>
        <v/>
      </c>
      <c r="AC64" s="66" t="str">
        <f>IFERROR(VLOOKUP(TableHandbook[[#This Row],[UDC]],TableMJRUECONS[],7,FALSE),"")</f>
        <v>AltCore</v>
      </c>
      <c r="AD64" s="66" t="str">
        <f>IFERROR(VLOOKUP(TableHandbook[[#This Row],[UDC]],TableMJRUFINAR[],7,FALSE),"")</f>
        <v/>
      </c>
      <c r="AE64" s="66" t="str">
        <f>IFERROR(VLOOKUP(TableHandbook[[#This Row],[UDC]],TableMJRUFINCE[],7,FALSE),"")</f>
        <v/>
      </c>
      <c r="AF64" s="66" t="str">
        <f>IFERROR(VLOOKUP(TableHandbook[[#This Row],[UDC]],TableMJRUHRMGM[],7,FALSE),"")</f>
        <v/>
      </c>
      <c r="AG64" s="66" t="str">
        <f>IFERROR(VLOOKUP(TableHandbook[[#This Row],[UDC]],TableMJRUINTBU[],7,FALSE),"")</f>
        <v/>
      </c>
      <c r="AH64" s="66" t="str">
        <f>IFERROR(VLOOKUP(TableHandbook[[#This Row],[UDC]],TableMJRULGSCM[],7,FALSE),"")</f>
        <v/>
      </c>
      <c r="AI64" s="66" t="str">
        <f>IFERROR(VLOOKUP(TableHandbook[[#This Row],[UDC]],TableMJRUMNGMT[],7,FALSE),"")</f>
        <v/>
      </c>
      <c r="AJ64" s="66" t="str">
        <f>IFERROR(VLOOKUP(TableHandbook[[#This Row],[UDC]],TableMJRUMRKTG[],7,FALSE),"")</f>
        <v/>
      </c>
      <c r="AK64" s="66" t="str">
        <f>IFERROR(VLOOKUP(TableHandbook[[#This Row],[UDC]],TableMJRUPRPTY[],7,FALSE),"")</f>
        <v/>
      </c>
      <c r="AL64" s="66" t="str">
        <f>IFERROR(VLOOKUP(TableHandbook[[#This Row],[UDC]],TableMJRUSCRAR[],7,FALSE),"")</f>
        <v/>
      </c>
      <c r="AM64" s="66" t="str">
        <f>IFERROR(VLOOKUP(TableHandbook[[#This Row],[UDC]],TableMJRUTHTRA[],7,FALSE),"")</f>
        <v/>
      </c>
      <c r="AN64" s="66" t="str">
        <f>IFERROR(VLOOKUP(TableHandbook[[#This Row],[UDC]],TableMJRUTRHOS[],7,FALSE),"")</f>
        <v/>
      </c>
    </row>
    <row r="65" spans="1:40" x14ac:dyDescent="0.25">
      <c r="A65" s="8" t="s">
        <v>415</v>
      </c>
      <c r="B65" s="9">
        <v>1</v>
      </c>
      <c r="C65" s="8"/>
      <c r="D65" s="8" t="s">
        <v>580</v>
      </c>
      <c r="E65" s="9">
        <v>25</v>
      </c>
      <c r="F65" s="49" t="s">
        <v>526</v>
      </c>
      <c r="G65" s="67" t="str">
        <f>IFERROR(IF(VLOOKUP(TableHandbook[[#This Row],[UDC]],TableAvailabilities[],2,FALSE)&gt;0,"Y",""),"")</f>
        <v>Y</v>
      </c>
      <c r="H65" s="68" t="str">
        <f>IFERROR(IF(VLOOKUP(TableHandbook[[#This Row],[UDC]],TableAvailabilities[],3,FALSE)&gt;0,"Y",""),"")</f>
        <v>Y</v>
      </c>
      <c r="I65" s="69" t="str">
        <f>IFERROR(IF(VLOOKUP(TableHandbook[[#This Row],[UDC]],TableAvailabilities[],4,FALSE)&gt;0,"Y",""),"")</f>
        <v>Y</v>
      </c>
      <c r="J65" s="70" t="str">
        <f>IFERROR(IF(VLOOKUP(TableHandbook[[#This Row],[UDC]],TableAvailabilities[],5,FALSE)&gt;0,"Y",""),"")</f>
        <v>Y</v>
      </c>
      <c r="K65" s="163"/>
      <c r="L65" s="64" t="str">
        <f>IFERROR(VLOOKUP(TableHandbook[[#This Row],[UDC]],TableBARTS[],7,FALSE),"")</f>
        <v/>
      </c>
      <c r="M65" s="65" t="str">
        <f>IFERROR(VLOOKUP(TableHandbook[[#This Row],[UDC]],TableMJRUANTSO[],7,FALSE),"")</f>
        <v/>
      </c>
      <c r="N65" s="65" t="str">
        <f>IFERROR(VLOOKUP(TableHandbook[[#This Row],[UDC]],TableMJRUCHNSE[],7,FALSE),"")</f>
        <v/>
      </c>
      <c r="O65" s="65" t="str">
        <f>IFERROR(VLOOKUP(TableHandbook[[#This Row],[UDC]],TableMJRUCRWRI[],7,FALSE),"")</f>
        <v/>
      </c>
      <c r="P65" s="65" t="str">
        <f>IFERROR(VLOOKUP(TableHandbook[[#This Row],[UDC]],TableMJRUGEOGR[],7,FALSE),"")</f>
        <v/>
      </c>
      <c r="Q65" s="65" t="str">
        <f>IFERROR(VLOOKUP(TableHandbook[[#This Row],[UDC]],TableMJRUHISTR[],7,FALSE),"")</f>
        <v/>
      </c>
      <c r="R65" s="65" t="str">
        <f>IFERROR(VLOOKUP(TableHandbook[[#This Row],[UDC]],TableMJRUINAUC[],7,FALSE),"")</f>
        <v/>
      </c>
      <c r="S65" s="65" t="str">
        <f>IFERROR(VLOOKUP(TableHandbook[[#This Row],[UDC]],TableMJRUINTRL[],7,FALSE),"")</f>
        <v/>
      </c>
      <c r="T65" s="65" t="str">
        <f>IFERROR(VLOOKUP(TableHandbook[[#This Row],[UDC]],TableMJRUJAPAN[],7,FALSE),"")</f>
        <v/>
      </c>
      <c r="U65" s="65" t="str">
        <f>IFERROR(VLOOKUP(TableHandbook[[#This Row],[UDC]],TableMJRUJOURN[],7,FALSE),"")</f>
        <v/>
      </c>
      <c r="V65" s="65" t="str">
        <f>IFERROR(VLOOKUP(TableHandbook[[#This Row],[UDC]],TableMJRUKORES[],7,FALSE),"")</f>
        <v/>
      </c>
      <c r="W65" s="65" t="str">
        <f>IFERROR(VLOOKUP(TableHandbook[[#This Row],[UDC]],TableMJRULITCU[],7,FALSE),"")</f>
        <v/>
      </c>
      <c r="X65" s="65" t="str">
        <f>IFERROR(VLOOKUP(TableHandbook[[#This Row],[UDC]],TableMJRUNETCM[],7,FALSE),"")</f>
        <v/>
      </c>
      <c r="Y65" s="65" t="str">
        <f>IFERROR(VLOOKUP(TableHandbook[[#This Row],[UDC]],TableMJRUPRWRP[],7,FALSE),"")</f>
        <v/>
      </c>
      <c r="Z65" s="66" t="str">
        <f>IFERROR(VLOOKUP(TableHandbook[[#This Row],[UDC]],TableMJRUSCSTR[],7,FALSE),"")</f>
        <v/>
      </c>
      <c r="AA65" s="74"/>
      <c r="AB65" s="66" t="str">
        <f>IFERROR(VLOOKUP(TableHandbook[[#This Row],[UDC]],TableMJRUBSLAW[],7,FALSE),"")</f>
        <v/>
      </c>
      <c r="AC65" s="66" t="str">
        <f>IFERROR(VLOOKUP(TableHandbook[[#This Row],[UDC]],TableMJRUECONS[],7,FALSE),"")</f>
        <v>Core</v>
      </c>
      <c r="AD65" s="66" t="str">
        <f>IFERROR(VLOOKUP(TableHandbook[[#This Row],[UDC]],TableMJRUFINAR[],7,FALSE),"")</f>
        <v/>
      </c>
      <c r="AE65" s="66" t="str">
        <f>IFERROR(VLOOKUP(TableHandbook[[#This Row],[UDC]],TableMJRUFINCE[],7,FALSE),"")</f>
        <v>AltCore</v>
      </c>
      <c r="AF65" s="66" t="str">
        <f>IFERROR(VLOOKUP(TableHandbook[[#This Row],[UDC]],TableMJRUHRMGM[],7,FALSE),"")</f>
        <v/>
      </c>
      <c r="AG65" s="66" t="str">
        <f>IFERROR(VLOOKUP(TableHandbook[[#This Row],[UDC]],TableMJRUINTBU[],7,FALSE),"")</f>
        <v/>
      </c>
      <c r="AH65" s="66" t="str">
        <f>IFERROR(VLOOKUP(TableHandbook[[#This Row],[UDC]],TableMJRULGSCM[],7,FALSE),"")</f>
        <v/>
      </c>
      <c r="AI65" s="66" t="str">
        <f>IFERROR(VLOOKUP(TableHandbook[[#This Row],[UDC]],TableMJRUMNGMT[],7,FALSE),"")</f>
        <v/>
      </c>
      <c r="AJ65" s="66" t="str">
        <f>IFERROR(VLOOKUP(TableHandbook[[#This Row],[UDC]],TableMJRUMRKTG[],7,FALSE),"")</f>
        <v/>
      </c>
      <c r="AK65" s="66" t="str">
        <f>IFERROR(VLOOKUP(TableHandbook[[#This Row],[UDC]],TableMJRUPRPTY[],7,FALSE),"")</f>
        <v/>
      </c>
      <c r="AL65" s="66" t="str">
        <f>IFERROR(VLOOKUP(TableHandbook[[#This Row],[UDC]],TableMJRUSCRAR[],7,FALSE),"")</f>
        <v/>
      </c>
      <c r="AM65" s="66" t="str">
        <f>IFERROR(VLOOKUP(TableHandbook[[#This Row],[UDC]],TableMJRUTHTRA[],7,FALSE),"")</f>
        <v/>
      </c>
      <c r="AN65" s="66" t="str">
        <f>IFERROR(VLOOKUP(TableHandbook[[#This Row],[UDC]],TableMJRUTRHOS[],7,FALSE),"")</f>
        <v/>
      </c>
    </row>
    <row r="66" spans="1:40" x14ac:dyDescent="0.25">
      <c r="A66" s="8" t="s">
        <v>381</v>
      </c>
      <c r="B66" s="9">
        <v>1</v>
      </c>
      <c r="C66" s="8"/>
      <c r="D66" s="8" t="s">
        <v>581</v>
      </c>
      <c r="E66" s="9">
        <v>25</v>
      </c>
      <c r="F66" s="49" t="s">
        <v>526</v>
      </c>
      <c r="G66" s="67" t="str">
        <f>IFERROR(IF(VLOOKUP(TableHandbook[[#This Row],[UDC]],TableAvailabilities[],2,FALSE)&gt;0,"Y",""),"")</f>
        <v>Y</v>
      </c>
      <c r="H66" s="68" t="str">
        <f>IFERROR(IF(VLOOKUP(TableHandbook[[#This Row],[UDC]],TableAvailabilities[],3,FALSE)&gt;0,"Y",""),"")</f>
        <v>Y</v>
      </c>
      <c r="I66" s="69" t="str">
        <f>IFERROR(IF(VLOOKUP(TableHandbook[[#This Row],[UDC]],TableAvailabilities[],4,FALSE)&gt;0,"Y",""),"")</f>
        <v>Y</v>
      </c>
      <c r="J66" s="70" t="str">
        <f>IFERROR(IF(VLOOKUP(TableHandbook[[#This Row],[UDC]],TableAvailabilities[],5,FALSE)&gt;0,"Y",""),"")</f>
        <v>Y</v>
      </c>
      <c r="K66" s="163"/>
      <c r="L66" s="64" t="str">
        <f>IFERROR(VLOOKUP(TableHandbook[[#This Row],[UDC]],TableBARTS[],7,FALSE),"")</f>
        <v/>
      </c>
      <c r="M66" s="65" t="str">
        <f>IFERROR(VLOOKUP(TableHandbook[[#This Row],[UDC]],TableMJRUANTSO[],7,FALSE),"")</f>
        <v/>
      </c>
      <c r="N66" s="65" t="str">
        <f>IFERROR(VLOOKUP(TableHandbook[[#This Row],[UDC]],TableMJRUCHNSE[],7,FALSE),"")</f>
        <v/>
      </c>
      <c r="O66" s="65" t="str">
        <f>IFERROR(VLOOKUP(TableHandbook[[#This Row],[UDC]],TableMJRUCRWRI[],7,FALSE),"")</f>
        <v/>
      </c>
      <c r="P66" s="65" t="str">
        <f>IFERROR(VLOOKUP(TableHandbook[[#This Row],[UDC]],TableMJRUGEOGR[],7,FALSE),"")</f>
        <v/>
      </c>
      <c r="Q66" s="65" t="str">
        <f>IFERROR(VLOOKUP(TableHandbook[[#This Row],[UDC]],TableMJRUHISTR[],7,FALSE),"")</f>
        <v/>
      </c>
      <c r="R66" s="65" t="str">
        <f>IFERROR(VLOOKUP(TableHandbook[[#This Row],[UDC]],TableMJRUINAUC[],7,FALSE),"")</f>
        <v/>
      </c>
      <c r="S66" s="65" t="str">
        <f>IFERROR(VLOOKUP(TableHandbook[[#This Row],[UDC]],TableMJRUINTRL[],7,FALSE),"")</f>
        <v/>
      </c>
      <c r="T66" s="65" t="str">
        <f>IFERROR(VLOOKUP(TableHandbook[[#This Row],[UDC]],TableMJRUJAPAN[],7,FALSE),"")</f>
        <v/>
      </c>
      <c r="U66" s="65" t="str">
        <f>IFERROR(VLOOKUP(TableHandbook[[#This Row],[UDC]],TableMJRUJOURN[],7,FALSE),"")</f>
        <v/>
      </c>
      <c r="V66" s="65" t="str">
        <f>IFERROR(VLOOKUP(TableHandbook[[#This Row],[UDC]],TableMJRUKORES[],7,FALSE),"")</f>
        <v/>
      </c>
      <c r="W66" s="65" t="str">
        <f>IFERROR(VLOOKUP(TableHandbook[[#This Row],[UDC]],TableMJRULITCU[],7,FALSE),"")</f>
        <v/>
      </c>
      <c r="X66" s="65" t="str">
        <f>IFERROR(VLOOKUP(TableHandbook[[#This Row],[UDC]],TableMJRUNETCM[],7,FALSE),"")</f>
        <v/>
      </c>
      <c r="Y66" s="65" t="str">
        <f>IFERROR(VLOOKUP(TableHandbook[[#This Row],[UDC]],TableMJRUPRWRP[],7,FALSE),"")</f>
        <v/>
      </c>
      <c r="Z66" s="66" t="str">
        <f>IFERROR(VLOOKUP(TableHandbook[[#This Row],[UDC]],TableMJRUSCSTR[],7,FALSE),"")</f>
        <v/>
      </c>
      <c r="AA66" s="74"/>
      <c r="AB66" s="66" t="str">
        <f>IFERROR(VLOOKUP(TableHandbook[[#This Row],[UDC]],TableMJRUBSLAW[],7,FALSE),"")</f>
        <v/>
      </c>
      <c r="AC66" s="66" t="str">
        <f>IFERROR(VLOOKUP(TableHandbook[[#This Row],[UDC]],TableMJRUECONS[],7,FALSE),"")</f>
        <v>Core</v>
      </c>
      <c r="AD66" s="66" t="str">
        <f>IFERROR(VLOOKUP(TableHandbook[[#This Row],[UDC]],TableMJRUFINAR[],7,FALSE),"")</f>
        <v/>
      </c>
      <c r="AE66" s="66" t="str">
        <f>IFERROR(VLOOKUP(TableHandbook[[#This Row],[UDC]],TableMJRUFINCE[],7,FALSE),"")</f>
        <v/>
      </c>
      <c r="AF66" s="66" t="str">
        <f>IFERROR(VLOOKUP(TableHandbook[[#This Row],[UDC]],TableMJRUHRMGM[],7,FALSE),"")</f>
        <v/>
      </c>
      <c r="AG66" s="66" t="str">
        <f>IFERROR(VLOOKUP(TableHandbook[[#This Row],[UDC]],TableMJRUINTBU[],7,FALSE),"")</f>
        <v/>
      </c>
      <c r="AH66" s="66" t="str">
        <f>IFERROR(VLOOKUP(TableHandbook[[#This Row],[UDC]],TableMJRULGSCM[],7,FALSE),"")</f>
        <v/>
      </c>
      <c r="AI66" s="66" t="str">
        <f>IFERROR(VLOOKUP(TableHandbook[[#This Row],[UDC]],TableMJRUMNGMT[],7,FALSE),"")</f>
        <v/>
      </c>
      <c r="AJ66" s="66" t="str">
        <f>IFERROR(VLOOKUP(TableHandbook[[#This Row],[UDC]],TableMJRUMRKTG[],7,FALSE),"")</f>
        <v/>
      </c>
      <c r="AK66" s="66" t="str">
        <f>IFERROR(VLOOKUP(TableHandbook[[#This Row],[UDC]],TableMJRUPRPTY[],7,FALSE),"")</f>
        <v/>
      </c>
      <c r="AL66" s="66" t="str">
        <f>IFERROR(VLOOKUP(TableHandbook[[#This Row],[UDC]],TableMJRUSCRAR[],7,FALSE),"")</f>
        <v/>
      </c>
      <c r="AM66" s="66" t="str">
        <f>IFERROR(VLOOKUP(TableHandbook[[#This Row],[UDC]],TableMJRUTHTRA[],7,FALSE),"")</f>
        <v/>
      </c>
      <c r="AN66" s="66" t="str">
        <f>IFERROR(VLOOKUP(TableHandbook[[#This Row],[UDC]],TableMJRUTRHOS[],7,FALSE),"")</f>
        <v/>
      </c>
    </row>
    <row r="67" spans="1:40" x14ac:dyDescent="0.25">
      <c r="A67" s="8" t="s">
        <v>394</v>
      </c>
      <c r="B67" s="9">
        <v>1</v>
      </c>
      <c r="C67" s="8"/>
      <c r="D67" s="8" t="s">
        <v>582</v>
      </c>
      <c r="E67" s="9">
        <v>25</v>
      </c>
      <c r="F67" s="49" t="s">
        <v>526</v>
      </c>
      <c r="G67" s="67" t="str">
        <f>IFERROR(IF(VLOOKUP(TableHandbook[[#This Row],[UDC]],TableAvailabilities[],2,FALSE)&gt;0,"Y",""),"")</f>
        <v/>
      </c>
      <c r="H67" s="68" t="str">
        <f>IFERROR(IF(VLOOKUP(TableHandbook[[#This Row],[UDC]],TableAvailabilities[],3,FALSE)&gt;0,"Y",""),"")</f>
        <v/>
      </c>
      <c r="I67" s="69" t="str">
        <f>IFERROR(IF(VLOOKUP(TableHandbook[[#This Row],[UDC]],TableAvailabilities[],4,FALSE)&gt;0,"Y",""),"")</f>
        <v>Y</v>
      </c>
      <c r="J67" s="70" t="str">
        <f>IFERROR(IF(VLOOKUP(TableHandbook[[#This Row],[UDC]],TableAvailabilities[],5,FALSE)&gt;0,"Y",""),"")</f>
        <v>Y</v>
      </c>
      <c r="K67" s="163"/>
      <c r="L67" s="64" t="str">
        <f>IFERROR(VLOOKUP(TableHandbook[[#This Row],[UDC]],TableBARTS[],7,FALSE),"")</f>
        <v/>
      </c>
      <c r="M67" s="65" t="str">
        <f>IFERROR(VLOOKUP(TableHandbook[[#This Row],[UDC]],TableMJRUANTSO[],7,FALSE),"")</f>
        <v/>
      </c>
      <c r="N67" s="65" t="str">
        <f>IFERROR(VLOOKUP(TableHandbook[[#This Row],[UDC]],TableMJRUCHNSE[],7,FALSE),"")</f>
        <v/>
      </c>
      <c r="O67" s="65" t="str">
        <f>IFERROR(VLOOKUP(TableHandbook[[#This Row],[UDC]],TableMJRUCRWRI[],7,FALSE),"")</f>
        <v/>
      </c>
      <c r="P67" s="65" t="str">
        <f>IFERROR(VLOOKUP(TableHandbook[[#This Row],[UDC]],TableMJRUGEOGR[],7,FALSE),"")</f>
        <v/>
      </c>
      <c r="Q67" s="65" t="str">
        <f>IFERROR(VLOOKUP(TableHandbook[[#This Row],[UDC]],TableMJRUHISTR[],7,FALSE),"")</f>
        <v/>
      </c>
      <c r="R67" s="65" t="str">
        <f>IFERROR(VLOOKUP(TableHandbook[[#This Row],[UDC]],TableMJRUINAUC[],7,FALSE),"")</f>
        <v/>
      </c>
      <c r="S67" s="65" t="str">
        <f>IFERROR(VLOOKUP(TableHandbook[[#This Row],[UDC]],TableMJRUINTRL[],7,FALSE),"")</f>
        <v/>
      </c>
      <c r="T67" s="65" t="str">
        <f>IFERROR(VLOOKUP(TableHandbook[[#This Row],[UDC]],TableMJRUJAPAN[],7,FALSE),"")</f>
        <v/>
      </c>
      <c r="U67" s="65" t="str">
        <f>IFERROR(VLOOKUP(TableHandbook[[#This Row],[UDC]],TableMJRUJOURN[],7,FALSE),"")</f>
        <v/>
      </c>
      <c r="V67" s="65" t="str">
        <f>IFERROR(VLOOKUP(TableHandbook[[#This Row],[UDC]],TableMJRUKORES[],7,FALSE),"")</f>
        <v/>
      </c>
      <c r="W67" s="65" t="str">
        <f>IFERROR(VLOOKUP(TableHandbook[[#This Row],[UDC]],TableMJRULITCU[],7,FALSE),"")</f>
        <v/>
      </c>
      <c r="X67" s="65" t="str">
        <f>IFERROR(VLOOKUP(TableHandbook[[#This Row],[UDC]],TableMJRUNETCM[],7,FALSE),"")</f>
        <v/>
      </c>
      <c r="Y67" s="65" t="str">
        <f>IFERROR(VLOOKUP(TableHandbook[[#This Row],[UDC]],TableMJRUPRWRP[],7,FALSE),"")</f>
        <v/>
      </c>
      <c r="Z67" s="66" t="str">
        <f>IFERROR(VLOOKUP(TableHandbook[[#This Row],[UDC]],TableMJRUSCSTR[],7,FALSE),"")</f>
        <v/>
      </c>
      <c r="AA67" s="74"/>
      <c r="AB67" s="66" t="str">
        <f>IFERROR(VLOOKUP(TableHandbook[[#This Row],[UDC]],TableMJRUBSLAW[],7,FALSE),"")</f>
        <v/>
      </c>
      <c r="AC67" s="66" t="str">
        <f>IFERROR(VLOOKUP(TableHandbook[[#This Row],[UDC]],TableMJRUECONS[],7,FALSE),"")</f>
        <v>Core</v>
      </c>
      <c r="AD67" s="66" t="str">
        <f>IFERROR(VLOOKUP(TableHandbook[[#This Row],[UDC]],TableMJRUFINAR[],7,FALSE),"")</f>
        <v/>
      </c>
      <c r="AE67" s="66" t="str">
        <f>IFERROR(VLOOKUP(TableHandbook[[#This Row],[UDC]],TableMJRUFINCE[],7,FALSE),"")</f>
        <v/>
      </c>
      <c r="AF67" s="66" t="str">
        <f>IFERROR(VLOOKUP(TableHandbook[[#This Row],[UDC]],TableMJRUHRMGM[],7,FALSE),"")</f>
        <v/>
      </c>
      <c r="AG67" s="66" t="str">
        <f>IFERROR(VLOOKUP(TableHandbook[[#This Row],[UDC]],TableMJRUINTBU[],7,FALSE),"")</f>
        <v/>
      </c>
      <c r="AH67" s="66" t="str">
        <f>IFERROR(VLOOKUP(TableHandbook[[#This Row],[UDC]],TableMJRULGSCM[],7,FALSE),"")</f>
        <v/>
      </c>
      <c r="AI67" s="66" t="str">
        <f>IFERROR(VLOOKUP(TableHandbook[[#This Row],[UDC]],TableMJRUMNGMT[],7,FALSE),"")</f>
        <v/>
      </c>
      <c r="AJ67" s="66" t="str">
        <f>IFERROR(VLOOKUP(TableHandbook[[#This Row],[UDC]],TableMJRUMRKTG[],7,FALSE),"")</f>
        <v/>
      </c>
      <c r="AK67" s="66" t="str">
        <f>IFERROR(VLOOKUP(TableHandbook[[#This Row],[UDC]],TableMJRUPRPTY[],7,FALSE),"")</f>
        <v/>
      </c>
      <c r="AL67" s="66" t="str">
        <f>IFERROR(VLOOKUP(TableHandbook[[#This Row],[UDC]],TableMJRUSCRAR[],7,FALSE),"")</f>
        <v/>
      </c>
      <c r="AM67" s="66" t="str">
        <f>IFERROR(VLOOKUP(TableHandbook[[#This Row],[UDC]],TableMJRUTHTRA[],7,FALSE),"")</f>
        <v/>
      </c>
      <c r="AN67" s="66" t="str">
        <f>IFERROR(VLOOKUP(TableHandbook[[#This Row],[UDC]],TableMJRUTRHOS[],7,FALSE),"")</f>
        <v/>
      </c>
    </row>
    <row r="68" spans="1:40" x14ac:dyDescent="0.25">
      <c r="A68" s="8" t="s">
        <v>393</v>
      </c>
      <c r="B68" s="9">
        <v>1</v>
      </c>
      <c r="C68" s="8"/>
      <c r="D68" s="8" t="s">
        <v>583</v>
      </c>
      <c r="E68" s="9">
        <v>25</v>
      </c>
      <c r="F68" s="49" t="s">
        <v>526</v>
      </c>
      <c r="G68" s="67" t="str">
        <f>IFERROR(IF(VLOOKUP(TableHandbook[[#This Row],[UDC]],TableAvailabilities[],2,FALSE)&gt;0,"Y",""),"")</f>
        <v>Y</v>
      </c>
      <c r="H68" s="68" t="str">
        <f>IFERROR(IF(VLOOKUP(TableHandbook[[#This Row],[UDC]],TableAvailabilities[],3,FALSE)&gt;0,"Y",""),"")</f>
        <v>Y</v>
      </c>
      <c r="I68" s="69" t="str">
        <f>IFERROR(IF(VLOOKUP(TableHandbook[[#This Row],[UDC]],TableAvailabilities[],4,FALSE)&gt;0,"Y",""),"")</f>
        <v/>
      </c>
      <c r="J68" s="70" t="str">
        <f>IFERROR(IF(VLOOKUP(TableHandbook[[#This Row],[UDC]],TableAvailabilities[],5,FALSE)&gt;0,"Y",""),"")</f>
        <v/>
      </c>
      <c r="K68" s="163"/>
      <c r="L68" s="64" t="str">
        <f>IFERROR(VLOOKUP(TableHandbook[[#This Row],[UDC]],TableBARTS[],7,FALSE),"")</f>
        <v/>
      </c>
      <c r="M68" s="65" t="str">
        <f>IFERROR(VLOOKUP(TableHandbook[[#This Row],[UDC]],TableMJRUANTSO[],7,FALSE),"")</f>
        <v/>
      </c>
      <c r="N68" s="65" t="str">
        <f>IFERROR(VLOOKUP(TableHandbook[[#This Row],[UDC]],TableMJRUCHNSE[],7,FALSE),"")</f>
        <v/>
      </c>
      <c r="O68" s="65" t="str">
        <f>IFERROR(VLOOKUP(TableHandbook[[#This Row],[UDC]],TableMJRUCRWRI[],7,FALSE),"")</f>
        <v/>
      </c>
      <c r="P68" s="65" t="str">
        <f>IFERROR(VLOOKUP(TableHandbook[[#This Row],[UDC]],TableMJRUGEOGR[],7,FALSE),"")</f>
        <v/>
      </c>
      <c r="Q68" s="65" t="str">
        <f>IFERROR(VLOOKUP(TableHandbook[[#This Row],[UDC]],TableMJRUHISTR[],7,FALSE),"")</f>
        <v/>
      </c>
      <c r="R68" s="65" t="str">
        <f>IFERROR(VLOOKUP(TableHandbook[[#This Row],[UDC]],TableMJRUINAUC[],7,FALSE),"")</f>
        <v/>
      </c>
      <c r="S68" s="65" t="str">
        <f>IFERROR(VLOOKUP(TableHandbook[[#This Row],[UDC]],TableMJRUINTRL[],7,FALSE),"")</f>
        <v/>
      </c>
      <c r="T68" s="65" t="str">
        <f>IFERROR(VLOOKUP(TableHandbook[[#This Row],[UDC]],TableMJRUJAPAN[],7,FALSE),"")</f>
        <v/>
      </c>
      <c r="U68" s="65" t="str">
        <f>IFERROR(VLOOKUP(TableHandbook[[#This Row],[UDC]],TableMJRUJOURN[],7,FALSE),"")</f>
        <v/>
      </c>
      <c r="V68" s="65" t="str">
        <f>IFERROR(VLOOKUP(TableHandbook[[#This Row],[UDC]],TableMJRUKORES[],7,FALSE),"")</f>
        <v/>
      </c>
      <c r="W68" s="65" t="str">
        <f>IFERROR(VLOOKUP(TableHandbook[[#This Row],[UDC]],TableMJRULITCU[],7,FALSE),"")</f>
        <v/>
      </c>
      <c r="X68" s="65" t="str">
        <f>IFERROR(VLOOKUP(TableHandbook[[#This Row],[UDC]],TableMJRUNETCM[],7,FALSE),"")</f>
        <v/>
      </c>
      <c r="Y68" s="65" t="str">
        <f>IFERROR(VLOOKUP(TableHandbook[[#This Row],[UDC]],TableMJRUPRWRP[],7,FALSE),"")</f>
        <v/>
      </c>
      <c r="Z68" s="66" t="str">
        <f>IFERROR(VLOOKUP(TableHandbook[[#This Row],[UDC]],TableMJRUSCSTR[],7,FALSE),"")</f>
        <v/>
      </c>
      <c r="AA68" s="74"/>
      <c r="AB68" s="66" t="str">
        <f>IFERROR(VLOOKUP(TableHandbook[[#This Row],[UDC]],TableMJRUBSLAW[],7,FALSE),"")</f>
        <v/>
      </c>
      <c r="AC68" s="66" t="str">
        <f>IFERROR(VLOOKUP(TableHandbook[[#This Row],[UDC]],TableMJRUECONS[],7,FALSE),"")</f>
        <v>Core</v>
      </c>
      <c r="AD68" s="66" t="str">
        <f>IFERROR(VLOOKUP(TableHandbook[[#This Row],[UDC]],TableMJRUFINAR[],7,FALSE),"")</f>
        <v/>
      </c>
      <c r="AE68" s="66" t="str">
        <f>IFERROR(VLOOKUP(TableHandbook[[#This Row],[UDC]],TableMJRUFINCE[],7,FALSE),"")</f>
        <v/>
      </c>
      <c r="AF68" s="66" t="str">
        <f>IFERROR(VLOOKUP(TableHandbook[[#This Row],[UDC]],TableMJRUHRMGM[],7,FALSE),"")</f>
        <v/>
      </c>
      <c r="AG68" s="66" t="str">
        <f>IFERROR(VLOOKUP(TableHandbook[[#This Row],[UDC]],TableMJRUINTBU[],7,FALSE),"")</f>
        <v/>
      </c>
      <c r="AH68" s="66" t="str">
        <f>IFERROR(VLOOKUP(TableHandbook[[#This Row],[UDC]],TableMJRULGSCM[],7,FALSE),"")</f>
        <v/>
      </c>
      <c r="AI68" s="66" t="str">
        <f>IFERROR(VLOOKUP(TableHandbook[[#This Row],[UDC]],TableMJRUMNGMT[],7,FALSE),"")</f>
        <v/>
      </c>
      <c r="AJ68" s="66" t="str">
        <f>IFERROR(VLOOKUP(TableHandbook[[#This Row],[UDC]],TableMJRUMRKTG[],7,FALSE),"")</f>
        <v/>
      </c>
      <c r="AK68" s="66" t="str">
        <f>IFERROR(VLOOKUP(TableHandbook[[#This Row],[UDC]],TableMJRUPRPTY[],7,FALSE),"")</f>
        <v/>
      </c>
      <c r="AL68" s="66" t="str">
        <f>IFERROR(VLOOKUP(TableHandbook[[#This Row],[UDC]],TableMJRUSCRAR[],7,FALSE),"")</f>
        <v/>
      </c>
      <c r="AM68" s="66" t="str">
        <f>IFERROR(VLOOKUP(TableHandbook[[#This Row],[UDC]],TableMJRUTHTRA[],7,FALSE),"")</f>
        <v/>
      </c>
      <c r="AN68" s="66" t="str">
        <f>IFERROR(VLOOKUP(TableHandbook[[#This Row],[UDC]],TableMJRUTRHOS[],7,FALSE),"")</f>
        <v/>
      </c>
    </row>
    <row r="69" spans="1:40" x14ac:dyDescent="0.25">
      <c r="A69" s="8" t="s">
        <v>485</v>
      </c>
      <c r="B69" s="9">
        <v>1</v>
      </c>
      <c r="C69" s="8"/>
      <c r="D69" s="8" t="s">
        <v>584</v>
      </c>
      <c r="E69" s="9">
        <v>25</v>
      </c>
      <c r="F69" s="49" t="s">
        <v>585</v>
      </c>
      <c r="G69" s="67" t="str">
        <f>IFERROR(IF(VLOOKUP(TableHandbook[[#This Row],[UDC]],TableAvailabilities[],2,FALSE)&gt;0,"Y",""),"")</f>
        <v>Y</v>
      </c>
      <c r="H69" s="68" t="str">
        <f>IFERROR(IF(VLOOKUP(TableHandbook[[#This Row],[UDC]],TableAvailabilities[],3,FALSE)&gt;0,"Y",""),"")</f>
        <v/>
      </c>
      <c r="I69" s="69" t="str">
        <f>IFERROR(IF(VLOOKUP(TableHandbook[[#This Row],[UDC]],TableAvailabilities[],4,FALSE)&gt;0,"Y",""),"")</f>
        <v/>
      </c>
      <c r="J69" s="70" t="str">
        <f>IFERROR(IF(VLOOKUP(TableHandbook[[#This Row],[UDC]],TableAvailabilities[],5,FALSE)&gt;0,"Y",""),"")</f>
        <v/>
      </c>
      <c r="K69" s="163"/>
      <c r="L69" s="64" t="str">
        <f>IFERROR(VLOOKUP(TableHandbook[[#This Row],[UDC]],TableBARTS[],7,FALSE),"")</f>
        <v/>
      </c>
      <c r="M69" s="65" t="str">
        <f>IFERROR(VLOOKUP(TableHandbook[[#This Row],[UDC]],TableMJRUANTSO[],7,FALSE),"")</f>
        <v/>
      </c>
      <c r="N69" s="65" t="str">
        <f>IFERROR(VLOOKUP(TableHandbook[[#This Row],[UDC]],TableMJRUCHNSE[],7,FALSE),"")</f>
        <v/>
      </c>
      <c r="O69" s="65" t="str">
        <f>IFERROR(VLOOKUP(TableHandbook[[#This Row],[UDC]],TableMJRUCRWRI[],7,FALSE),"")</f>
        <v/>
      </c>
      <c r="P69" s="65" t="str">
        <f>IFERROR(VLOOKUP(TableHandbook[[#This Row],[UDC]],TableMJRUGEOGR[],7,FALSE),"")</f>
        <v/>
      </c>
      <c r="Q69" s="65" t="str">
        <f>IFERROR(VLOOKUP(TableHandbook[[#This Row],[UDC]],TableMJRUHISTR[],7,FALSE),"")</f>
        <v/>
      </c>
      <c r="R69" s="65" t="str">
        <f>IFERROR(VLOOKUP(TableHandbook[[#This Row],[UDC]],TableMJRUINAUC[],7,FALSE),"")</f>
        <v/>
      </c>
      <c r="S69" s="65" t="str">
        <f>IFERROR(VLOOKUP(TableHandbook[[#This Row],[UDC]],TableMJRUINTRL[],7,FALSE),"")</f>
        <v/>
      </c>
      <c r="T69" s="65" t="str">
        <f>IFERROR(VLOOKUP(TableHandbook[[#This Row],[UDC]],TableMJRUJAPAN[],7,FALSE),"")</f>
        <v/>
      </c>
      <c r="U69" s="65" t="str">
        <f>IFERROR(VLOOKUP(TableHandbook[[#This Row],[UDC]],TableMJRUJOURN[],7,FALSE),"")</f>
        <v/>
      </c>
      <c r="V69" s="65" t="str">
        <f>IFERROR(VLOOKUP(TableHandbook[[#This Row],[UDC]],TableMJRUKORES[],7,FALSE),"")</f>
        <v/>
      </c>
      <c r="W69" s="65" t="str">
        <f>IFERROR(VLOOKUP(TableHandbook[[#This Row],[UDC]],TableMJRULITCU[],7,FALSE),"")</f>
        <v/>
      </c>
      <c r="X69" s="65" t="str">
        <f>IFERROR(VLOOKUP(TableHandbook[[#This Row],[UDC]],TableMJRUNETCM[],7,FALSE),"")</f>
        <v/>
      </c>
      <c r="Y69" s="65" t="str">
        <f>IFERROR(VLOOKUP(TableHandbook[[#This Row],[UDC]],TableMJRUPRWRP[],7,FALSE),"")</f>
        <v/>
      </c>
      <c r="Z69" s="66" t="str">
        <f>IFERROR(VLOOKUP(TableHandbook[[#This Row],[UDC]],TableMJRUSCSTR[],7,FALSE),"")</f>
        <v/>
      </c>
      <c r="AA69" s="74"/>
      <c r="AB69" s="66" t="str">
        <f>IFERROR(VLOOKUP(TableHandbook[[#This Row],[UDC]],TableMJRUBSLAW[],7,FALSE),"")</f>
        <v/>
      </c>
      <c r="AC69" s="66" t="str">
        <f>IFERROR(VLOOKUP(TableHandbook[[#This Row],[UDC]],TableMJRUECONS[],7,FALSE),"")</f>
        <v>AltCore</v>
      </c>
      <c r="AD69" s="66" t="str">
        <f>IFERROR(VLOOKUP(TableHandbook[[#This Row],[UDC]],TableMJRUFINAR[],7,FALSE),"")</f>
        <v/>
      </c>
      <c r="AE69" s="66" t="str">
        <f>IFERROR(VLOOKUP(TableHandbook[[#This Row],[UDC]],TableMJRUFINCE[],7,FALSE),"")</f>
        <v/>
      </c>
      <c r="AF69" s="66" t="str">
        <f>IFERROR(VLOOKUP(TableHandbook[[#This Row],[UDC]],TableMJRUHRMGM[],7,FALSE),"")</f>
        <v/>
      </c>
      <c r="AG69" s="66" t="str">
        <f>IFERROR(VLOOKUP(TableHandbook[[#This Row],[UDC]],TableMJRUINTBU[],7,FALSE),"")</f>
        <v/>
      </c>
      <c r="AH69" s="66" t="str">
        <f>IFERROR(VLOOKUP(TableHandbook[[#This Row],[UDC]],TableMJRULGSCM[],7,FALSE),"")</f>
        <v/>
      </c>
      <c r="AI69" s="66" t="str">
        <f>IFERROR(VLOOKUP(TableHandbook[[#This Row],[UDC]],TableMJRUMNGMT[],7,FALSE),"")</f>
        <v/>
      </c>
      <c r="AJ69" s="66" t="str">
        <f>IFERROR(VLOOKUP(TableHandbook[[#This Row],[UDC]],TableMJRUMRKTG[],7,FALSE),"")</f>
        <v/>
      </c>
      <c r="AK69" s="66" t="str">
        <f>IFERROR(VLOOKUP(TableHandbook[[#This Row],[UDC]],TableMJRUPRPTY[],7,FALSE),"")</f>
        <v/>
      </c>
      <c r="AL69" s="66" t="str">
        <f>IFERROR(VLOOKUP(TableHandbook[[#This Row],[UDC]],TableMJRUSCRAR[],7,FALSE),"")</f>
        <v/>
      </c>
      <c r="AM69" s="66" t="str">
        <f>IFERROR(VLOOKUP(TableHandbook[[#This Row],[UDC]],TableMJRUTHTRA[],7,FALSE),"")</f>
        <v/>
      </c>
      <c r="AN69" s="66" t="str">
        <f>IFERROR(VLOOKUP(TableHandbook[[#This Row],[UDC]],TableMJRUTRHOS[],7,FALSE),"")</f>
        <v/>
      </c>
    </row>
    <row r="70" spans="1:40" x14ac:dyDescent="0.25">
      <c r="A70" s="8" t="s">
        <v>486</v>
      </c>
      <c r="B70" s="9">
        <v>1</v>
      </c>
      <c r="C70" s="8"/>
      <c r="D70" s="8" t="s">
        <v>586</v>
      </c>
      <c r="E70" s="9">
        <v>25</v>
      </c>
      <c r="F70" s="49" t="s">
        <v>526</v>
      </c>
      <c r="G70" s="67" t="str">
        <f>IFERROR(IF(VLOOKUP(TableHandbook[[#This Row],[UDC]],TableAvailabilities[],2,FALSE)&gt;0,"Y",""),"")</f>
        <v/>
      </c>
      <c r="H70" s="68" t="str">
        <f>IFERROR(IF(VLOOKUP(TableHandbook[[#This Row],[UDC]],TableAvailabilities[],3,FALSE)&gt;0,"Y",""),"")</f>
        <v/>
      </c>
      <c r="I70" s="69" t="str">
        <f>IFERROR(IF(VLOOKUP(TableHandbook[[#This Row],[UDC]],TableAvailabilities[],4,FALSE)&gt;0,"Y",""),"")</f>
        <v>Y</v>
      </c>
      <c r="J70" s="70" t="str">
        <f>IFERROR(IF(VLOOKUP(TableHandbook[[#This Row],[UDC]],TableAvailabilities[],5,FALSE)&gt;0,"Y",""),"")</f>
        <v/>
      </c>
      <c r="K70" s="163"/>
      <c r="L70" s="64" t="str">
        <f>IFERROR(VLOOKUP(TableHandbook[[#This Row],[UDC]],TableBARTS[],7,FALSE),"")</f>
        <v/>
      </c>
      <c r="M70" s="65" t="str">
        <f>IFERROR(VLOOKUP(TableHandbook[[#This Row],[UDC]],TableMJRUANTSO[],7,FALSE),"")</f>
        <v/>
      </c>
      <c r="N70" s="65" t="str">
        <f>IFERROR(VLOOKUP(TableHandbook[[#This Row],[UDC]],TableMJRUCHNSE[],7,FALSE),"")</f>
        <v/>
      </c>
      <c r="O70" s="65" t="str">
        <f>IFERROR(VLOOKUP(TableHandbook[[#This Row],[UDC]],TableMJRUCRWRI[],7,FALSE),"")</f>
        <v/>
      </c>
      <c r="P70" s="65" t="str">
        <f>IFERROR(VLOOKUP(TableHandbook[[#This Row],[UDC]],TableMJRUGEOGR[],7,FALSE),"")</f>
        <v/>
      </c>
      <c r="Q70" s="65" t="str">
        <f>IFERROR(VLOOKUP(TableHandbook[[#This Row],[UDC]],TableMJRUHISTR[],7,FALSE),"")</f>
        <v/>
      </c>
      <c r="R70" s="65" t="str">
        <f>IFERROR(VLOOKUP(TableHandbook[[#This Row],[UDC]],TableMJRUINAUC[],7,FALSE),"")</f>
        <v/>
      </c>
      <c r="S70" s="65" t="str">
        <f>IFERROR(VLOOKUP(TableHandbook[[#This Row],[UDC]],TableMJRUINTRL[],7,FALSE),"")</f>
        <v/>
      </c>
      <c r="T70" s="65" t="str">
        <f>IFERROR(VLOOKUP(TableHandbook[[#This Row],[UDC]],TableMJRUJAPAN[],7,FALSE),"")</f>
        <v/>
      </c>
      <c r="U70" s="65" t="str">
        <f>IFERROR(VLOOKUP(TableHandbook[[#This Row],[UDC]],TableMJRUJOURN[],7,FALSE),"")</f>
        <v/>
      </c>
      <c r="V70" s="65" t="str">
        <f>IFERROR(VLOOKUP(TableHandbook[[#This Row],[UDC]],TableMJRUKORES[],7,FALSE),"")</f>
        <v/>
      </c>
      <c r="W70" s="65" t="str">
        <f>IFERROR(VLOOKUP(TableHandbook[[#This Row],[UDC]],TableMJRULITCU[],7,FALSE),"")</f>
        <v/>
      </c>
      <c r="X70" s="65" t="str">
        <f>IFERROR(VLOOKUP(TableHandbook[[#This Row],[UDC]],TableMJRUNETCM[],7,FALSE),"")</f>
        <v/>
      </c>
      <c r="Y70" s="65" t="str">
        <f>IFERROR(VLOOKUP(TableHandbook[[#This Row],[UDC]],TableMJRUPRWRP[],7,FALSE),"")</f>
        <v/>
      </c>
      <c r="Z70" s="66" t="str">
        <f>IFERROR(VLOOKUP(TableHandbook[[#This Row],[UDC]],TableMJRUSCSTR[],7,FALSE),"")</f>
        <v/>
      </c>
      <c r="AA70" s="74"/>
      <c r="AB70" s="66" t="str">
        <f>IFERROR(VLOOKUP(TableHandbook[[#This Row],[UDC]],TableMJRUBSLAW[],7,FALSE),"")</f>
        <v/>
      </c>
      <c r="AC70" s="66" t="str">
        <f>IFERROR(VLOOKUP(TableHandbook[[#This Row],[UDC]],TableMJRUECONS[],7,FALSE),"")</f>
        <v>AltCore</v>
      </c>
      <c r="AD70" s="66" t="str">
        <f>IFERROR(VLOOKUP(TableHandbook[[#This Row],[UDC]],TableMJRUFINAR[],7,FALSE),"")</f>
        <v/>
      </c>
      <c r="AE70" s="66" t="str">
        <f>IFERROR(VLOOKUP(TableHandbook[[#This Row],[UDC]],TableMJRUFINCE[],7,FALSE),"")</f>
        <v>AltCore</v>
      </c>
      <c r="AF70" s="66" t="str">
        <f>IFERROR(VLOOKUP(TableHandbook[[#This Row],[UDC]],TableMJRUHRMGM[],7,FALSE),"")</f>
        <v/>
      </c>
      <c r="AG70" s="66" t="str">
        <f>IFERROR(VLOOKUP(TableHandbook[[#This Row],[UDC]],TableMJRUINTBU[],7,FALSE),"")</f>
        <v/>
      </c>
      <c r="AH70" s="66" t="str">
        <f>IFERROR(VLOOKUP(TableHandbook[[#This Row],[UDC]],TableMJRULGSCM[],7,FALSE),"")</f>
        <v/>
      </c>
      <c r="AI70" s="66" t="str">
        <f>IFERROR(VLOOKUP(TableHandbook[[#This Row],[UDC]],TableMJRUMNGMT[],7,FALSE),"")</f>
        <v/>
      </c>
      <c r="AJ70" s="66" t="str">
        <f>IFERROR(VLOOKUP(TableHandbook[[#This Row],[UDC]],TableMJRUMRKTG[],7,FALSE),"")</f>
        <v/>
      </c>
      <c r="AK70" s="66" t="str">
        <f>IFERROR(VLOOKUP(TableHandbook[[#This Row],[UDC]],TableMJRUPRPTY[],7,FALSE),"")</f>
        <v/>
      </c>
      <c r="AL70" s="66" t="str">
        <f>IFERROR(VLOOKUP(TableHandbook[[#This Row],[UDC]],TableMJRUSCRAR[],7,FALSE),"")</f>
        <v/>
      </c>
      <c r="AM70" s="66" t="str">
        <f>IFERROR(VLOOKUP(TableHandbook[[#This Row],[UDC]],TableMJRUTHTRA[],7,FALSE),"")</f>
        <v/>
      </c>
      <c r="AN70" s="66" t="str">
        <f>IFERROR(VLOOKUP(TableHandbook[[#This Row],[UDC]],TableMJRUTRHOS[],7,FALSE),"")</f>
        <v/>
      </c>
    </row>
    <row r="71" spans="1:40" x14ac:dyDescent="0.25">
      <c r="A71" s="8" t="s">
        <v>443</v>
      </c>
      <c r="B71" s="9">
        <v>1</v>
      </c>
      <c r="C71" s="8"/>
      <c r="D71" s="8" t="s">
        <v>587</v>
      </c>
      <c r="E71" s="9">
        <v>25</v>
      </c>
      <c r="F71" s="49" t="s">
        <v>588</v>
      </c>
      <c r="G71" s="67" t="str">
        <f>IFERROR(IF(VLOOKUP(TableHandbook[[#This Row],[UDC]],TableAvailabilities[],2,FALSE)&gt;0,"Y",""),"")</f>
        <v>Y</v>
      </c>
      <c r="H71" s="68" t="str">
        <f>IFERROR(IF(VLOOKUP(TableHandbook[[#This Row],[UDC]],TableAvailabilities[],3,FALSE)&gt;0,"Y",""),"")</f>
        <v/>
      </c>
      <c r="I71" s="69" t="str">
        <f>IFERROR(IF(VLOOKUP(TableHandbook[[#This Row],[UDC]],TableAvailabilities[],4,FALSE)&gt;0,"Y",""),"")</f>
        <v/>
      </c>
      <c r="J71" s="70" t="str">
        <f>IFERROR(IF(VLOOKUP(TableHandbook[[#This Row],[UDC]],TableAvailabilities[],5,FALSE)&gt;0,"Y",""),"")</f>
        <v/>
      </c>
      <c r="K71" s="163"/>
      <c r="L71" s="64" t="str">
        <f>IFERROR(VLOOKUP(TableHandbook[[#This Row],[UDC]],TableBARTS[],7,FALSE),"")</f>
        <v/>
      </c>
      <c r="M71" s="65" t="str">
        <f>IFERROR(VLOOKUP(TableHandbook[[#This Row],[UDC]],TableMJRUANTSO[],7,FALSE),"")</f>
        <v/>
      </c>
      <c r="N71" s="65" t="str">
        <f>IFERROR(VLOOKUP(TableHandbook[[#This Row],[UDC]],TableMJRUCHNSE[],7,FALSE),"")</f>
        <v/>
      </c>
      <c r="O71" s="65" t="str">
        <f>IFERROR(VLOOKUP(TableHandbook[[#This Row],[UDC]],TableMJRUCRWRI[],7,FALSE),"")</f>
        <v/>
      </c>
      <c r="P71" s="65" t="str">
        <f>IFERROR(VLOOKUP(TableHandbook[[#This Row],[UDC]],TableMJRUGEOGR[],7,FALSE),"")</f>
        <v/>
      </c>
      <c r="Q71" s="65" t="str">
        <f>IFERROR(VLOOKUP(TableHandbook[[#This Row],[UDC]],TableMJRUHISTR[],7,FALSE),"")</f>
        <v/>
      </c>
      <c r="R71" s="65" t="str">
        <f>IFERROR(VLOOKUP(TableHandbook[[#This Row],[UDC]],TableMJRUINAUC[],7,FALSE),"")</f>
        <v/>
      </c>
      <c r="S71" s="65" t="str">
        <f>IFERROR(VLOOKUP(TableHandbook[[#This Row],[UDC]],TableMJRUINTRL[],7,FALSE),"")</f>
        <v/>
      </c>
      <c r="T71" s="65" t="str">
        <f>IFERROR(VLOOKUP(TableHandbook[[#This Row],[UDC]],TableMJRUJAPAN[],7,FALSE),"")</f>
        <v/>
      </c>
      <c r="U71" s="65" t="str">
        <f>IFERROR(VLOOKUP(TableHandbook[[#This Row],[UDC]],TableMJRUJOURN[],7,FALSE),"")</f>
        <v/>
      </c>
      <c r="V71" s="65" t="str">
        <f>IFERROR(VLOOKUP(TableHandbook[[#This Row],[UDC]],TableMJRUKORES[],7,FALSE),"")</f>
        <v/>
      </c>
      <c r="W71" s="65" t="str">
        <f>IFERROR(VLOOKUP(TableHandbook[[#This Row],[UDC]],TableMJRULITCU[],7,FALSE),"")</f>
        <v/>
      </c>
      <c r="X71" s="65" t="str">
        <f>IFERROR(VLOOKUP(TableHandbook[[#This Row],[UDC]],TableMJRUNETCM[],7,FALSE),"")</f>
        <v/>
      </c>
      <c r="Y71" s="65" t="str">
        <f>IFERROR(VLOOKUP(TableHandbook[[#This Row],[UDC]],TableMJRUPRWRP[],7,FALSE),"")</f>
        <v/>
      </c>
      <c r="Z71" s="66" t="str">
        <f>IFERROR(VLOOKUP(TableHandbook[[#This Row],[UDC]],TableMJRUSCSTR[],7,FALSE),"")</f>
        <v/>
      </c>
      <c r="AA71" s="74"/>
      <c r="AB71" s="66" t="str">
        <f>IFERROR(VLOOKUP(TableHandbook[[#This Row],[UDC]],TableMJRUBSLAW[],7,FALSE),"")</f>
        <v/>
      </c>
      <c r="AC71" s="66" t="str">
        <f>IFERROR(VLOOKUP(TableHandbook[[#This Row],[UDC]],TableMJRUECONS[],7,FALSE),"")</f>
        <v>Core</v>
      </c>
      <c r="AD71" s="66" t="str">
        <f>IFERROR(VLOOKUP(TableHandbook[[#This Row],[UDC]],TableMJRUFINAR[],7,FALSE),"")</f>
        <v/>
      </c>
      <c r="AE71" s="66" t="str">
        <f>IFERROR(VLOOKUP(TableHandbook[[#This Row],[UDC]],TableMJRUFINCE[],7,FALSE),"")</f>
        <v/>
      </c>
      <c r="AF71" s="66" t="str">
        <f>IFERROR(VLOOKUP(TableHandbook[[#This Row],[UDC]],TableMJRUHRMGM[],7,FALSE),"")</f>
        <v/>
      </c>
      <c r="AG71" s="66" t="str">
        <f>IFERROR(VLOOKUP(TableHandbook[[#This Row],[UDC]],TableMJRUINTBU[],7,FALSE),"")</f>
        <v/>
      </c>
      <c r="AH71" s="66" t="str">
        <f>IFERROR(VLOOKUP(TableHandbook[[#This Row],[UDC]],TableMJRULGSCM[],7,FALSE),"")</f>
        <v/>
      </c>
      <c r="AI71" s="66" t="str">
        <f>IFERROR(VLOOKUP(TableHandbook[[#This Row],[UDC]],TableMJRUMNGMT[],7,FALSE),"")</f>
        <v/>
      </c>
      <c r="AJ71" s="66" t="str">
        <f>IFERROR(VLOOKUP(TableHandbook[[#This Row],[UDC]],TableMJRUMRKTG[],7,FALSE),"")</f>
        <v/>
      </c>
      <c r="AK71" s="66" t="str">
        <f>IFERROR(VLOOKUP(TableHandbook[[#This Row],[UDC]],TableMJRUPRPTY[],7,FALSE),"")</f>
        <v/>
      </c>
      <c r="AL71" s="66" t="str">
        <f>IFERROR(VLOOKUP(TableHandbook[[#This Row],[UDC]],TableMJRUSCRAR[],7,FALSE),"")</f>
        <v/>
      </c>
      <c r="AM71" s="66" t="str">
        <f>IFERROR(VLOOKUP(TableHandbook[[#This Row],[UDC]],TableMJRUTHTRA[],7,FALSE),"")</f>
        <v/>
      </c>
      <c r="AN71" s="66" t="str">
        <f>IFERROR(VLOOKUP(TableHandbook[[#This Row],[UDC]],TableMJRUTRHOS[],7,FALSE),"")</f>
        <v/>
      </c>
    </row>
    <row r="72" spans="1:40" x14ac:dyDescent="0.25">
      <c r="A72" s="8" t="s">
        <v>494</v>
      </c>
      <c r="B72" s="9">
        <v>2</v>
      </c>
      <c r="C72" s="8"/>
      <c r="D72" s="8" t="s">
        <v>589</v>
      </c>
      <c r="E72" s="9">
        <v>25</v>
      </c>
      <c r="F72" s="49" t="s">
        <v>590</v>
      </c>
      <c r="G72" s="67" t="str">
        <f>IFERROR(IF(VLOOKUP(TableHandbook[[#This Row],[UDC]],TableAvailabilities[],2,FALSE)&gt;0,"Y",""),"")</f>
        <v>Y</v>
      </c>
      <c r="H72" s="68" t="str">
        <f>IFERROR(IF(VLOOKUP(TableHandbook[[#This Row],[UDC]],TableAvailabilities[],3,FALSE)&gt;0,"Y",""),"")</f>
        <v/>
      </c>
      <c r="I72" s="69" t="str">
        <f>IFERROR(IF(VLOOKUP(TableHandbook[[#This Row],[UDC]],TableAvailabilities[],4,FALSE)&gt;0,"Y",""),"")</f>
        <v/>
      </c>
      <c r="J72" s="70" t="str">
        <f>IFERROR(IF(VLOOKUP(TableHandbook[[#This Row],[UDC]],TableAvailabilities[],5,FALSE)&gt;0,"Y",""),"")</f>
        <v/>
      </c>
      <c r="K72" s="163"/>
      <c r="L72" s="64" t="str">
        <f>IFERROR(VLOOKUP(TableHandbook[[#This Row],[UDC]],TableBARTS[],7,FALSE),"")</f>
        <v/>
      </c>
      <c r="M72" s="65" t="str">
        <f>IFERROR(VLOOKUP(TableHandbook[[#This Row],[UDC]],TableMJRUANTSO[],7,FALSE),"")</f>
        <v/>
      </c>
      <c r="N72" s="65" t="str">
        <f>IFERROR(VLOOKUP(TableHandbook[[#This Row],[UDC]],TableMJRUCHNSE[],7,FALSE),"")</f>
        <v/>
      </c>
      <c r="O72" s="65" t="str">
        <f>IFERROR(VLOOKUP(TableHandbook[[#This Row],[UDC]],TableMJRUCRWRI[],7,FALSE),"")</f>
        <v/>
      </c>
      <c r="P72" s="65" t="str">
        <f>IFERROR(VLOOKUP(TableHandbook[[#This Row],[UDC]],TableMJRUGEOGR[],7,FALSE),"")</f>
        <v/>
      </c>
      <c r="Q72" s="65" t="str">
        <f>IFERROR(VLOOKUP(TableHandbook[[#This Row],[UDC]],TableMJRUHISTR[],7,FALSE),"")</f>
        <v/>
      </c>
      <c r="R72" s="65" t="str">
        <f>IFERROR(VLOOKUP(TableHandbook[[#This Row],[UDC]],TableMJRUINAUC[],7,FALSE),"")</f>
        <v/>
      </c>
      <c r="S72" s="65" t="str">
        <f>IFERROR(VLOOKUP(TableHandbook[[#This Row],[UDC]],TableMJRUINTRL[],7,FALSE),"")</f>
        <v/>
      </c>
      <c r="T72" s="65" t="str">
        <f>IFERROR(VLOOKUP(TableHandbook[[#This Row],[UDC]],TableMJRUJAPAN[],7,FALSE),"")</f>
        <v/>
      </c>
      <c r="U72" s="65" t="str">
        <f>IFERROR(VLOOKUP(TableHandbook[[#This Row],[UDC]],TableMJRUJOURN[],7,FALSE),"")</f>
        <v/>
      </c>
      <c r="V72" s="65" t="str">
        <f>IFERROR(VLOOKUP(TableHandbook[[#This Row],[UDC]],TableMJRUKORES[],7,FALSE),"")</f>
        <v/>
      </c>
      <c r="W72" s="65" t="str">
        <f>IFERROR(VLOOKUP(TableHandbook[[#This Row],[UDC]],TableMJRULITCU[],7,FALSE),"")</f>
        <v/>
      </c>
      <c r="X72" s="65" t="str">
        <f>IFERROR(VLOOKUP(TableHandbook[[#This Row],[UDC]],TableMJRUNETCM[],7,FALSE),"")</f>
        <v/>
      </c>
      <c r="Y72" s="65" t="str">
        <f>IFERROR(VLOOKUP(TableHandbook[[#This Row],[UDC]],TableMJRUPRWRP[],7,FALSE),"")</f>
        <v/>
      </c>
      <c r="Z72" s="66" t="str">
        <f>IFERROR(VLOOKUP(TableHandbook[[#This Row],[UDC]],TableMJRUSCSTR[],7,FALSE),"")</f>
        <v/>
      </c>
      <c r="AA72" s="74"/>
      <c r="AB72" s="66" t="str">
        <f>IFERROR(VLOOKUP(TableHandbook[[#This Row],[UDC]],TableMJRUBSLAW[],7,FALSE),"")</f>
        <v/>
      </c>
      <c r="AC72" s="66" t="str">
        <f>IFERROR(VLOOKUP(TableHandbook[[#This Row],[UDC]],TableMJRUECONS[],7,FALSE),"")</f>
        <v>AltCore</v>
      </c>
      <c r="AD72" s="66" t="str">
        <f>IFERROR(VLOOKUP(TableHandbook[[#This Row],[UDC]],TableMJRUFINAR[],7,FALSE),"")</f>
        <v/>
      </c>
      <c r="AE72" s="66" t="str">
        <f>IFERROR(VLOOKUP(TableHandbook[[#This Row],[UDC]],TableMJRUFINCE[],7,FALSE),"")</f>
        <v/>
      </c>
      <c r="AF72" s="66" t="str">
        <f>IFERROR(VLOOKUP(TableHandbook[[#This Row],[UDC]],TableMJRUHRMGM[],7,FALSE),"")</f>
        <v/>
      </c>
      <c r="AG72" s="66" t="str">
        <f>IFERROR(VLOOKUP(TableHandbook[[#This Row],[UDC]],TableMJRUINTBU[],7,FALSE),"")</f>
        <v/>
      </c>
      <c r="AH72" s="66" t="str">
        <f>IFERROR(VLOOKUP(TableHandbook[[#This Row],[UDC]],TableMJRULGSCM[],7,FALSE),"")</f>
        <v/>
      </c>
      <c r="AI72" s="66" t="str">
        <f>IFERROR(VLOOKUP(TableHandbook[[#This Row],[UDC]],TableMJRUMNGMT[],7,FALSE),"")</f>
        <v/>
      </c>
      <c r="AJ72" s="66" t="str">
        <f>IFERROR(VLOOKUP(TableHandbook[[#This Row],[UDC]],TableMJRUMRKTG[],7,FALSE),"")</f>
        <v/>
      </c>
      <c r="AK72" s="66" t="str">
        <f>IFERROR(VLOOKUP(TableHandbook[[#This Row],[UDC]],TableMJRUPRPTY[],7,FALSE),"")</f>
        <v/>
      </c>
      <c r="AL72" s="66" t="str">
        <f>IFERROR(VLOOKUP(TableHandbook[[#This Row],[UDC]],TableMJRUSCRAR[],7,FALSE),"")</f>
        <v/>
      </c>
      <c r="AM72" s="66" t="str">
        <f>IFERROR(VLOOKUP(TableHandbook[[#This Row],[UDC]],TableMJRUTHTRA[],7,FALSE),"")</f>
        <v/>
      </c>
      <c r="AN72" s="66" t="str">
        <f>IFERROR(VLOOKUP(TableHandbook[[#This Row],[UDC]],TableMJRUTRHOS[],7,FALSE),"")</f>
        <v/>
      </c>
    </row>
    <row r="73" spans="1:40" x14ac:dyDescent="0.25">
      <c r="A73" s="8" t="s">
        <v>444</v>
      </c>
      <c r="B73" s="9">
        <v>1</v>
      </c>
      <c r="C73" s="8"/>
      <c r="D73" s="8" t="s">
        <v>591</v>
      </c>
      <c r="E73" s="9">
        <v>25</v>
      </c>
      <c r="F73" s="49" t="s">
        <v>394</v>
      </c>
      <c r="G73" s="67" t="str">
        <f>IFERROR(IF(VLOOKUP(TableHandbook[[#This Row],[UDC]],TableAvailabilities[],2,FALSE)&gt;0,"Y",""),"")</f>
        <v/>
      </c>
      <c r="H73" s="68" t="str">
        <f>IFERROR(IF(VLOOKUP(TableHandbook[[#This Row],[UDC]],TableAvailabilities[],3,FALSE)&gt;0,"Y",""),"")</f>
        <v/>
      </c>
      <c r="I73" s="69" t="str">
        <f>IFERROR(IF(VLOOKUP(TableHandbook[[#This Row],[UDC]],TableAvailabilities[],4,FALSE)&gt;0,"Y",""),"")</f>
        <v>Y</v>
      </c>
      <c r="J73" s="70" t="str">
        <f>IFERROR(IF(VLOOKUP(TableHandbook[[#This Row],[UDC]],TableAvailabilities[],5,FALSE)&gt;0,"Y",""),"")</f>
        <v/>
      </c>
      <c r="K73" s="163"/>
      <c r="L73" s="64" t="str">
        <f>IFERROR(VLOOKUP(TableHandbook[[#This Row],[UDC]],TableBARTS[],7,FALSE),"")</f>
        <v/>
      </c>
      <c r="M73" s="65" t="str">
        <f>IFERROR(VLOOKUP(TableHandbook[[#This Row],[UDC]],TableMJRUANTSO[],7,FALSE),"")</f>
        <v/>
      </c>
      <c r="N73" s="65" t="str">
        <f>IFERROR(VLOOKUP(TableHandbook[[#This Row],[UDC]],TableMJRUCHNSE[],7,FALSE),"")</f>
        <v/>
      </c>
      <c r="O73" s="65" t="str">
        <f>IFERROR(VLOOKUP(TableHandbook[[#This Row],[UDC]],TableMJRUCRWRI[],7,FALSE),"")</f>
        <v/>
      </c>
      <c r="P73" s="65" t="str">
        <f>IFERROR(VLOOKUP(TableHandbook[[#This Row],[UDC]],TableMJRUGEOGR[],7,FALSE),"")</f>
        <v/>
      </c>
      <c r="Q73" s="65" t="str">
        <f>IFERROR(VLOOKUP(TableHandbook[[#This Row],[UDC]],TableMJRUHISTR[],7,FALSE),"")</f>
        <v/>
      </c>
      <c r="R73" s="65" t="str">
        <f>IFERROR(VLOOKUP(TableHandbook[[#This Row],[UDC]],TableMJRUINAUC[],7,FALSE),"")</f>
        <v/>
      </c>
      <c r="S73" s="65" t="str">
        <f>IFERROR(VLOOKUP(TableHandbook[[#This Row],[UDC]],TableMJRUINTRL[],7,FALSE),"")</f>
        <v/>
      </c>
      <c r="T73" s="65" t="str">
        <f>IFERROR(VLOOKUP(TableHandbook[[#This Row],[UDC]],TableMJRUJAPAN[],7,FALSE),"")</f>
        <v/>
      </c>
      <c r="U73" s="65" t="str">
        <f>IFERROR(VLOOKUP(TableHandbook[[#This Row],[UDC]],TableMJRUJOURN[],7,FALSE),"")</f>
        <v/>
      </c>
      <c r="V73" s="65" t="str">
        <f>IFERROR(VLOOKUP(TableHandbook[[#This Row],[UDC]],TableMJRUKORES[],7,FALSE),"")</f>
        <v/>
      </c>
      <c r="W73" s="65" t="str">
        <f>IFERROR(VLOOKUP(TableHandbook[[#This Row],[UDC]],TableMJRULITCU[],7,FALSE),"")</f>
        <v/>
      </c>
      <c r="X73" s="65" t="str">
        <f>IFERROR(VLOOKUP(TableHandbook[[#This Row],[UDC]],TableMJRUNETCM[],7,FALSE),"")</f>
        <v/>
      </c>
      <c r="Y73" s="65" t="str">
        <f>IFERROR(VLOOKUP(TableHandbook[[#This Row],[UDC]],TableMJRUPRWRP[],7,FALSE),"")</f>
        <v/>
      </c>
      <c r="Z73" s="66" t="str">
        <f>IFERROR(VLOOKUP(TableHandbook[[#This Row],[UDC]],TableMJRUSCSTR[],7,FALSE),"")</f>
        <v/>
      </c>
      <c r="AA73" s="74"/>
      <c r="AB73" s="66" t="str">
        <f>IFERROR(VLOOKUP(TableHandbook[[#This Row],[UDC]],TableMJRUBSLAW[],7,FALSE),"")</f>
        <v/>
      </c>
      <c r="AC73" s="66" t="str">
        <f>IFERROR(VLOOKUP(TableHandbook[[#This Row],[UDC]],TableMJRUECONS[],7,FALSE),"")</f>
        <v>Core</v>
      </c>
      <c r="AD73" s="66" t="str">
        <f>IFERROR(VLOOKUP(TableHandbook[[#This Row],[UDC]],TableMJRUFINAR[],7,FALSE),"")</f>
        <v/>
      </c>
      <c r="AE73" s="66" t="str">
        <f>IFERROR(VLOOKUP(TableHandbook[[#This Row],[UDC]],TableMJRUFINCE[],7,FALSE),"")</f>
        <v/>
      </c>
      <c r="AF73" s="66" t="str">
        <f>IFERROR(VLOOKUP(TableHandbook[[#This Row],[UDC]],TableMJRUHRMGM[],7,FALSE),"")</f>
        <v/>
      </c>
      <c r="AG73" s="66" t="str">
        <f>IFERROR(VLOOKUP(TableHandbook[[#This Row],[UDC]],TableMJRUINTBU[],7,FALSE),"")</f>
        <v/>
      </c>
      <c r="AH73" s="66" t="str">
        <f>IFERROR(VLOOKUP(TableHandbook[[#This Row],[UDC]],TableMJRULGSCM[],7,FALSE),"")</f>
        <v/>
      </c>
      <c r="AI73" s="66" t="str">
        <f>IFERROR(VLOOKUP(TableHandbook[[#This Row],[UDC]],TableMJRUMNGMT[],7,FALSE),"")</f>
        <v/>
      </c>
      <c r="AJ73" s="66" t="str">
        <f>IFERROR(VLOOKUP(TableHandbook[[#This Row],[UDC]],TableMJRUMRKTG[],7,FALSE),"")</f>
        <v/>
      </c>
      <c r="AK73" s="66" t="str">
        <f>IFERROR(VLOOKUP(TableHandbook[[#This Row],[UDC]],TableMJRUPRPTY[],7,FALSE),"")</f>
        <v/>
      </c>
      <c r="AL73" s="66" t="str">
        <f>IFERROR(VLOOKUP(TableHandbook[[#This Row],[UDC]],TableMJRUSCRAR[],7,FALSE),"")</f>
        <v/>
      </c>
      <c r="AM73" s="66" t="str">
        <f>IFERROR(VLOOKUP(TableHandbook[[#This Row],[UDC]],TableMJRUTHTRA[],7,FALSE),"")</f>
        <v/>
      </c>
      <c r="AN73" s="66" t="str">
        <f>IFERROR(VLOOKUP(TableHandbook[[#This Row],[UDC]],TableMJRUTRHOS[],7,FALSE),"")</f>
        <v/>
      </c>
    </row>
    <row r="74" spans="1:40" x14ac:dyDescent="0.25">
      <c r="A74" s="8" t="s">
        <v>496</v>
      </c>
      <c r="B74" s="9">
        <v>1</v>
      </c>
      <c r="C74" s="8"/>
      <c r="D74" s="8" t="s">
        <v>592</v>
      </c>
      <c r="E74" s="9">
        <v>25</v>
      </c>
      <c r="F74" s="49" t="s">
        <v>585</v>
      </c>
      <c r="G74" s="67" t="str">
        <f>IFERROR(IF(VLOOKUP(TableHandbook[[#This Row],[UDC]],TableAvailabilities[],2,FALSE)&gt;0,"Y",""),"")</f>
        <v/>
      </c>
      <c r="H74" s="68" t="str">
        <f>IFERROR(IF(VLOOKUP(TableHandbook[[#This Row],[UDC]],TableAvailabilities[],3,FALSE)&gt;0,"Y",""),"")</f>
        <v/>
      </c>
      <c r="I74" s="69" t="str">
        <f>IFERROR(IF(VLOOKUP(TableHandbook[[#This Row],[UDC]],TableAvailabilities[],4,FALSE)&gt;0,"Y",""),"")</f>
        <v>Y</v>
      </c>
      <c r="J74" s="70" t="str">
        <f>IFERROR(IF(VLOOKUP(TableHandbook[[#This Row],[UDC]],TableAvailabilities[],5,FALSE)&gt;0,"Y",""),"")</f>
        <v/>
      </c>
      <c r="K74" s="163"/>
      <c r="L74" s="64" t="str">
        <f>IFERROR(VLOOKUP(TableHandbook[[#This Row],[UDC]],TableBARTS[],7,FALSE),"")</f>
        <v/>
      </c>
      <c r="M74" s="65" t="str">
        <f>IFERROR(VLOOKUP(TableHandbook[[#This Row],[UDC]],TableMJRUANTSO[],7,FALSE),"")</f>
        <v/>
      </c>
      <c r="N74" s="65" t="str">
        <f>IFERROR(VLOOKUP(TableHandbook[[#This Row],[UDC]],TableMJRUCHNSE[],7,FALSE),"")</f>
        <v/>
      </c>
      <c r="O74" s="65" t="str">
        <f>IFERROR(VLOOKUP(TableHandbook[[#This Row],[UDC]],TableMJRUCRWRI[],7,FALSE),"")</f>
        <v/>
      </c>
      <c r="P74" s="65" t="str">
        <f>IFERROR(VLOOKUP(TableHandbook[[#This Row],[UDC]],TableMJRUGEOGR[],7,FALSE),"")</f>
        <v/>
      </c>
      <c r="Q74" s="65" t="str">
        <f>IFERROR(VLOOKUP(TableHandbook[[#This Row],[UDC]],TableMJRUHISTR[],7,FALSE),"")</f>
        <v/>
      </c>
      <c r="R74" s="65" t="str">
        <f>IFERROR(VLOOKUP(TableHandbook[[#This Row],[UDC]],TableMJRUINAUC[],7,FALSE),"")</f>
        <v/>
      </c>
      <c r="S74" s="65" t="str">
        <f>IFERROR(VLOOKUP(TableHandbook[[#This Row],[UDC]],TableMJRUINTRL[],7,FALSE),"")</f>
        <v/>
      </c>
      <c r="T74" s="65" t="str">
        <f>IFERROR(VLOOKUP(TableHandbook[[#This Row],[UDC]],TableMJRUJAPAN[],7,FALSE),"")</f>
        <v/>
      </c>
      <c r="U74" s="65" t="str">
        <f>IFERROR(VLOOKUP(TableHandbook[[#This Row],[UDC]],TableMJRUJOURN[],7,FALSE),"")</f>
        <v/>
      </c>
      <c r="V74" s="65" t="str">
        <f>IFERROR(VLOOKUP(TableHandbook[[#This Row],[UDC]],TableMJRUKORES[],7,FALSE),"")</f>
        <v/>
      </c>
      <c r="W74" s="65" t="str">
        <f>IFERROR(VLOOKUP(TableHandbook[[#This Row],[UDC]],TableMJRULITCU[],7,FALSE),"")</f>
        <v/>
      </c>
      <c r="X74" s="65" t="str">
        <f>IFERROR(VLOOKUP(TableHandbook[[#This Row],[UDC]],TableMJRUNETCM[],7,FALSE),"")</f>
        <v/>
      </c>
      <c r="Y74" s="65" t="str">
        <f>IFERROR(VLOOKUP(TableHandbook[[#This Row],[UDC]],TableMJRUPRWRP[],7,FALSE),"")</f>
        <v/>
      </c>
      <c r="Z74" s="66" t="str">
        <f>IFERROR(VLOOKUP(TableHandbook[[#This Row],[UDC]],TableMJRUSCSTR[],7,FALSE),"")</f>
        <v/>
      </c>
      <c r="AA74" s="74"/>
      <c r="AB74" s="66" t="str">
        <f>IFERROR(VLOOKUP(TableHandbook[[#This Row],[UDC]],TableMJRUBSLAW[],7,FALSE),"")</f>
        <v/>
      </c>
      <c r="AC74" s="66" t="str">
        <f>IFERROR(VLOOKUP(TableHandbook[[#This Row],[UDC]],TableMJRUECONS[],7,FALSE),"")</f>
        <v>AltCore</v>
      </c>
      <c r="AD74" s="66" t="str">
        <f>IFERROR(VLOOKUP(TableHandbook[[#This Row],[UDC]],TableMJRUFINAR[],7,FALSE),"")</f>
        <v/>
      </c>
      <c r="AE74" s="66" t="str">
        <f>IFERROR(VLOOKUP(TableHandbook[[#This Row],[UDC]],TableMJRUFINCE[],7,FALSE),"")</f>
        <v/>
      </c>
      <c r="AF74" s="66" t="str">
        <f>IFERROR(VLOOKUP(TableHandbook[[#This Row],[UDC]],TableMJRUHRMGM[],7,FALSE),"")</f>
        <v/>
      </c>
      <c r="AG74" s="66" t="str">
        <f>IFERROR(VLOOKUP(TableHandbook[[#This Row],[UDC]],TableMJRUINTBU[],7,FALSE),"")</f>
        <v/>
      </c>
      <c r="AH74" s="66" t="str">
        <f>IFERROR(VLOOKUP(TableHandbook[[#This Row],[UDC]],TableMJRULGSCM[],7,FALSE),"")</f>
        <v/>
      </c>
      <c r="AI74" s="66" t="str">
        <f>IFERROR(VLOOKUP(TableHandbook[[#This Row],[UDC]],TableMJRUMNGMT[],7,FALSE),"")</f>
        <v/>
      </c>
      <c r="AJ74" s="66" t="str">
        <f>IFERROR(VLOOKUP(TableHandbook[[#This Row],[UDC]],TableMJRUMRKTG[],7,FALSE),"")</f>
        <v/>
      </c>
      <c r="AK74" s="66" t="str">
        <f>IFERROR(VLOOKUP(TableHandbook[[#This Row],[UDC]],TableMJRUPRPTY[],7,FALSE),"")</f>
        <v/>
      </c>
      <c r="AL74" s="66" t="str">
        <f>IFERROR(VLOOKUP(TableHandbook[[#This Row],[UDC]],TableMJRUSCRAR[],7,FALSE),"")</f>
        <v/>
      </c>
      <c r="AM74" s="66" t="str">
        <f>IFERROR(VLOOKUP(TableHandbook[[#This Row],[UDC]],TableMJRUTHTRA[],7,FALSE),"")</f>
        <v/>
      </c>
      <c r="AN74" s="66" t="str">
        <f>IFERROR(VLOOKUP(TableHandbook[[#This Row],[UDC]],TableMJRUTRHOS[],7,FALSE),"")</f>
        <v/>
      </c>
    </row>
    <row r="75" spans="1:40" x14ac:dyDescent="0.25">
      <c r="A75" s="8" t="s">
        <v>94</v>
      </c>
      <c r="B75" s="9">
        <v>0</v>
      </c>
      <c r="C75" s="8"/>
      <c r="D75" s="8" t="s">
        <v>593</v>
      </c>
      <c r="E75" s="9">
        <v>25</v>
      </c>
      <c r="F75" s="49" t="s">
        <v>594</v>
      </c>
      <c r="G75" s="67" t="str">
        <f>IFERROR(IF(VLOOKUP(TableHandbook[[#This Row],[UDC]],TableAvailabilities[],2,FALSE)&gt;0,"Y",""),"")</f>
        <v/>
      </c>
      <c r="H75" s="68" t="str">
        <f>IFERROR(IF(VLOOKUP(TableHandbook[[#This Row],[UDC]],TableAvailabilities[],3,FALSE)&gt;0,"Y",""),"")</f>
        <v/>
      </c>
      <c r="I75" s="69" t="str">
        <f>IFERROR(IF(VLOOKUP(TableHandbook[[#This Row],[UDC]],TableAvailabilities[],4,FALSE)&gt;0,"Y",""),"")</f>
        <v/>
      </c>
      <c r="J75" s="70" t="str">
        <f>IFERROR(IF(VLOOKUP(TableHandbook[[#This Row],[UDC]],TableAvailabilities[],5,FALSE)&gt;0,"Y",""),"")</f>
        <v/>
      </c>
      <c r="K75" s="163"/>
      <c r="L75" s="64" t="str">
        <f>IFERROR(VLOOKUP(TableHandbook[[#This Row],[UDC]],TableBARTS[],7,FALSE),"")</f>
        <v>Elective</v>
      </c>
      <c r="M75" s="65" t="str">
        <f>IFERROR(VLOOKUP(TableHandbook[[#This Row],[UDC]],TableMJRUANTSO[],7,FALSE),"")</f>
        <v/>
      </c>
      <c r="N75" s="65" t="str">
        <f>IFERROR(VLOOKUP(TableHandbook[[#This Row],[UDC]],TableMJRUCHNSE[],7,FALSE),"")</f>
        <v/>
      </c>
      <c r="O75" s="65" t="str">
        <f>IFERROR(VLOOKUP(TableHandbook[[#This Row],[UDC]],TableMJRUCRWRI[],7,FALSE),"")</f>
        <v/>
      </c>
      <c r="P75" s="65" t="str">
        <f>IFERROR(VLOOKUP(TableHandbook[[#This Row],[UDC]],TableMJRUGEOGR[],7,FALSE),"")</f>
        <v/>
      </c>
      <c r="Q75" s="65" t="str">
        <f>IFERROR(VLOOKUP(TableHandbook[[#This Row],[UDC]],TableMJRUHISTR[],7,FALSE),"")</f>
        <v/>
      </c>
      <c r="R75" s="65" t="str">
        <f>IFERROR(VLOOKUP(TableHandbook[[#This Row],[UDC]],TableMJRUINAUC[],7,FALSE),"")</f>
        <v/>
      </c>
      <c r="S75" s="65" t="str">
        <f>IFERROR(VLOOKUP(TableHandbook[[#This Row],[UDC]],TableMJRUINTRL[],7,FALSE),"")</f>
        <v/>
      </c>
      <c r="T75" s="65" t="str">
        <f>IFERROR(VLOOKUP(TableHandbook[[#This Row],[UDC]],TableMJRUJAPAN[],7,FALSE),"")</f>
        <v/>
      </c>
      <c r="U75" s="65" t="str">
        <f>IFERROR(VLOOKUP(TableHandbook[[#This Row],[UDC]],TableMJRUJOURN[],7,FALSE),"")</f>
        <v/>
      </c>
      <c r="V75" s="65" t="str">
        <f>IFERROR(VLOOKUP(TableHandbook[[#This Row],[UDC]],TableMJRUKORES[],7,FALSE),"")</f>
        <v/>
      </c>
      <c r="W75" s="65" t="str">
        <f>IFERROR(VLOOKUP(TableHandbook[[#This Row],[UDC]],TableMJRULITCU[],7,FALSE),"")</f>
        <v/>
      </c>
      <c r="X75" s="65" t="str">
        <f>IFERROR(VLOOKUP(TableHandbook[[#This Row],[UDC]],TableMJRUNETCM[],7,FALSE),"")</f>
        <v/>
      </c>
      <c r="Y75" s="65" t="str">
        <f>IFERROR(VLOOKUP(TableHandbook[[#This Row],[UDC]],TableMJRUPRWRP[],7,FALSE),"")</f>
        <v/>
      </c>
      <c r="Z75" s="66" t="str">
        <f>IFERROR(VLOOKUP(TableHandbook[[#This Row],[UDC]],TableMJRUSCSTR[],7,FALSE),"")</f>
        <v/>
      </c>
      <c r="AA75" s="74"/>
      <c r="AB75" s="66" t="str">
        <f>IFERROR(VLOOKUP(TableHandbook[[#This Row],[UDC]],TableMJRUBSLAW[],7,FALSE),"")</f>
        <v/>
      </c>
      <c r="AC75" s="66" t="str">
        <f>IFERROR(VLOOKUP(TableHandbook[[#This Row],[UDC]],TableMJRUECONS[],7,FALSE),"")</f>
        <v/>
      </c>
      <c r="AD75" s="66" t="str">
        <f>IFERROR(VLOOKUP(TableHandbook[[#This Row],[UDC]],TableMJRUFINAR[],7,FALSE),"")</f>
        <v/>
      </c>
      <c r="AE75" s="66" t="str">
        <f>IFERROR(VLOOKUP(TableHandbook[[#This Row],[UDC]],TableMJRUFINCE[],7,FALSE),"")</f>
        <v/>
      </c>
      <c r="AF75" s="66" t="str">
        <f>IFERROR(VLOOKUP(TableHandbook[[#This Row],[UDC]],TableMJRUHRMGM[],7,FALSE),"")</f>
        <v/>
      </c>
      <c r="AG75" s="66" t="str">
        <f>IFERROR(VLOOKUP(TableHandbook[[#This Row],[UDC]],TableMJRUINTBU[],7,FALSE),"")</f>
        <v/>
      </c>
      <c r="AH75" s="66" t="str">
        <f>IFERROR(VLOOKUP(TableHandbook[[#This Row],[UDC]],TableMJRULGSCM[],7,FALSE),"")</f>
        <v/>
      </c>
      <c r="AI75" s="66" t="str">
        <f>IFERROR(VLOOKUP(TableHandbook[[#This Row],[UDC]],TableMJRUMNGMT[],7,FALSE),"")</f>
        <v/>
      </c>
      <c r="AJ75" s="66" t="str">
        <f>IFERROR(VLOOKUP(TableHandbook[[#This Row],[UDC]],TableMJRUMRKTG[],7,FALSE),"")</f>
        <v/>
      </c>
      <c r="AK75" s="66" t="str">
        <f>IFERROR(VLOOKUP(TableHandbook[[#This Row],[UDC]],TableMJRUPRPTY[],7,FALSE),"")</f>
        <v/>
      </c>
      <c r="AL75" s="66" t="str">
        <f>IFERROR(VLOOKUP(TableHandbook[[#This Row],[UDC]],TableMJRUSCRAR[],7,FALSE),"")</f>
        <v/>
      </c>
      <c r="AM75" s="66" t="str">
        <f>IFERROR(VLOOKUP(TableHandbook[[#This Row],[UDC]],TableMJRUTHTRA[],7,FALSE),"")</f>
        <v/>
      </c>
      <c r="AN75" s="66" t="str">
        <f>IFERROR(VLOOKUP(TableHandbook[[#This Row],[UDC]],TableMJRUTRHOS[],7,FALSE),"")</f>
        <v/>
      </c>
    </row>
    <row r="76" spans="1:40" x14ac:dyDescent="0.25">
      <c r="A76" s="238" t="s">
        <v>912</v>
      </c>
      <c r="B76" s="239"/>
      <c r="C76" s="240"/>
      <c r="D76" s="8" t="s">
        <v>1031</v>
      </c>
      <c r="E76" s="239"/>
      <c r="F76" s="241" t="s">
        <v>1026</v>
      </c>
      <c r="G76" s="245" t="str">
        <f>IFERROR(IF(VLOOKUP(TableHandbook[[#This Row],[UDC]],TableAvailabilities[],2,FALSE)&gt;0,"Y",""),"")</f>
        <v/>
      </c>
      <c r="H76" s="246" t="str">
        <f>IFERROR(IF(VLOOKUP(TableHandbook[[#This Row],[UDC]],TableAvailabilities[],3,FALSE)&gt;0,"Y",""),"")</f>
        <v/>
      </c>
      <c r="I76" s="247" t="str">
        <f>IFERROR(IF(VLOOKUP(TableHandbook[[#This Row],[UDC]],TableAvailabilities[],4,FALSE)&gt;0,"Y",""),"")</f>
        <v/>
      </c>
      <c r="J76" s="248" t="str">
        <f>IFERROR(IF(VLOOKUP(TableHandbook[[#This Row],[UDC]],TableAvailabilities[],5,FALSE)&gt;0,"Y",""),"")</f>
        <v/>
      </c>
      <c r="K76" s="249"/>
      <c r="L76" s="252" t="str">
        <f>IFERROR(VLOOKUP(TableHandbook[[#This Row],[UDC]],TableBARTS[],7,FALSE),"")</f>
        <v/>
      </c>
      <c r="M76" s="235" t="str">
        <f>IFERROR(VLOOKUP(TableHandbook[[#This Row],[UDC]],TableMJRUANTSO[],7,FALSE),"")</f>
        <v/>
      </c>
      <c r="N76" s="235" t="str">
        <f>IFERROR(VLOOKUP(TableHandbook[[#This Row],[UDC]],TableMJRUCHNSE[],7,FALSE),"")</f>
        <v/>
      </c>
      <c r="O76" s="235" t="str">
        <f>IFERROR(VLOOKUP(TableHandbook[[#This Row],[UDC]],TableMJRUCRWRI[],7,FALSE),"")</f>
        <v/>
      </c>
      <c r="P76" s="235" t="str">
        <f>IFERROR(VLOOKUP(TableHandbook[[#This Row],[UDC]],TableMJRUGEOGR[],7,FALSE),"")</f>
        <v/>
      </c>
      <c r="Q76" s="235" t="str">
        <f>IFERROR(VLOOKUP(TableHandbook[[#This Row],[UDC]],TableMJRUHISTR[],7,FALSE),"")</f>
        <v/>
      </c>
      <c r="R76" s="235" t="str">
        <f>IFERROR(VLOOKUP(TableHandbook[[#This Row],[UDC]],TableMJRUINAUC[],7,FALSE),"")</f>
        <v/>
      </c>
      <c r="S76" s="235" t="str">
        <f>IFERROR(VLOOKUP(TableHandbook[[#This Row],[UDC]],TableMJRUINTRL[],7,FALSE),"")</f>
        <v/>
      </c>
      <c r="T76" s="235" t="str">
        <f>IFERROR(VLOOKUP(TableHandbook[[#This Row],[UDC]],TableMJRUJAPAN[],7,FALSE),"")</f>
        <v/>
      </c>
      <c r="U76" s="235" t="str">
        <f>IFERROR(VLOOKUP(TableHandbook[[#This Row],[UDC]],TableMJRUJOURN[],7,FALSE),"")</f>
        <v/>
      </c>
      <c r="V76" s="235" t="str">
        <f>IFERROR(VLOOKUP(TableHandbook[[#This Row],[UDC]],TableMJRUKORES[],7,FALSE),"")</f>
        <v/>
      </c>
      <c r="W76" s="235" t="str">
        <f>IFERROR(VLOOKUP(TableHandbook[[#This Row],[UDC]],TableMJRULITCU[],7,FALSE),"")</f>
        <v/>
      </c>
      <c r="X76" s="235" t="str">
        <f>IFERROR(VLOOKUP(TableHandbook[[#This Row],[UDC]],TableMJRUNETCM[],7,FALSE),"")</f>
        <v/>
      </c>
      <c r="Y76" s="235" t="str">
        <f>IFERROR(VLOOKUP(TableHandbook[[#This Row],[UDC]],TableMJRUPRWRP[],7,FALSE),"")</f>
        <v/>
      </c>
      <c r="Z76" s="237" t="str">
        <f>IFERROR(VLOOKUP(TableHandbook[[#This Row],[UDC]],TableMJRUSCSTR[],7,FALSE),"")</f>
        <v/>
      </c>
      <c r="AA76" s="236"/>
      <c r="AB76" s="237" t="str">
        <f>IFERROR(VLOOKUP(TableHandbook[[#This Row],[UDC]],TableMJRUBSLAW[],7,FALSE),"")</f>
        <v/>
      </c>
      <c r="AC76" s="237" t="str">
        <f>IFERROR(VLOOKUP(TableHandbook[[#This Row],[UDC]],TableMJRUECONS[],7,FALSE),"")</f>
        <v/>
      </c>
      <c r="AD76" s="237" t="str">
        <f>IFERROR(VLOOKUP(TableHandbook[[#This Row],[UDC]],TableMJRUFINAR[],7,FALSE),"")</f>
        <v/>
      </c>
      <c r="AE76" s="237" t="str">
        <f>IFERROR(VLOOKUP(TableHandbook[[#This Row],[UDC]],TableMJRUFINCE[],7,FALSE),"")</f>
        <v/>
      </c>
      <c r="AF76" s="237" t="str">
        <f>IFERROR(VLOOKUP(TableHandbook[[#This Row],[UDC]],TableMJRUHRMGM[],7,FALSE),"")</f>
        <v/>
      </c>
      <c r="AG76" s="237" t="str">
        <f>IFERROR(VLOOKUP(TableHandbook[[#This Row],[UDC]],TableMJRUINTBU[],7,FALSE),"")</f>
        <v/>
      </c>
      <c r="AH76" s="237" t="str">
        <f>IFERROR(VLOOKUP(TableHandbook[[#This Row],[UDC]],TableMJRULGSCM[],7,FALSE),"")</f>
        <v/>
      </c>
      <c r="AI76" s="237" t="str">
        <f>IFERROR(VLOOKUP(TableHandbook[[#This Row],[UDC]],TableMJRUMNGMT[],7,FALSE),"")</f>
        <v/>
      </c>
      <c r="AJ76" s="237" t="str">
        <f>IFERROR(VLOOKUP(TableHandbook[[#This Row],[UDC]],TableMJRUMRKTG[],7,FALSE),"")</f>
        <v/>
      </c>
      <c r="AK76" s="237" t="str">
        <f>IFERROR(VLOOKUP(TableHandbook[[#This Row],[UDC]],TableMJRUPRPTY[],7,FALSE),"")</f>
        <v/>
      </c>
      <c r="AL76" s="237" t="str">
        <f>IFERROR(VLOOKUP(TableHandbook[[#This Row],[UDC]],TableMJRUSCRAR[],7,FALSE),"")</f>
        <v/>
      </c>
      <c r="AM76" s="237" t="str">
        <f>IFERROR(VLOOKUP(TableHandbook[[#This Row],[UDC]],TableMJRUTHTRA[],7,FALSE),"")</f>
        <v/>
      </c>
      <c r="AN76" s="237" t="str">
        <f>IFERROR(VLOOKUP(TableHandbook[[#This Row],[UDC]],TableMJRUTRHOS[],7,FALSE),"")</f>
        <v/>
      </c>
    </row>
    <row r="77" spans="1:40" x14ac:dyDescent="0.25">
      <c r="A77" s="8" t="s">
        <v>382</v>
      </c>
      <c r="B77" s="9">
        <v>1</v>
      </c>
      <c r="C77" s="8"/>
      <c r="D77" s="8" t="s">
        <v>595</v>
      </c>
      <c r="E77" s="9">
        <v>25</v>
      </c>
      <c r="F77" s="49" t="s">
        <v>526</v>
      </c>
      <c r="G77" s="67" t="str">
        <f>IFERROR(IF(VLOOKUP(TableHandbook[[#This Row],[UDC]],TableAvailabilities[],2,FALSE)&gt;0,"Y",""),"")</f>
        <v>Y</v>
      </c>
      <c r="H77" s="68" t="str">
        <f>IFERROR(IF(VLOOKUP(TableHandbook[[#This Row],[UDC]],TableAvailabilities[],3,FALSE)&gt;0,"Y",""),"")</f>
        <v>Y</v>
      </c>
      <c r="I77" s="69" t="str">
        <f>IFERROR(IF(VLOOKUP(TableHandbook[[#This Row],[UDC]],TableAvailabilities[],4,FALSE)&gt;0,"Y",""),"")</f>
        <v>Y</v>
      </c>
      <c r="J77" s="70" t="str">
        <f>IFERROR(IF(VLOOKUP(TableHandbook[[#This Row],[UDC]],TableAvailabilities[],5,FALSE)&gt;0,"Y",""),"")</f>
        <v>Y</v>
      </c>
      <c r="K77" s="163"/>
      <c r="L77" s="64" t="str">
        <f>IFERROR(VLOOKUP(TableHandbook[[#This Row],[UDC]],TableBARTS[],7,FALSE),"")</f>
        <v/>
      </c>
      <c r="M77" s="65" t="str">
        <f>IFERROR(VLOOKUP(TableHandbook[[#This Row],[UDC]],TableMJRUANTSO[],7,FALSE),"")</f>
        <v/>
      </c>
      <c r="N77" s="65" t="str">
        <f>IFERROR(VLOOKUP(TableHandbook[[#This Row],[UDC]],TableMJRUCHNSE[],7,FALSE),"")</f>
        <v/>
      </c>
      <c r="O77" s="65" t="str">
        <f>IFERROR(VLOOKUP(TableHandbook[[#This Row],[UDC]],TableMJRUCRWRI[],7,FALSE),"")</f>
        <v/>
      </c>
      <c r="P77" s="65" t="str">
        <f>IFERROR(VLOOKUP(TableHandbook[[#This Row],[UDC]],TableMJRUGEOGR[],7,FALSE),"")</f>
        <v/>
      </c>
      <c r="Q77" s="65" t="str">
        <f>IFERROR(VLOOKUP(TableHandbook[[#This Row],[UDC]],TableMJRUHISTR[],7,FALSE),"")</f>
        <v/>
      </c>
      <c r="R77" s="65" t="str">
        <f>IFERROR(VLOOKUP(TableHandbook[[#This Row],[UDC]],TableMJRUINAUC[],7,FALSE),"")</f>
        <v/>
      </c>
      <c r="S77" s="65" t="str">
        <f>IFERROR(VLOOKUP(TableHandbook[[#This Row],[UDC]],TableMJRUINTRL[],7,FALSE),"")</f>
        <v/>
      </c>
      <c r="T77" s="65" t="str">
        <f>IFERROR(VLOOKUP(TableHandbook[[#This Row],[UDC]],TableMJRUJAPAN[],7,FALSE),"")</f>
        <v/>
      </c>
      <c r="U77" s="65" t="str">
        <f>IFERROR(VLOOKUP(TableHandbook[[#This Row],[UDC]],TableMJRUJOURN[],7,FALSE),"")</f>
        <v/>
      </c>
      <c r="V77" s="65" t="str">
        <f>IFERROR(VLOOKUP(TableHandbook[[#This Row],[UDC]],TableMJRUKORES[],7,FALSE),"")</f>
        <v/>
      </c>
      <c r="W77" s="65" t="str">
        <f>IFERROR(VLOOKUP(TableHandbook[[#This Row],[UDC]],TableMJRULITCU[],7,FALSE),"")</f>
        <v/>
      </c>
      <c r="X77" s="65" t="str">
        <f>IFERROR(VLOOKUP(TableHandbook[[#This Row],[UDC]],TableMJRUNETCM[],7,FALSE),"")</f>
        <v/>
      </c>
      <c r="Y77" s="65" t="str">
        <f>IFERROR(VLOOKUP(TableHandbook[[#This Row],[UDC]],TableMJRUPRWRP[],7,FALSE),"")</f>
        <v/>
      </c>
      <c r="Z77" s="66" t="str">
        <f>IFERROR(VLOOKUP(TableHandbook[[#This Row],[UDC]],TableMJRUSCSTR[],7,FALSE),"")</f>
        <v/>
      </c>
      <c r="AA77" s="74"/>
      <c r="AB77" s="66" t="str">
        <f>IFERROR(VLOOKUP(TableHandbook[[#This Row],[UDC]],TableMJRUBSLAW[],7,FALSE),"")</f>
        <v/>
      </c>
      <c r="AC77" s="66" t="str">
        <f>IFERROR(VLOOKUP(TableHandbook[[#This Row],[UDC]],TableMJRUECONS[],7,FALSE),"")</f>
        <v/>
      </c>
      <c r="AD77" s="66" t="str">
        <f>IFERROR(VLOOKUP(TableHandbook[[#This Row],[UDC]],TableMJRUFINAR[],7,FALSE),"")</f>
        <v/>
      </c>
      <c r="AE77" s="66" t="str">
        <f>IFERROR(VLOOKUP(TableHandbook[[#This Row],[UDC]],TableMJRUFINCE[],7,FALSE),"")</f>
        <v>Core</v>
      </c>
      <c r="AF77" s="66" t="str">
        <f>IFERROR(VLOOKUP(TableHandbook[[#This Row],[UDC]],TableMJRUHRMGM[],7,FALSE),"")</f>
        <v/>
      </c>
      <c r="AG77" s="66" t="str">
        <f>IFERROR(VLOOKUP(TableHandbook[[#This Row],[UDC]],TableMJRUINTBU[],7,FALSE),"")</f>
        <v/>
      </c>
      <c r="AH77" s="66" t="str">
        <f>IFERROR(VLOOKUP(TableHandbook[[#This Row],[UDC]],TableMJRULGSCM[],7,FALSE),"")</f>
        <v/>
      </c>
      <c r="AI77" s="66" t="str">
        <f>IFERROR(VLOOKUP(TableHandbook[[#This Row],[UDC]],TableMJRUMNGMT[],7,FALSE),"")</f>
        <v/>
      </c>
      <c r="AJ77" s="66" t="str">
        <f>IFERROR(VLOOKUP(TableHandbook[[#This Row],[UDC]],TableMJRUMRKTG[],7,FALSE),"")</f>
        <v/>
      </c>
      <c r="AK77" s="66" t="str">
        <f>IFERROR(VLOOKUP(TableHandbook[[#This Row],[UDC]],TableMJRUPRPTY[],7,FALSE),"")</f>
        <v/>
      </c>
      <c r="AL77" s="66" t="str">
        <f>IFERROR(VLOOKUP(TableHandbook[[#This Row],[UDC]],TableMJRUSCRAR[],7,FALSE),"")</f>
        <v/>
      </c>
      <c r="AM77" s="66" t="str">
        <f>IFERROR(VLOOKUP(TableHandbook[[#This Row],[UDC]],TableMJRUTHTRA[],7,FALSE),"")</f>
        <v/>
      </c>
      <c r="AN77" s="66" t="str">
        <f>IFERROR(VLOOKUP(TableHandbook[[#This Row],[UDC]],TableMJRUTRHOS[],7,FALSE),"")</f>
        <v/>
      </c>
    </row>
    <row r="78" spans="1:40" x14ac:dyDescent="0.25">
      <c r="A78" s="8" t="s">
        <v>397</v>
      </c>
      <c r="B78" s="9">
        <v>3</v>
      </c>
      <c r="C78" s="8"/>
      <c r="D78" s="8" t="s">
        <v>596</v>
      </c>
      <c r="E78" s="9">
        <v>25</v>
      </c>
      <c r="F78" s="49" t="s">
        <v>382</v>
      </c>
      <c r="G78" s="67" t="str">
        <f>IFERROR(IF(VLOOKUP(TableHandbook[[#This Row],[UDC]],TableAvailabilities[],2,FALSE)&gt;0,"Y",""),"")</f>
        <v/>
      </c>
      <c r="H78" s="68" t="str">
        <f>IFERROR(IF(VLOOKUP(TableHandbook[[#This Row],[UDC]],TableAvailabilities[],3,FALSE)&gt;0,"Y",""),"")</f>
        <v/>
      </c>
      <c r="I78" s="69" t="str">
        <f>IFERROR(IF(VLOOKUP(TableHandbook[[#This Row],[UDC]],TableAvailabilities[],4,FALSE)&gt;0,"Y",""),"")</f>
        <v>Y</v>
      </c>
      <c r="J78" s="70" t="str">
        <f>IFERROR(IF(VLOOKUP(TableHandbook[[#This Row],[UDC]],TableAvailabilities[],5,FALSE)&gt;0,"Y",""),"")</f>
        <v>Y</v>
      </c>
      <c r="K78" s="163"/>
      <c r="L78" s="64" t="str">
        <f>IFERROR(VLOOKUP(TableHandbook[[#This Row],[UDC]],TableBARTS[],7,FALSE),"")</f>
        <v/>
      </c>
      <c r="M78" s="65" t="str">
        <f>IFERROR(VLOOKUP(TableHandbook[[#This Row],[UDC]],TableMJRUANTSO[],7,FALSE),"")</f>
        <v/>
      </c>
      <c r="N78" s="65" t="str">
        <f>IFERROR(VLOOKUP(TableHandbook[[#This Row],[UDC]],TableMJRUCHNSE[],7,FALSE),"")</f>
        <v/>
      </c>
      <c r="O78" s="65" t="str">
        <f>IFERROR(VLOOKUP(TableHandbook[[#This Row],[UDC]],TableMJRUCRWRI[],7,FALSE),"")</f>
        <v/>
      </c>
      <c r="P78" s="65" t="str">
        <f>IFERROR(VLOOKUP(TableHandbook[[#This Row],[UDC]],TableMJRUGEOGR[],7,FALSE),"")</f>
        <v/>
      </c>
      <c r="Q78" s="65" t="str">
        <f>IFERROR(VLOOKUP(TableHandbook[[#This Row],[UDC]],TableMJRUHISTR[],7,FALSE),"")</f>
        <v/>
      </c>
      <c r="R78" s="65" t="str">
        <f>IFERROR(VLOOKUP(TableHandbook[[#This Row],[UDC]],TableMJRUINAUC[],7,FALSE),"")</f>
        <v/>
      </c>
      <c r="S78" s="65" t="str">
        <f>IFERROR(VLOOKUP(TableHandbook[[#This Row],[UDC]],TableMJRUINTRL[],7,FALSE),"")</f>
        <v/>
      </c>
      <c r="T78" s="65" t="str">
        <f>IFERROR(VLOOKUP(TableHandbook[[#This Row],[UDC]],TableMJRUJAPAN[],7,FALSE),"")</f>
        <v/>
      </c>
      <c r="U78" s="65" t="str">
        <f>IFERROR(VLOOKUP(TableHandbook[[#This Row],[UDC]],TableMJRUJOURN[],7,FALSE),"")</f>
        <v/>
      </c>
      <c r="V78" s="65" t="str">
        <f>IFERROR(VLOOKUP(TableHandbook[[#This Row],[UDC]],TableMJRUKORES[],7,FALSE),"")</f>
        <v/>
      </c>
      <c r="W78" s="65" t="str">
        <f>IFERROR(VLOOKUP(TableHandbook[[#This Row],[UDC]],TableMJRULITCU[],7,FALSE),"")</f>
        <v/>
      </c>
      <c r="X78" s="65" t="str">
        <f>IFERROR(VLOOKUP(TableHandbook[[#This Row],[UDC]],TableMJRUNETCM[],7,FALSE),"")</f>
        <v/>
      </c>
      <c r="Y78" s="65" t="str">
        <f>IFERROR(VLOOKUP(TableHandbook[[#This Row],[UDC]],TableMJRUPRWRP[],7,FALSE),"")</f>
        <v/>
      </c>
      <c r="Z78" s="66" t="str">
        <f>IFERROR(VLOOKUP(TableHandbook[[#This Row],[UDC]],TableMJRUSCSTR[],7,FALSE),"")</f>
        <v/>
      </c>
      <c r="AA78" s="74"/>
      <c r="AB78" s="66" t="str">
        <f>IFERROR(VLOOKUP(TableHandbook[[#This Row],[UDC]],TableMJRUBSLAW[],7,FALSE),"")</f>
        <v/>
      </c>
      <c r="AC78" s="66" t="str">
        <f>IFERROR(VLOOKUP(TableHandbook[[#This Row],[UDC]],TableMJRUECONS[],7,FALSE),"")</f>
        <v/>
      </c>
      <c r="AD78" s="66" t="str">
        <f>IFERROR(VLOOKUP(TableHandbook[[#This Row],[UDC]],TableMJRUFINAR[],7,FALSE),"")</f>
        <v/>
      </c>
      <c r="AE78" s="66" t="str">
        <f>IFERROR(VLOOKUP(TableHandbook[[#This Row],[UDC]],TableMJRUFINCE[],7,FALSE),"")</f>
        <v>Core</v>
      </c>
      <c r="AF78" s="66" t="str">
        <f>IFERROR(VLOOKUP(TableHandbook[[#This Row],[UDC]],TableMJRUHRMGM[],7,FALSE),"")</f>
        <v/>
      </c>
      <c r="AG78" s="66" t="str">
        <f>IFERROR(VLOOKUP(TableHandbook[[#This Row],[UDC]],TableMJRUINTBU[],7,FALSE),"")</f>
        <v/>
      </c>
      <c r="AH78" s="66" t="str">
        <f>IFERROR(VLOOKUP(TableHandbook[[#This Row],[UDC]],TableMJRULGSCM[],7,FALSE),"")</f>
        <v/>
      </c>
      <c r="AI78" s="66" t="str">
        <f>IFERROR(VLOOKUP(TableHandbook[[#This Row],[UDC]],TableMJRUMNGMT[],7,FALSE),"")</f>
        <v/>
      </c>
      <c r="AJ78" s="66" t="str">
        <f>IFERROR(VLOOKUP(TableHandbook[[#This Row],[UDC]],TableMJRUMRKTG[],7,FALSE),"")</f>
        <v/>
      </c>
      <c r="AK78" s="66" t="str">
        <f>IFERROR(VLOOKUP(TableHandbook[[#This Row],[UDC]],TableMJRUPRPTY[],7,FALSE),"")</f>
        <v/>
      </c>
      <c r="AL78" s="66" t="str">
        <f>IFERROR(VLOOKUP(TableHandbook[[#This Row],[UDC]],TableMJRUSCRAR[],7,FALSE),"")</f>
        <v/>
      </c>
      <c r="AM78" s="66" t="str">
        <f>IFERROR(VLOOKUP(TableHandbook[[#This Row],[UDC]],TableMJRUTHTRA[],7,FALSE),"")</f>
        <v/>
      </c>
      <c r="AN78" s="66" t="str">
        <f>IFERROR(VLOOKUP(TableHandbook[[#This Row],[UDC]],TableMJRUTRHOS[],7,FALSE),"")</f>
        <v/>
      </c>
    </row>
    <row r="79" spans="1:40" x14ac:dyDescent="0.25">
      <c r="A79" s="8" t="s">
        <v>417</v>
      </c>
      <c r="B79" s="9">
        <v>1</v>
      </c>
      <c r="C79" s="8"/>
      <c r="D79" s="8" t="s">
        <v>597</v>
      </c>
      <c r="E79" s="9">
        <v>25</v>
      </c>
      <c r="F79" s="49" t="s">
        <v>598</v>
      </c>
      <c r="G79" s="67" t="str">
        <f>IFERROR(IF(VLOOKUP(TableHandbook[[#This Row],[UDC]],TableAvailabilities[],2,FALSE)&gt;0,"Y",""),"")</f>
        <v>Y</v>
      </c>
      <c r="H79" s="68" t="str">
        <f>IFERROR(IF(VLOOKUP(TableHandbook[[#This Row],[UDC]],TableAvailabilities[],3,FALSE)&gt;0,"Y",""),"")</f>
        <v>Y</v>
      </c>
      <c r="I79" s="69" t="str">
        <f>IFERROR(IF(VLOOKUP(TableHandbook[[#This Row],[UDC]],TableAvailabilities[],4,FALSE)&gt;0,"Y",""),"")</f>
        <v>Y</v>
      </c>
      <c r="J79" s="70" t="str">
        <f>IFERROR(IF(VLOOKUP(TableHandbook[[#This Row],[UDC]],TableAvailabilities[],5,FALSE)&gt;0,"Y",""),"")</f>
        <v>Y</v>
      </c>
      <c r="K79" s="163"/>
      <c r="L79" s="64" t="str">
        <f>IFERROR(VLOOKUP(TableHandbook[[#This Row],[UDC]],TableBARTS[],7,FALSE),"")</f>
        <v/>
      </c>
      <c r="M79" s="65" t="str">
        <f>IFERROR(VLOOKUP(TableHandbook[[#This Row],[UDC]],TableMJRUANTSO[],7,FALSE),"")</f>
        <v/>
      </c>
      <c r="N79" s="65" t="str">
        <f>IFERROR(VLOOKUP(TableHandbook[[#This Row],[UDC]],TableMJRUCHNSE[],7,FALSE),"")</f>
        <v/>
      </c>
      <c r="O79" s="65" t="str">
        <f>IFERROR(VLOOKUP(TableHandbook[[#This Row],[UDC]],TableMJRUCRWRI[],7,FALSE),"")</f>
        <v/>
      </c>
      <c r="P79" s="65" t="str">
        <f>IFERROR(VLOOKUP(TableHandbook[[#This Row],[UDC]],TableMJRUGEOGR[],7,FALSE),"")</f>
        <v/>
      </c>
      <c r="Q79" s="65" t="str">
        <f>IFERROR(VLOOKUP(TableHandbook[[#This Row],[UDC]],TableMJRUHISTR[],7,FALSE),"")</f>
        <v/>
      </c>
      <c r="R79" s="65" t="str">
        <f>IFERROR(VLOOKUP(TableHandbook[[#This Row],[UDC]],TableMJRUINAUC[],7,FALSE),"")</f>
        <v/>
      </c>
      <c r="S79" s="65" t="str">
        <f>IFERROR(VLOOKUP(TableHandbook[[#This Row],[UDC]],TableMJRUINTRL[],7,FALSE),"")</f>
        <v/>
      </c>
      <c r="T79" s="65" t="str">
        <f>IFERROR(VLOOKUP(TableHandbook[[#This Row],[UDC]],TableMJRUJAPAN[],7,FALSE),"")</f>
        <v/>
      </c>
      <c r="U79" s="65" t="str">
        <f>IFERROR(VLOOKUP(TableHandbook[[#This Row],[UDC]],TableMJRUJOURN[],7,FALSE),"")</f>
        <v/>
      </c>
      <c r="V79" s="65" t="str">
        <f>IFERROR(VLOOKUP(TableHandbook[[#This Row],[UDC]],TableMJRUKORES[],7,FALSE),"")</f>
        <v/>
      </c>
      <c r="W79" s="65" t="str">
        <f>IFERROR(VLOOKUP(TableHandbook[[#This Row],[UDC]],TableMJRULITCU[],7,FALSE),"")</f>
        <v/>
      </c>
      <c r="X79" s="65" t="str">
        <f>IFERROR(VLOOKUP(TableHandbook[[#This Row],[UDC]],TableMJRUNETCM[],7,FALSE),"")</f>
        <v/>
      </c>
      <c r="Y79" s="65" t="str">
        <f>IFERROR(VLOOKUP(TableHandbook[[#This Row],[UDC]],TableMJRUPRWRP[],7,FALSE),"")</f>
        <v/>
      </c>
      <c r="Z79" s="66" t="str">
        <f>IFERROR(VLOOKUP(TableHandbook[[#This Row],[UDC]],TableMJRUSCSTR[],7,FALSE),"")</f>
        <v/>
      </c>
      <c r="AA79" s="74"/>
      <c r="AB79" s="66" t="str">
        <f>IFERROR(VLOOKUP(TableHandbook[[#This Row],[UDC]],TableMJRUBSLAW[],7,FALSE),"")</f>
        <v/>
      </c>
      <c r="AC79" s="66" t="str">
        <f>IFERROR(VLOOKUP(TableHandbook[[#This Row],[UDC]],TableMJRUECONS[],7,FALSE),"")</f>
        <v/>
      </c>
      <c r="AD79" s="66" t="str">
        <f>IFERROR(VLOOKUP(TableHandbook[[#This Row],[UDC]],TableMJRUFINAR[],7,FALSE),"")</f>
        <v/>
      </c>
      <c r="AE79" s="66" t="str">
        <f>IFERROR(VLOOKUP(TableHandbook[[#This Row],[UDC]],TableMJRUFINCE[],7,FALSE),"")</f>
        <v>Core</v>
      </c>
      <c r="AF79" s="66" t="str">
        <f>IFERROR(VLOOKUP(TableHandbook[[#This Row],[UDC]],TableMJRUHRMGM[],7,FALSE),"")</f>
        <v/>
      </c>
      <c r="AG79" s="66" t="str">
        <f>IFERROR(VLOOKUP(TableHandbook[[#This Row],[UDC]],TableMJRUINTBU[],7,FALSE),"")</f>
        <v/>
      </c>
      <c r="AH79" s="66" t="str">
        <f>IFERROR(VLOOKUP(TableHandbook[[#This Row],[UDC]],TableMJRULGSCM[],7,FALSE),"")</f>
        <v/>
      </c>
      <c r="AI79" s="66" t="str">
        <f>IFERROR(VLOOKUP(TableHandbook[[#This Row],[UDC]],TableMJRUMNGMT[],7,FALSE),"")</f>
        <v/>
      </c>
      <c r="AJ79" s="66" t="str">
        <f>IFERROR(VLOOKUP(TableHandbook[[#This Row],[UDC]],TableMJRUMRKTG[],7,FALSE),"")</f>
        <v/>
      </c>
      <c r="AK79" s="66" t="str">
        <f>IFERROR(VLOOKUP(TableHandbook[[#This Row],[UDC]],TableMJRUPRPTY[],7,FALSE),"")</f>
        <v/>
      </c>
      <c r="AL79" s="66" t="str">
        <f>IFERROR(VLOOKUP(TableHandbook[[#This Row],[UDC]],TableMJRUSCRAR[],7,FALSE),"")</f>
        <v/>
      </c>
      <c r="AM79" s="66" t="str">
        <f>IFERROR(VLOOKUP(TableHandbook[[#This Row],[UDC]],TableMJRUTHTRA[],7,FALSE),"")</f>
        <v/>
      </c>
      <c r="AN79" s="66" t="str">
        <f>IFERROR(VLOOKUP(TableHandbook[[#This Row],[UDC]],TableMJRUTRHOS[],7,FALSE),"")</f>
        <v/>
      </c>
    </row>
    <row r="80" spans="1:40" x14ac:dyDescent="0.25">
      <c r="A80" s="8" t="s">
        <v>396</v>
      </c>
      <c r="B80" s="9">
        <v>1</v>
      </c>
      <c r="C80" s="8"/>
      <c r="D80" s="8" t="s">
        <v>599</v>
      </c>
      <c r="E80" s="9">
        <v>25</v>
      </c>
      <c r="F80" s="49" t="s">
        <v>382</v>
      </c>
      <c r="G80" s="67" t="str">
        <f>IFERROR(IF(VLOOKUP(TableHandbook[[#This Row],[UDC]],TableAvailabilities[],2,FALSE)&gt;0,"Y",""),"")</f>
        <v>Y</v>
      </c>
      <c r="H80" s="68" t="str">
        <f>IFERROR(IF(VLOOKUP(TableHandbook[[#This Row],[UDC]],TableAvailabilities[],3,FALSE)&gt;0,"Y",""),"")</f>
        <v>Y</v>
      </c>
      <c r="I80" s="69" t="str">
        <f>IFERROR(IF(VLOOKUP(TableHandbook[[#This Row],[UDC]],TableAvailabilities[],4,FALSE)&gt;0,"Y",""),"")</f>
        <v>Y</v>
      </c>
      <c r="J80" s="70" t="str">
        <f>IFERROR(IF(VLOOKUP(TableHandbook[[#This Row],[UDC]],TableAvailabilities[],5,FALSE)&gt;0,"Y",""),"")</f>
        <v>Y</v>
      </c>
      <c r="K80" s="163"/>
      <c r="L80" s="64" t="str">
        <f>IFERROR(VLOOKUP(TableHandbook[[#This Row],[UDC]],TableBARTS[],7,FALSE),"")</f>
        <v/>
      </c>
      <c r="M80" s="65" t="str">
        <f>IFERROR(VLOOKUP(TableHandbook[[#This Row],[UDC]],TableMJRUANTSO[],7,FALSE),"")</f>
        <v/>
      </c>
      <c r="N80" s="65" t="str">
        <f>IFERROR(VLOOKUP(TableHandbook[[#This Row],[UDC]],TableMJRUCHNSE[],7,FALSE),"")</f>
        <v/>
      </c>
      <c r="O80" s="65" t="str">
        <f>IFERROR(VLOOKUP(TableHandbook[[#This Row],[UDC]],TableMJRUCRWRI[],7,FALSE),"")</f>
        <v/>
      </c>
      <c r="P80" s="65" t="str">
        <f>IFERROR(VLOOKUP(TableHandbook[[#This Row],[UDC]],TableMJRUGEOGR[],7,FALSE),"")</f>
        <v/>
      </c>
      <c r="Q80" s="65" t="str">
        <f>IFERROR(VLOOKUP(TableHandbook[[#This Row],[UDC]],TableMJRUHISTR[],7,FALSE),"")</f>
        <v/>
      </c>
      <c r="R80" s="65" t="str">
        <f>IFERROR(VLOOKUP(TableHandbook[[#This Row],[UDC]],TableMJRUINAUC[],7,FALSE),"")</f>
        <v/>
      </c>
      <c r="S80" s="65" t="str">
        <f>IFERROR(VLOOKUP(TableHandbook[[#This Row],[UDC]],TableMJRUINTRL[],7,FALSE),"")</f>
        <v/>
      </c>
      <c r="T80" s="65" t="str">
        <f>IFERROR(VLOOKUP(TableHandbook[[#This Row],[UDC]],TableMJRUJAPAN[],7,FALSE),"")</f>
        <v/>
      </c>
      <c r="U80" s="65" t="str">
        <f>IFERROR(VLOOKUP(TableHandbook[[#This Row],[UDC]],TableMJRUJOURN[],7,FALSE),"")</f>
        <v/>
      </c>
      <c r="V80" s="65" t="str">
        <f>IFERROR(VLOOKUP(TableHandbook[[#This Row],[UDC]],TableMJRUKORES[],7,FALSE),"")</f>
        <v/>
      </c>
      <c r="W80" s="65" t="str">
        <f>IFERROR(VLOOKUP(TableHandbook[[#This Row],[UDC]],TableMJRULITCU[],7,FALSE),"")</f>
        <v/>
      </c>
      <c r="X80" s="65" t="str">
        <f>IFERROR(VLOOKUP(TableHandbook[[#This Row],[UDC]],TableMJRUNETCM[],7,FALSE),"")</f>
        <v/>
      </c>
      <c r="Y80" s="65" t="str">
        <f>IFERROR(VLOOKUP(TableHandbook[[#This Row],[UDC]],TableMJRUPRWRP[],7,FALSE),"")</f>
        <v/>
      </c>
      <c r="Z80" s="66" t="str">
        <f>IFERROR(VLOOKUP(TableHandbook[[#This Row],[UDC]],TableMJRUSCSTR[],7,FALSE),"")</f>
        <v/>
      </c>
      <c r="AA80" s="74"/>
      <c r="AB80" s="66" t="str">
        <f>IFERROR(VLOOKUP(TableHandbook[[#This Row],[UDC]],TableMJRUBSLAW[],7,FALSE),"")</f>
        <v/>
      </c>
      <c r="AC80" s="66" t="str">
        <f>IFERROR(VLOOKUP(TableHandbook[[#This Row],[UDC]],TableMJRUECONS[],7,FALSE),"")</f>
        <v/>
      </c>
      <c r="AD80" s="66" t="str">
        <f>IFERROR(VLOOKUP(TableHandbook[[#This Row],[UDC]],TableMJRUFINAR[],7,FALSE),"")</f>
        <v/>
      </c>
      <c r="AE80" s="66" t="str">
        <f>IFERROR(VLOOKUP(TableHandbook[[#This Row],[UDC]],TableMJRUFINCE[],7,FALSE),"")</f>
        <v>Core</v>
      </c>
      <c r="AF80" s="66" t="str">
        <f>IFERROR(VLOOKUP(TableHandbook[[#This Row],[UDC]],TableMJRUHRMGM[],7,FALSE),"")</f>
        <v/>
      </c>
      <c r="AG80" s="66" t="str">
        <f>IFERROR(VLOOKUP(TableHandbook[[#This Row],[UDC]],TableMJRUINTBU[],7,FALSE),"")</f>
        <v/>
      </c>
      <c r="AH80" s="66" t="str">
        <f>IFERROR(VLOOKUP(TableHandbook[[#This Row],[UDC]],TableMJRULGSCM[],7,FALSE),"")</f>
        <v/>
      </c>
      <c r="AI80" s="66" t="str">
        <f>IFERROR(VLOOKUP(TableHandbook[[#This Row],[UDC]],TableMJRUMNGMT[],7,FALSE),"")</f>
        <v/>
      </c>
      <c r="AJ80" s="66" t="str">
        <f>IFERROR(VLOOKUP(TableHandbook[[#This Row],[UDC]],TableMJRUMRKTG[],7,FALSE),"")</f>
        <v/>
      </c>
      <c r="AK80" s="66" t="str">
        <f>IFERROR(VLOOKUP(TableHandbook[[#This Row],[UDC]],TableMJRUPRPTY[],7,FALSE),"")</f>
        <v/>
      </c>
      <c r="AL80" s="66" t="str">
        <f>IFERROR(VLOOKUP(TableHandbook[[#This Row],[UDC]],TableMJRUSCRAR[],7,FALSE),"")</f>
        <v/>
      </c>
      <c r="AM80" s="66" t="str">
        <f>IFERROR(VLOOKUP(TableHandbook[[#This Row],[UDC]],TableMJRUTHTRA[],7,FALSE),"")</f>
        <v/>
      </c>
      <c r="AN80" s="66" t="str">
        <f>IFERROR(VLOOKUP(TableHandbook[[#This Row],[UDC]],TableMJRUTRHOS[],7,FALSE),"")</f>
        <v/>
      </c>
    </row>
    <row r="81" spans="1:40" x14ac:dyDescent="0.25">
      <c r="A81" s="8" t="s">
        <v>446</v>
      </c>
      <c r="B81" s="9">
        <v>1</v>
      </c>
      <c r="C81" s="8"/>
      <c r="D81" s="8" t="s">
        <v>600</v>
      </c>
      <c r="E81" s="9">
        <v>25</v>
      </c>
      <c r="F81" s="49" t="s">
        <v>598</v>
      </c>
      <c r="G81" s="67" t="str">
        <f>IFERROR(IF(VLOOKUP(TableHandbook[[#This Row],[UDC]],TableAvailabilities[],2,FALSE)&gt;0,"Y",""),"")</f>
        <v>Y</v>
      </c>
      <c r="H81" s="68" t="str">
        <f>IFERROR(IF(VLOOKUP(TableHandbook[[#This Row],[UDC]],TableAvailabilities[],3,FALSE)&gt;0,"Y",""),"")</f>
        <v>Y</v>
      </c>
      <c r="I81" s="69" t="str">
        <f>IFERROR(IF(VLOOKUP(TableHandbook[[#This Row],[UDC]],TableAvailabilities[],4,FALSE)&gt;0,"Y",""),"")</f>
        <v>Y</v>
      </c>
      <c r="J81" s="70" t="str">
        <f>IFERROR(IF(VLOOKUP(TableHandbook[[#This Row],[UDC]],TableAvailabilities[],5,FALSE)&gt;0,"Y",""),"")</f>
        <v>Y</v>
      </c>
      <c r="K81" s="163"/>
      <c r="L81" s="64" t="str">
        <f>IFERROR(VLOOKUP(TableHandbook[[#This Row],[UDC]],TableBARTS[],7,FALSE),"")</f>
        <v/>
      </c>
      <c r="M81" s="65" t="str">
        <f>IFERROR(VLOOKUP(TableHandbook[[#This Row],[UDC]],TableMJRUANTSO[],7,FALSE),"")</f>
        <v/>
      </c>
      <c r="N81" s="65" t="str">
        <f>IFERROR(VLOOKUP(TableHandbook[[#This Row],[UDC]],TableMJRUCHNSE[],7,FALSE),"")</f>
        <v/>
      </c>
      <c r="O81" s="65" t="str">
        <f>IFERROR(VLOOKUP(TableHandbook[[#This Row],[UDC]],TableMJRUCRWRI[],7,FALSE),"")</f>
        <v/>
      </c>
      <c r="P81" s="65" t="str">
        <f>IFERROR(VLOOKUP(TableHandbook[[#This Row],[UDC]],TableMJRUGEOGR[],7,FALSE),"")</f>
        <v/>
      </c>
      <c r="Q81" s="65" t="str">
        <f>IFERROR(VLOOKUP(TableHandbook[[#This Row],[UDC]],TableMJRUHISTR[],7,FALSE),"")</f>
        <v/>
      </c>
      <c r="R81" s="65" t="str">
        <f>IFERROR(VLOOKUP(TableHandbook[[#This Row],[UDC]],TableMJRUINAUC[],7,FALSE),"")</f>
        <v/>
      </c>
      <c r="S81" s="65" t="str">
        <f>IFERROR(VLOOKUP(TableHandbook[[#This Row],[UDC]],TableMJRUINTRL[],7,FALSE),"")</f>
        <v/>
      </c>
      <c r="T81" s="65" t="str">
        <f>IFERROR(VLOOKUP(TableHandbook[[#This Row],[UDC]],TableMJRUJAPAN[],7,FALSE),"")</f>
        <v/>
      </c>
      <c r="U81" s="65" t="str">
        <f>IFERROR(VLOOKUP(TableHandbook[[#This Row],[UDC]],TableMJRUJOURN[],7,FALSE),"")</f>
        <v/>
      </c>
      <c r="V81" s="65" t="str">
        <f>IFERROR(VLOOKUP(TableHandbook[[#This Row],[UDC]],TableMJRUKORES[],7,FALSE),"")</f>
        <v/>
      </c>
      <c r="W81" s="65" t="str">
        <f>IFERROR(VLOOKUP(TableHandbook[[#This Row],[UDC]],TableMJRULITCU[],7,FALSE),"")</f>
        <v/>
      </c>
      <c r="X81" s="65" t="str">
        <f>IFERROR(VLOOKUP(TableHandbook[[#This Row],[UDC]],TableMJRUNETCM[],7,FALSE),"")</f>
        <v/>
      </c>
      <c r="Y81" s="65" t="str">
        <f>IFERROR(VLOOKUP(TableHandbook[[#This Row],[UDC]],TableMJRUPRWRP[],7,FALSE),"")</f>
        <v/>
      </c>
      <c r="Z81" s="66" t="str">
        <f>IFERROR(VLOOKUP(TableHandbook[[#This Row],[UDC]],TableMJRUSCSTR[],7,FALSE),"")</f>
        <v/>
      </c>
      <c r="AA81" s="74"/>
      <c r="AB81" s="66" t="str">
        <f>IFERROR(VLOOKUP(TableHandbook[[#This Row],[UDC]],TableMJRUBSLAW[],7,FALSE),"")</f>
        <v/>
      </c>
      <c r="AC81" s="66" t="str">
        <f>IFERROR(VLOOKUP(TableHandbook[[#This Row],[UDC]],TableMJRUECONS[],7,FALSE),"")</f>
        <v/>
      </c>
      <c r="AD81" s="66" t="str">
        <f>IFERROR(VLOOKUP(TableHandbook[[#This Row],[UDC]],TableMJRUFINAR[],7,FALSE),"")</f>
        <v/>
      </c>
      <c r="AE81" s="66" t="str">
        <f>IFERROR(VLOOKUP(TableHandbook[[#This Row],[UDC]],TableMJRUFINCE[],7,FALSE),"")</f>
        <v>Core</v>
      </c>
      <c r="AF81" s="66" t="str">
        <f>IFERROR(VLOOKUP(TableHandbook[[#This Row],[UDC]],TableMJRUHRMGM[],7,FALSE),"")</f>
        <v/>
      </c>
      <c r="AG81" s="66" t="str">
        <f>IFERROR(VLOOKUP(TableHandbook[[#This Row],[UDC]],TableMJRUINTBU[],7,FALSE),"")</f>
        <v/>
      </c>
      <c r="AH81" s="66" t="str">
        <f>IFERROR(VLOOKUP(TableHandbook[[#This Row],[UDC]],TableMJRULGSCM[],7,FALSE),"")</f>
        <v/>
      </c>
      <c r="AI81" s="66" t="str">
        <f>IFERROR(VLOOKUP(TableHandbook[[#This Row],[UDC]],TableMJRUMNGMT[],7,FALSE),"")</f>
        <v/>
      </c>
      <c r="AJ81" s="66" t="str">
        <f>IFERROR(VLOOKUP(TableHandbook[[#This Row],[UDC]],TableMJRUMRKTG[],7,FALSE),"")</f>
        <v/>
      </c>
      <c r="AK81" s="66" t="str">
        <f>IFERROR(VLOOKUP(TableHandbook[[#This Row],[UDC]],TableMJRUPRPTY[],7,FALSE),"")</f>
        <v/>
      </c>
      <c r="AL81" s="66" t="str">
        <f>IFERROR(VLOOKUP(TableHandbook[[#This Row],[UDC]],TableMJRUSCRAR[],7,FALSE),"")</f>
        <v/>
      </c>
      <c r="AM81" s="66" t="str">
        <f>IFERROR(VLOOKUP(TableHandbook[[#This Row],[UDC]],TableMJRUTHTRA[],7,FALSE),"")</f>
        <v/>
      </c>
      <c r="AN81" s="66" t="str">
        <f>IFERROR(VLOOKUP(TableHandbook[[#This Row],[UDC]],TableMJRUTRHOS[],7,FALSE),"")</f>
        <v/>
      </c>
    </row>
    <row r="82" spans="1:40" x14ac:dyDescent="0.25">
      <c r="A82" s="8" t="s">
        <v>49</v>
      </c>
      <c r="B82" s="9">
        <v>1</v>
      </c>
      <c r="C82" s="8"/>
      <c r="D82" s="8" t="s">
        <v>601</v>
      </c>
      <c r="E82" s="9">
        <v>25</v>
      </c>
      <c r="F82" s="49" t="s">
        <v>526</v>
      </c>
      <c r="G82" s="67" t="str">
        <f>IFERROR(IF(VLOOKUP(TableHandbook[[#This Row],[UDC]],TableAvailabilities[],2,FALSE)&gt;0,"Y",""),"")</f>
        <v>Y</v>
      </c>
      <c r="H82" s="68" t="str">
        <f>IFERROR(IF(VLOOKUP(TableHandbook[[#This Row],[UDC]],TableAvailabilities[],3,FALSE)&gt;0,"Y",""),"")</f>
        <v>Y</v>
      </c>
      <c r="I82" s="69" t="str">
        <f>IFERROR(IF(VLOOKUP(TableHandbook[[#This Row],[UDC]],TableAvailabilities[],4,FALSE)&gt;0,"Y",""),"")</f>
        <v/>
      </c>
      <c r="J82" s="70" t="str">
        <f>IFERROR(IF(VLOOKUP(TableHandbook[[#This Row],[UDC]],TableAvailabilities[],5,FALSE)&gt;0,"Y",""),"")</f>
        <v/>
      </c>
      <c r="K82" s="163"/>
      <c r="L82" s="64" t="str">
        <f>IFERROR(VLOOKUP(TableHandbook[[#This Row],[UDC]],TableBARTS[],7,FALSE),"")</f>
        <v>Option</v>
      </c>
      <c r="M82" s="65" t="str">
        <f>IFERROR(VLOOKUP(TableHandbook[[#This Row],[UDC]],TableMJRUANTSO[],7,FALSE),"")</f>
        <v/>
      </c>
      <c r="N82" s="65" t="str">
        <f>IFERROR(VLOOKUP(TableHandbook[[#This Row],[UDC]],TableMJRUCHNSE[],7,FALSE),"")</f>
        <v/>
      </c>
      <c r="O82" s="65" t="str">
        <f>IFERROR(VLOOKUP(TableHandbook[[#This Row],[UDC]],TableMJRUCRWRI[],7,FALSE),"")</f>
        <v/>
      </c>
      <c r="P82" s="65" t="str">
        <f>IFERROR(VLOOKUP(TableHandbook[[#This Row],[UDC]],TableMJRUGEOGR[],7,FALSE),"")</f>
        <v/>
      </c>
      <c r="Q82" s="65" t="str">
        <f>IFERROR(VLOOKUP(TableHandbook[[#This Row],[UDC]],TableMJRUHISTR[],7,FALSE),"")</f>
        <v/>
      </c>
      <c r="R82" s="65" t="str">
        <f>IFERROR(VLOOKUP(TableHandbook[[#This Row],[UDC]],TableMJRUINAUC[],7,FALSE),"")</f>
        <v/>
      </c>
      <c r="S82" s="65" t="str">
        <f>IFERROR(VLOOKUP(TableHandbook[[#This Row],[UDC]],TableMJRUINTRL[],7,FALSE),"")</f>
        <v/>
      </c>
      <c r="T82" s="65" t="str">
        <f>IFERROR(VLOOKUP(TableHandbook[[#This Row],[UDC]],TableMJRUJAPAN[],7,FALSE),"")</f>
        <v/>
      </c>
      <c r="U82" s="65" t="str">
        <f>IFERROR(VLOOKUP(TableHandbook[[#This Row],[UDC]],TableMJRUJOURN[],7,FALSE),"")</f>
        <v/>
      </c>
      <c r="V82" s="65" t="str">
        <f>IFERROR(VLOOKUP(TableHandbook[[#This Row],[UDC]],TableMJRUKORES[],7,FALSE),"")</f>
        <v/>
      </c>
      <c r="W82" s="65" t="str">
        <f>IFERROR(VLOOKUP(TableHandbook[[#This Row],[UDC]],TableMJRULITCU[],7,FALSE),"")</f>
        <v/>
      </c>
      <c r="X82" s="65" t="str">
        <f>IFERROR(VLOOKUP(TableHandbook[[#This Row],[UDC]],TableMJRUNETCM[],7,FALSE),"")</f>
        <v/>
      </c>
      <c r="Y82" s="65" t="str">
        <f>IFERROR(VLOOKUP(TableHandbook[[#This Row],[UDC]],TableMJRUPRWRP[],7,FALSE),"")</f>
        <v/>
      </c>
      <c r="Z82" s="66" t="str">
        <f>IFERROR(VLOOKUP(TableHandbook[[#This Row],[UDC]],TableMJRUSCSTR[],7,FALSE),"")</f>
        <v/>
      </c>
      <c r="AA82" s="74"/>
      <c r="AB82" s="66" t="str">
        <f>IFERROR(VLOOKUP(TableHandbook[[#This Row],[UDC]],TableMJRUBSLAW[],7,FALSE),"")</f>
        <v/>
      </c>
      <c r="AC82" s="66" t="str">
        <f>IFERROR(VLOOKUP(TableHandbook[[#This Row],[UDC]],TableMJRUECONS[],7,FALSE),"")</f>
        <v/>
      </c>
      <c r="AD82" s="66" t="str">
        <f>IFERROR(VLOOKUP(TableHandbook[[#This Row],[UDC]],TableMJRUFINAR[],7,FALSE),"")</f>
        <v/>
      </c>
      <c r="AE82" s="66" t="str">
        <f>IFERROR(VLOOKUP(TableHandbook[[#This Row],[UDC]],TableMJRUFINCE[],7,FALSE),"")</f>
        <v/>
      </c>
      <c r="AF82" s="66" t="str">
        <f>IFERROR(VLOOKUP(TableHandbook[[#This Row],[UDC]],TableMJRUHRMGM[],7,FALSE),"")</f>
        <v/>
      </c>
      <c r="AG82" s="66" t="str">
        <f>IFERROR(VLOOKUP(TableHandbook[[#This Row],[UDC]],TableMJRUINTBU[],7,FALSE),"")</f>
        <v/>
      </c>
      <c r="AH82" s="66" t="str">
        <f>IFERROR(VLOOKUP(TableHandbook[[#This Row],[UDC]],TableMJRULGSCM[],7,FALSE),"")</f>
        <v/>
      </c>
      <c r="AI82" s="66" t="str">
        <f>IFERROR(VLOOKUP(TableHandbook[[#This Row],[UDC]],TableMJRUMNGMT[],7,FALSE),"")</f>
        <v/>
      </c>
      <c r="AJ82" s="66" t="str">
        <f>IFERROR(VLOOKUP(TableHandbook[[#This Row],[UDC]],TableMJRUMRKTG[],7,FALSE),"")</f>
        <v/>
      </c>
      <c r="AK82" s="66" t="str">
        <f>IFERROR(VLOOKUP(TableHandbook[[#This Row],[UDC]],TableMJRUPRPTY[],7,FALSE),"")</f>
        <v/>
      </c>
      <c r="AL82" s="66" t="str">
        <f>IFERROR(VLOOKUP(TableHandbook[[#This Row],[UDC]],TableMJRUSCRAR[],7,FALSE),"")</f>
        <v/>
      </c>
      <c r="AM82" s="66" t="str">
        <f>IFERROR(VLOOKUP(TableHandbook[[#This Row],[UDC]],TableMJRUTHTRA[],7,FALSE),"")</f>
        <v/>
      </c>
      <c r="AN82" s="66" t="str">
        <f>IFERROR(VLOOKUP(TableHandbook[[#This Row],[UDC]],TableMJRUTRHOS[],7,FALSE),"")</f>
        <v/>
      </c>
    </row>
    <row r="83" spans="1:40" x14ac:dyDescent="0.25">
      <c r="A83" s="8" t="s">
        <v>242</v>
      </c>
      <c r="B83" s="9">
        <v>1</v>
      </c>
      <c r="C83" s="8"/>
      <c r="D83" s="8" t="s">
        <v>602</v>
      </c>
      <c r="E83" s="9">
        <v>25</v>
      </c>
      <c r="F83" s="49" t="s">
        <v>526</v>
      </c>
      <c r="G83" s="67" t="str">
        <f>IFERROR(IF(VLOOKUP(TableHandbook[[#This Row],[UDC]],TableAvailabilities[],2,FALSE)&gt;0,"Y",""),"")</f>
        <v/>
      </c>
      <c r="H83" s="68" t="str">
        <f>IFERROR(IF(VLOOKUP(TableHandbook[[#This Row],[UDC]],TableAvailabilities[],3,FALSE)&gt;0,"Y",""),"")</f>
        <v/>
      </c>
      <c r="I83" s="69" t="str">
        <f>IFERROR(IF(VLOOKUP(TableHandbook[[#This Row],[UDC]],TableAvailabilities[],4,FALSE)&gt;0,"Y",""),"")</f>
        <v>Y</v>
      </c>
      <c r="J83" s="70" t="str">
        <f>IFERROR(IF(VLOOKUP(TableHandbook[[#This Row],[UDC]],TableAvailabilities[],5,FALSE)&gt;0,"Y",""),"")</f>
        <v>Y</v>
      </c>
      <c r="K83" s="163"/>
      <c r="L83" s="64" t="str">
        <f>IFERROR(VLOOKUP(TableHandbook[[#This Row],[UDC]],TableBARTS[],7,FALSE),"")</f>
        <v/>
      </c>
      <c r="M83" s="65" t="str">
        <f>IFERROR(VLOOKUP(TableHandbook[[#This Row],[UDC]],TableMJRUANTSO[],7,FALSE),"")</f>
        <v/>
      </c>
      <c r="N83" s="65" t="str">
        <f>IFERROR(VLOOKUP(TableHandbook[[#This Row],[UDC]],TableMJRUCHNSE[],7,FALSE),"")</f>
        <v/>
      </c>
      <c r="O83" s="65" t="str">
        <f>IFERROR(VLOOKUP(TableHandbook[[#This Row],[UDC]],TableMJRUCRWRI[],7,FALSE),"")</f>
        <v/>
      </c>
      <c r="P83" s="65" t="str">
        <f>IFERROR(VLOOKUP(TableHandbook[[#This Row],[UDC]],TableMJRUGEOGR[],7,FALSE),"")</f>
        <v>Core</v>
      </c>
      <c r="Q83" s="65" t="str">
        <f>IFERROR(VLOOKUP(TableHandbook[[#This Row],[UDC]],TableMJRUHISTR[],7,FALSE),"")</f>
        <v/>
      </c>
      <c r="R83" s="65" t="str">
        <f>IFERROR(VLOOKUP(TableHandbook[[#This Row],[UDC]],TableMJRUINAUC[],7,FALSE),"")</f>
        <v/>
      </c>
      <c r="S83" s="65" t="str">
        <f>IFERROR(VLOOKUP(TableHandbook[[#This Row],[UDC]],TableMJRUINTRL[],7,FALSE),"")</f>
        <v/>
      </c>
      <c r="T83" s="65" t="str">
        <f>IFERROR(VLOOKUP(TableHandbook[[#This Row],[UDC]],TableMJRUJAPAN[],7,FALSE),"")</f>
        <v/>
      </c>
      <c r="U83" s="65" t="str">
        <f>IFERROR(VLOOKUP(TableHandbook[[#This Row],[UDC]],TableMJRUJOURN[],7,FALSE),"")</f>
        <v/>
      </c>
      <c r="V83" s="65" t="str">
        <f>IFERROR(VLOOKUP(TableHandbook[[#This Row],[UDC]],TableMJRUKORES[],7,FALSE),"")</f>
        <v/>
      </c>
      <c r="W83" s="65" t="str">
        <f>IFERROR(VLOOKUP(TableHandbook[[#This Row],[UDC]],TableMJRULITCU[],7,FALSE),"")</f>
        <v/>
      </c>
      <c r="X83" s="65" t="str">
        <f>IFERROR(VLOOKUP(TableHandbook[[#This Row],[UDC]],TableMJRUNETCM[],7,FALSE),"")</f>
        <v/>
      </c>
      <c r="Y83" s="65" t="str">
        <f>IFERROR(VLOOKUP(TableHandbook[[#This Row],[UDC]],TableMJRUPRWRP[],7,FALSE),"")</f>
        <v/>
      </c>
      <c r="Z83" s="66" t="str">
        <f>IFERROR(VLOOKUP(TableHandbook[[#This Row],[UDC]],TableMJRUSCSTR[],7,FALSE),"")</f>
        <v/>
      </c>
      <c r="AA83" s="74"/>
      <c r="AB83" s="66" t="str">
        <f>IFERROR(VLOOKUP(TableHandbook[[#This Row],[UDC]],TableMJRUBSLAW[],7,FALSE),"")</f>
        <v/>
      </c>
      <c r="AC83" s="66" t="str">
        <f>IFERROR(VLOOKUP(TableHandbook[[#This Row],[UDC]],TableMJRUECONS[],7,FALSE),"")</f>
        <v/>
      </c>
      <c r="AD83" s="66" t="str">
        <f>IFERROR(VLOOKUP(TableHandbook[[#This Row],[UDC]],TableMJRUFINAR[],7,FALSE),"")</f>
        <v/>
      </c>
      <c r="AE83" s="66" t="str">
        <f>IFERROR(VLOOKUP(TableHandbook[[#This Row],[UDC]],TableMJRUFINCE[],7,FALSE),"")</f>
        <v/>
      </c>
      <c r="AF83" s="66" t="str">
        <f>IFERROR(VLOOKUP(TableHandbook[[#This Row],[UDC]],TableMJRUHRMGM[],7,FALSE),"")</f>
        <v/>
      </c>
      <c r="AG83" s="66" t="str">
        <f>IFERROR(VLOOKUP(TableHandbook[[#This Row],[UDC]],TableMJRUINTBU[],7,FALSE),"")</f>
        <v/>
      </c>
      <c r="AH83" s="66" t="str">
        <f>IFERROR(VLOOKUP(TableHandbook[[#This Row],[UDC]],TableMJRULGSCM[],7,FALSE),"")</f>
        <v/>
      </c>
      <c r="AI83" s="66" t="str">
        <f>IFERROR(VLOOKUP(TableHandbook[[#This Row],[UDC]],TableMJRUMNGMT[],7,FALSE),"")</f>
        <v/>
      </c>
      <c r="AJ83" s="66" t="str">
        <f>IFERROR(VLOOKUP(TableHandbook[[#This Row],[UDC]],TableMJRUMRKTG[],7,FALSE),"")</f>
        <v/>
      </c>
      <c r="AK83" s="66" t="str">
        <f>IFERROR(VLOOKUP(TableHandbook[[#This Row],[UDC]],TableMJRUPRPTY[],7,FALSE),"")</f>
        <v/>
      </c>
      <c r="AL83" s="66" t="str">
        <f>IFERROR(VLOOKUP(TableHandbook[[#This Row],[UDC]],TableMJRUSCRAR[],7,FALSE),"")</f>
        <v/>
      </c>
      <c r="AM83" s="66" t="str">
        <f>IFERROR(VLOOKUP(TableHandbook[[#This Row],[UDC]],TableMJRUTHTRA[],7,FALSE),"")</f>
        <v/>
      </c>
      <c r="AN83" s="66" t="str">
        <f>IFERROR(VLOOKUP(TableHandbook[[#This Row],[UDC]],TableMJRUTRHOS[],7,FALSE),"")</f>
        <v/>
      </c>
    </row>
    <row r="84" spans="1:40" x14ac:dyDescent="0.25">
      <c r="A84" s="8" t="s">
        <v>200</v>
      </c>
      <c r="B84" s="9">
        <v>1</v>
      </c>
      <c r="C84" s="8"/>
      <c r="D84" s="8" t="s">
        <v>603</v>
      </c>
      <c r="E84" s="9">
        <v>25</v>
      </c>
      <c r="F84" s="49" t="s">
        <v>526</v>
      </c>
      <c r="G84" s="67" t="str">
        <f>IFERROR(IF(VLOOKUP(TableHandbook[[#This Row],[UDC]],TableAvailabilities[],2,FALSE)&gt;0,"Y",""),"")</f>
        <v>Y</v>
      </c>
      <c r="H84" s="68" t="str">
        <f>IFERROR(IF(VLOOKUP(TableHandbook[[#This Row],[UDC]],TableAvailabilities[],3,FALSE)&gt;0,"Y",""),"")</f>
        <v>Y</v>
      </c>
      <c r="I84" s="69" t="str">
        <f>IFERROR(IF(VLOOKUP(TableHandbook[[#This Row],[UDC]],TableAvailabilities[],4,FALSE)&gt;0,"Y",""),"")</f>
        <v/>
      </c>
      <c r="J84" s="70" t="str">
        <f>IFERROR(IF(VLOOKUP(TableHandbook[[#This Row],[UDC]],TableAvailabilities[],5,FALSE)&gt;0,"Y",""),"")</f>
        <v/>
      </c>
      <c r="K84" s="163"/>
      <c r="L84" s="64" t="str">
        <f>IFERROR(VLOOKUP(TableHandbook[[#This Row],[UDC]],TableBARTS[],7,FALSE),"")</f>
        <v/>
      </c>
      <c r="M84" s="65" t="str">
        <f>IFERROR(VLOOKUP(TableHandbook[[#This Row],[UDC]],TableMJRUANTSO[],7,FALSE),"")</f>
        <v/>
      </c>
      <c r="N84" s="65" t="str">
        <f>IFERROR(VLOOKUP(TableHandbook[[#This Row],[UDC]],TableMJRUCHNSE[],7,FALSE),"")</f>
        <v/>
      </c>
      <c r="O84" s="65" t="str">
        <f>IFERROR(VLOOKUP(TableHandbook[[#This Row],[UDC]],TableMJRUCRWRI[],7,FALSE),"")</f>
        <v/>
      </c>
      <c r="P84" s="65" t="str">
        <f>IFERROR(VLOOKUP(TableHandbook[[#This Row],[UDC]],TableMJRUGEOGR[],7,FALSE),"")</f>
        <v>Core</v>
      </c>
      <c r="Q84" s="65" t="str">
        <f>IFERROR(VLOOKUP(TableHandbook[[#This Row],[UDC]],TableMJRUHISTR[],7,FALSE),"")</f>
        <v/>
      </c>
      <c r="R84" s="65" t="str">
        <f>IFERROR(VLOOKUP(TableHandbook[[#This Row],[UDC]],TableMJRUINAUC[],7,FALSE),"")</f>
        <v/>
      </c>
      <c r="S84" s="65" t="str">
        <f>IFERROR(VLOOKUP(TableHandbook[[#This Row],[UDC]],TableMJRUINTRL[],7,FALSE),"")</f>
        <v/>
      </c>
      <c r="T84" s="65" t="str">
        <f>IFERROR(VLOOKUP(TableHandbook[[#This Row],[UDC]],TableMJRUJAPAN[],7,FALSE),"")</f>
        <v/>
      </c>
      <c r="U84" s="65" t="str">
        <f>IFERROR(VLOOKUP(TableHandbook[[#This Row],[UDC]],TableMJRUJOURN[],7,FALSE),"")</f>
        <v/>
      </c>
      <c r="V84" s="65" t="str">
        <f>IFERROR(VLOOKUP(TableHandbook[[#This Row],[UDC]],TableMJRUKORES[],7,FALSE),"")</f>
        <v/>
      </c>
      <c r="W84" s="65" t="str">
        <f>IFERROR(VLOOKUP(TableHandbook[[#This Row],[UDC]],TableMJRULITCU[],7,FALSE),"")</f>
        <v/>
      </c>
      <c r="X84" s="65" t="str">
        <f>IFERROR(VLOOKUP(TableHandbook[[#This Row],[UDC]],TableMJRUNETCM[],7,FALSE),"")</f>
        <v/>
      </c>
      <c r="Y84" s="65" t="str">
        <f>IFERROR(VLOOKUP(TableHandbook[[#This Row],[UDC]],TableMJRUPRWRP[],7,FALSE),"")</f>
        <v/>
      </c>
      <c r="Z84" s="66" t="str">
        <f>IFERROR(VLOOKUP(TableHandbook[[#This Row],[UDC]],TableMJRUSCSTR[],7,FALSE),"")</f>
        <v/>
      </c>
      <c r="AA84" s="74"/>
      <c r="AB84" s="66" t="str">
        <f>IFERROR(VLOOKUP(TableHandbook[[#This Row],[UDC]],TableMJRUBSLAW[],7,FALSE),"")</f>
        <v/>
      </c>
      <c r="AC84" s="66" t="str">
        <f>IFERROR(VLOOKUP(TableHandbook[[#This Row],[UDC]],TableMJRUECONS[],7,FALSE),"")</f>
        <v/>
      </c>
      <c r="AD84" s="66" t="str">
        <f>IFERROR(VLOOKUP(TableHandbook[[#This Row],[UDC]],TableMJRUFINAR[],7,FALSE),"")</f>
        <v/>
      </c>
      <c r="AE84" s="66" t="str">
        <f>IFERROR(VLOOKUP(TableHandbook[[#This Row],[UDC]],TableMJRUFINCE[],7,FALSE),"")</f>
        <v/>
      </c>
      <c r="AF84" s="66" t="str">
        <f>IFERROR(VLOOKUP(TableHandbook[[#This Row],[UDC]],TableMJRUHRMGM[],7,FALSE),"")</f>
        <v/>
      </c>
      <c r="AG84" s="66" t="str">
        <f>IFERROR(VLOOKUP(TableHandbook[[#This Row],[UDC]],TableMJRUINTBU[],7,FALSE),"")</f>
        <v/>
      </c>
      <c r="AH84" s="66" t="str">
        <f>IFERROR(VLOOKUP(TableHandbook[[#This Row],[UDC]],TableMJRULGSCM[],7,FALSE),"")</f>
        <v/>
      </c>
      <c r="AI84" s="66" t="str">
        <f>IFERROR(VLOOKUP(TableHandbook[[#This Row],[UDC]],TableMJRUMNGMT[],7,FALSE),"")</f>
        <v/>
      </c>
      <c r="AJ84" s="66" t="str">
        <f>IFERROR(VLOOKUP(TableHandbook[[#This Row],[UDC]],TableMJRUMRKTG[],7,FALSE),"")</f>
        <v/>
      </c>
      <c r="AK84" s="66" t="str">
        <f>IFERROR(VLOOKUP(TableHandbook[[#This Row],[UDC]],TableMJRUPRPTY[],7,FALSE),"")</f>
        <v/>
      </c>
      <c r="AL84" s="66" t="str">
        <f>IFERROR(VLOOKUP(TableHandbook[[#This Row],[UDC]],TableMJRUSCRAR[],7,FALSE),"")</f>
        <v/>
      </c>
      <c r="AM84" s="66" t="str">
        <f>IFERROR(VLOOKUP(TableHandbook[[#This Row],[UDC]],TableMJRUTHTRA[],7,FALSE),"")</f>
        <v/>
      </c>
      <c r="AN84" s="66" t="str">
        <f>IFERROR(VLOOKUP(TableHandbook[[#This Row],[UDC]],TableMJRUTRHOS[],7,FALSE),"")</f>
        <v/>
      </c>
    </row>
    <row r="85" spans="1:40" x14ac:dyDescent="0.25">
      <c r="A85" s="8" t="s">
        <v>224</v>
      </c>
      <c r="B85" s="9">
        <v>1</v>
      </c>
      <c r="C85" s="8"/>
      <c r="D85" s="8" t="s">
        <v>604</v>
      </c>
      <c r="E85" s="9">
        <v>25</v>
      </c>
      <c r="F85" s="49" t="s">
        <v>526</v>
      </c>
      <c r="G85" s="67" t="str">
        <f>IFERROR(IF(VLOOKUP(TableHandbook[[#This Row],[UDC]],TableAvailabilities[],2,FALSE)&gt;0,"Y",""),"")</f>
        <v>Y</v>
      </c>
      <c r="H85" s="68" t="str">
        <f>IFERROR(IF(VLOOKUP(TableHandbook[[#This Row],[UDC]],TableAvailabilities[],3,FALSE)&gt;0,"Y",""),"")</f>
        <v>Y</v>
      </c>
      <c r="I85" s="69" t="str">
        <f>IFERROR(IF(VLOOKUP(TableHandbook[[#This Row],[UDC]],TableAvailabilities[],4,FALSE)&gt;0,"Y",""),"")</f>
        <v/>
      </c>
      <c r="J85" s="70" t="str">
        <f>IFERROR(IF(VLOOKUP(TableHandbook[[#This Row],[UDC]],TableAvailabilities[],5,FALSE)&gt;0,"Y",""),"")</f>
        <v/>
      </c>
      <c r="K85" s="163"/>
      <c r="L85" s="64" t="str">
        <f>IFERROR(VLOOKUP(TableHandbook[[#This Row],[UDC]],TableBARTS[],7,FALSE),"")</f>
        <v/>
      </c>
      <c r="M85" s="65" t="str">
        <f>IFERROR(VLOOKUP(TableHandbook[[#This Row],[UDC]],TableMJRUANTSO[],7,FALSE),"")</f>
        <v/>
      </c>
      <c r="N85" s="65" t="str">
        <f>IFERROR(VLOOKUP(TableHandbook[[#This Row],[UDC]],TableMJRUCHNSE[],7,FALSE),"")</f>
        <v/>
      </c>
      <c r="O85" s="65" t="str">
        <f>IFERROR(VLOOKUP(TableHandbook[[#This Row],[UDC]],TableMJRUCRWRI[],7,FALSE),"")</f>
        <v/>
      </c>
      <c r="P85" s="65" t="str">
        <f>IFERROR(VLOOKUP(TableHandbook[[#This Row],[UDC]],TableMJRUGEOGR[],7,FALSE),"")</f>
        <v>Core</v>
      </c>
      <c r="Q85" s="65" t="str">
        <f>IFERROR(VLOOKUP(TableHandbook[[#This Row],[UDC]],TableMJRUHISTR[],7,FALSE),"")</f>
        <v/>
      </c>
      <c r="R85" s="65" t="str">
        <f>IFERROR(VLOOKUP(TableHandbook[[#This Row],[UDC]],TableMJRUINAUC[],7,FALSE),"")</f>
        <v/>
      </c>
      <c r="S85" s="65" t="str">
        <f>IFERROR(VLOOKUP(TableHandbook[[#This Row],[UDC]],TableMJRUINTRL[],7,FALSE),"")</f>
        <v/>
      </c>
      <c r="T85" s="65" t="str">
        <f>IFERROR(VLOOKUP(TableHandbook[[#This Row],[UDC]],TableMJRUJAPAN[],7,FALSE),"")</f>
        <v/>
      </c>
      <c r="U85" s="65" t="str">
        <f>IFERROR(VLOOKUP(TableHandbook[[#This Row],[UDC]],TableMJRUJOURN[],7,FALSE),"")</f>
        <v/>
      </c>
      <c r="V85" s="65" t="str">
        <f>IFERROR(VLOOKUP(TableHandbook[[#This Row],[UDC]],TableMJRUKORES[],7,FALSE),"")</f>
        <v/>
      </c>
      <c r="W85" s="65" t="str">
        <f>IFERROR(VLOOKUP(TableHandbook[[#This Row],[UDC]],TableMJRULITCU[],7,FALSE),"")</f>
        <v/>
      </c>
      <c r="X85" s="65" t="str">
        <f>IFERROR(VLOOKUP(TableHandbook[[#This Row],[UDC]],TableMJRUNETCM[],7,FALSE),"")</f>
        <v/>
      </c>
      <c r="Y85" s="65" t="str">
        <f>IFERROR(VLOOKUP(TableHandbook[[#This Row],[UDC]],TableMJRUPRWRP[],7,FALSE),"")</f>
        <v/>
      </c>
      <c r="Z85" s="66" t="str">
        <f>IFERROR(VLOOKUP(TableHandbook[[#This Row],[UDC]],TableMJRUSCSTR[],7,FALSE),"")</f>
        <v/>
      </c>
      <c r="AA85" s="74"/>
      <c r="AB85" s="66" t="str">
        <f>IFERROR(VLOOKUP(TableHandbook[[#This Row],[UDC]],TableMJRUBSLAW[],7,FALSE),"")</f>
        <v/>
      </c>
      <c r="AC85" s="66" t="str">
        <f>IFERROR(VLOOKUP(TableHandbook[[#This Row],[UDC]],TableMJRUECONS[],7,FALSE),"")</f>
        <v/>
      </c>
      <c r="AD85" s="66" t="str">
        <f>IFERROR(VLOOKUP(TableHandbook[[#This Row],[UDC]],TableMJRUFINAR[],7,FALSE),"")</f>
        <v/>
      </c>
      <c r="AE85" s="66" t="str">
        <f>IFERROR(VLOOKUP(TableHandbook[[#This Row],[UDC]],TableMJRUFINCE[],7,FALSE),"")</f>
        <v/>
      </c>
      <c r="AF85" s="66" t="str">
        <f>IFERROR(VLOOKUP(TableHandbook[[#This Row],[UDC]],TableMJRUHRMGM[],7,FALSE),"")</f>
        <v/>
      </c>
      <c r="AG85" s="66" t="str">
        <f>IFERROR(VLOOKUP(TableHandbook[[#This Row],[UDC]],TableMJRUINTBU[],7,FALSE),"")</f>
        <v/>
      </c>
      <c r="AH85" s="66" t="str">
        <f>IFERROR(VLOOKUP(TableHandbook[[#This Row],[UDC]],TableMJRULGSCM[],7,FALSE),"")</f>
        <v/>
      </c>
      <c r="AI85" s="66" t="str">
        <f>IFERROR(VLOOKUP(TableHandbook[[#This Row],[UDC]],TableMJRUMNGMT[],7,FALSE),"")</f>
        <v/>
      </c>
      <c r="AJ85" s="66" t="str">
        <f>IFERROR(VLOOKUP(TableHandbook[[#This Row],[UDC]],TableMJRUMRKTG[],7,FALSE),"")</f>
        <v/>
      </c>
      <c r="AK85" s="66" t="str">
        <f>IFERROR(VLOOKUP(TableHandbook[[#This Row],[UDC]],TableMJRUPRPTY[],7,FALSE),"")</f>
        <v/>
      </c>
      <c r="AL85" s="66" t="str">
        <f>IFERROR(VLOOKUP(TableHandbook[[#This Row],[UDC]],TableMJRUSCRAR[],7,FALSE),"")</f>
        <v/>
      </c>
      <c r="AM85" s="66" t="str">
        <f>IFERROR(VLOOKUP(TableHandbook[[#This Row],[UDC]],TableMJRUTHTRA[],7,FALSE),"")</f>
        <v/>
      </c>
      <c r="AN85" s="66" t="str">
        <f>IFERROR(VLOOKUP(TableHandbook[[#This Row],[UDC]],TableMJRUTRHOS[],7,FALSE),"")</f>
        <v/>
      </c>
    </row>
    <row r="86" spans="1:40" x14ac:dyDescent="0.25">
      <c r="A86" s="8" t="s">
        <v>297</v>
      </c>
      <c r="B86" s="9">
        <v>2</v>
      </c>
      <c r="C86" s="8"/>
      <c r="D86" s="8" t="s">
        <v>605</v>
      </c>
      <c r="E86" s="9">
        <v>25</v>
      </c>
      <c r="F86" s="49" t="s">
        <v>526</v>
      </c>
      <c r="G86" s="67" t="str">
        <f>IFERROR(IF(VLOOKUP(TableHandbook[[#This Row],[UDC]],TableAvailabilities[],2,FALSE)&gt;0,"Y",""),"")</f>
        <v/>
      </c>
      <c r="H86" s="68" t="str">
        <f>IFERROR(IF(VLOOKUP(TableHandbook[[#This Row],[UDC]],TableAvailabilities[],3,FALSE)&gt;0,"Y",""),"")</f>
        <v/>
      </c>
      <c r="I86" s="69" t="str">
        <f>IFERROR(IF(VLOOKUP(TableHandbook[[#This Row],[UDC]],TableAvailabilities[],4,FALSE)&gt;0,"Y",""),"")</f>
        <v>Y</v>
      </c>
      <c r="J86" s="70" t="str">
        <f>IFERROR(IF(VLOOKUP(TableHandbook[[#This Row],[UDC]],TableAvailabilities[],5,FALSE)&gt;0,"Y",""),"")</f>
        <v>Y</v>
      </c>
      <c r="K86" s="163"/>
      <c r="L86" s="64" t="str">
        <f>IFERROR(VLOOKUP(TableHandbook[[#This Row],[UDC]],TableBARTS[],7,FALSE),"")</f>
        <v/>
      </c>
      <c r="M86" s="65" t="str">
        <f>IFERROR(VLOOKUP(TableHandbook[[#This Row],[UDC]],TableMJRUANTSO[],7,FALSE),"")</f>
        <v/>
      </c>
      <c r="N86" s="65" t="str">
        <f>IFERROR(VLOOKUP(TableHandbook[[#This Row],[UDC]],TableMJRUCHNSE[],7,FALSE),"")</f>
        <v/>
      </c>
      <c r="O86" s="65" t="str">
        <f>IFERROR(VLOOKUP(TableHandbook[[#This Row],[UDC]],TableMJRUCRWRI[],7,FALSE),"")</f>
        <v/>
      </c>
      <c r="P86" s="65" t="str">
        <f>IFERROR(VLOOKUP(TableHandbook[[#This Row],[UDC]],TableMJRUGEOGR[],7,FALSE),"")</f>
        <v>Core</v>
      </c>
      <c r="Q86" s="65" t="str">
        <f>IFERROR(VLOOKUP(TableHandbook[[#This Row],[UDC]],TableMJRUHISTR[],7,FALSE),"")</f>
        <v/>
      </c>
      <c r="R86" s="65" t="str">
        <f>IFERROR(VLOOKUP(TableHandbook[[#This Row],[UDC]],TableMJRUINAUC[],7,FALSE),"")</f>
        <v/>
      </c>
      <c r="S86" s="65" t="str">
        <f>IFERROR(VLOOKUP(TableHandbook[[#This Row],[UDC]],TableMJRUINTRL[],7,FALSE),"")</f>
        <v/>
      </c>
      <c r="T86" s="65" t="str">
        <f>IFERROR(VLOOKUP(TableHandbook[[#This Row],[UDC]],TableMJRUJAPAN[],7,FALSE),"")</f>
        <v/>
      </c>
      <c r="U86" s="65" t="str">
        <f>IFERROR(VLOOKUP(TableHandbook[[#This Row],[UDC]],TableMJRUJOURN[],7,FALSE),"")</f>
        <v/>
      </c>
      <c r="V86" s="65" t="str">
        <f>IFERROR(VLOOKUP(TableHandbook[[#This Row],[UDC]],TableMJRUKORES[],7,FALSE),"")</f>
        <v/>
      </c>
      <c r="W86" s="65" t="str">
        <f>IFERROR(VLOOKUP(TableHandbook[[#This Row],[UDC]],TableMJRULITCU[],7,FALSE),"")</f>
        <v/>
      </c>
      <c r="X86" s="65" t="str">
        <f>IFERROR(VLOOKUP(TableHandbook[[#This Row],[UDC]],TableMJRUNETCM[],7,FALSE),"")</f>
        <v/>
      </c>
      <c r="Y86" s="65" t="str">
        <f>IFERROR(VLOOKUP(TableHandbook[[#This Row],[UDC]],TableMJRUPRWRP[],7,FALSE),"")</f>
        <v/>
      </c>
      <c r="Z86" s="66" t="str">
        <f>IFERROR(VLOOKUP(TableHandbook[[#This Row],[UDC]],TableMJRUSCSTR[],7,FALSE),"")</f>
        <v/>
      </c>
      <c r="AA86" s="74"/>
      <c r="AB86" s="66" t="str">
        <f>IFERROR(VLOOKUP(TableHandbook[[#This Row],[UDC]],TableMJRUBSLAW[],7,FALSE),"")</f>
        <v/>
      </c>
      <c r="AC86" s="66" t="str">
        <f>IFERROR(VLOOKUP(TableHandbook[[#This Row],[UDC]],TableMJRUECONS[],7,FALSE),"")</f>
        <v/>
      </c>
      <c r="AD86" s="66" t="str">
        <f>IFERROR(VLOOKUP(TableHandbook[[#This Row],[UDC]],TableMJRUFINAR[],7,FALSE),"")</f>
        <v/>
      </c>
      <c r="AE86" s="66" t="str">
        <f>IFERROR(VLOOKUP(TableHandbook[[#This Row],[UDC]],TableMJRUFINCE[],7,FALSE),"")</f>
        <v/>
      </c>
      <c r="AF86" s="66" t="str">
        <f>IFERROR(VLOOKUP(TableHandbook[[#This Row],[UDC]],TableMJRUHRMGM[],7,FALSE),"")</f>
        <v/>
      </c>
      <c r="AG86" s="66" t="str">
        <f>IFERROR(VLOOKUP(TableHandbook[[#This Row],[UDC]],TableMJRUINTBU[],7,FALSE),"")</f>
        <v/>
      </c>
      <c r="AH86" s="66" t="str">
        <f>IFERROR(VLOOKUP(TableHandbook[[#This Row],[UDC]],TableMJRULGSCM[],7,FALSE),"")</f>
        <v/>
      </c>
      <c r="AI86" s="66" t="str">
        <f>IFERROR(VLOOKUP(TableHandbook[[#This Row],[UDC]],TableMJRUMNGMT[],7,FALSE),"")</f>
        <v/>
      </c>
      <c r="AJ86" s="66" t="str">
        <f>IFERROR(VLOOKUP(TableHandbook[[#This Row],[UDC]],TableMJRUMRKTG[],7,FALSE),"")</f>
        <v/>
      </c>
      <c r="AK86" s="66" t="str">
        <f>IFERROR(VLOOKUP(TableHandbook[[#This Row],[UDC]],TableMJRUPRPTY[],7,FALSE),"")</f>
        <v/>
      </c>
      <c r="AL86" s="66" t="str">
        <f>IFERROR(VLOOKUP(TableHandbook[[#This Row],[UDC]],TableMJRUSCRAR[],7,FALSE),"")</f>
        <v/>
      </c>
      <c r="AM86" s="66" t="str">
        <f>IFERROR(VLOOKUP(TableHandbook[[#This Row],[UDC]],TableMJRUTHTRA[],7,FALSE),"")</f>
        <v/>
      </c>
      <c r="AN86" s="66" t="str">
        <f>IFERROR(VLOOKUP(TableHandbook[[#This Row],[UDC]],TableMJRUTRHOS[],7,FALSE),"")</f>
        <v/>
      </c>
    </row>
    <row r="87" spans="1:40" x14ac:dyDescent="0.25">
      <c r="A87" s="8" t="s">
        <v>278</v>
      </c>
      <c r="B87" s="9">
        <v>1</v>
      </c>
      <c r="C87" s="8"/>
      <c r="D87" s="8" t="s">
        <v>606</v>
      </c>
      <c r="E87" s="9">
        <v>25</v>
      </c>
      <c r="F87" s="49" t="s">
        <v>526</v>
      </c>
      <c r="G87" s="67" t="str">
        <f>IFERROR(IF(VLOOKUP(TableHandbook[[#This Row],[UDC]],TableAvailabilities[],2,FALSE)&gt;0,"Y",""),"")</f>
        <v>Y</v>
      </c>
      <c r="H87" s="68" t="str">
        <f>IFERROR(IF(VLOOKUP(TableHandbook[[#This Row],[UDC]],TableAvailabilities[],3,FALSE)&gt;0,"Y",""),"")</f>
        <v>Y</v>
      </c>
      <c r="I87" s="69" t="str">
        <f>IFERROR(IF(VLOOKUP(TableHandbook[[#This Row],[UDC]],TableAvailabilities[],4,FALSE)&gt;0,"Y",""),"")</f>
        <v/>
      </c>
      <c r="J87" s="70" t="str">
        <f>IFERROR(IF(VLOOKUP(TableHandbook[[#This Row],[UDC]],TableAvailabilities[],5,FALSE)&gt;0,"Y",""),"")</f>
        <v/>
      </c>
      <c r="K87" s="163"/>
      <c r="L87" s="64" t="str">
        <f>IFERROR(VLOOKUP(TableHandbook[[#This Row],[UDC]],TableBARTS[],7,FALSE),"")</f>
        <v/>
      </c>
      <c r="M87" s="65" t="str">
        <f>IFERROR(VLOOKUP(TableHandbook[[#This Row],[UDC]],TableMJRUANTSO[],7,FALSE),"")</f>
        <v/>
      </c>
      <c r="N87" s="65" t="str">
        <f>IFERROR(VLOOKUP(TableHandbook[[#This Row],[UDC]],TableMJRUCHNSE[],7,FALSE),"")</f>
        <v/>
      </c>
      <c r="O87" s="65" t="str">
        <f>IFERROR(VLOOKUP(TableHandbook[[#This Row],[UDC]],TableMJRUCRWRI[],7,FALSE),"")</f>
        <v/>
      </c>
      <c r="P87" s="65" t="str">
        <f>IFERROR(VLOOKUP(TableHandbook[[#This Row],[UDC]],TableMJRUGEOGR[],7,FALSE),"")</f>
        <v>Core</v>
      </c>
      <c r="Q87" s="65" t="str">
        <f>IFERROR(VLOOKUP(TableHandbook[[#This Row],[UDC]],TableMJRUHISTR[],7,FALSE),"")</f>
        <v/>
      </c>
      <c r="R87" s="65" t="str">
        <f>IFERROR(VLOOKUP(TableHandbook[[#This Row],[UDC]],TableMJRUINAUC[],7,FALSE),"")</f>
        <v>Core</v>
      </c>
      <c r="S87" s="65" t="str">
        <f>IFERROR(VLOOKUP(TableHandbook[[#This Row],[UDC]],TableMJRUINTRL[],7,FALSE),"")</f>
        <v/>
      </c>
      <c r="T87" s="65" t="str">
        <f>IFERROR(VLOOKUP(TableHandbook[[#This Row],[UDC]],TableMJRUJAPAN[],7,FALSE),"")</f>
        <v/>
      </c>
      <c r="U87" s="65" t="str">
        <f>IFERROR(VLOOKUP(TableHandbook[[#This Row],[UDC]],TableMJRUJOURN[],7,FALSE),"")</f>
        <v/>
      </c>
      <c r="V87" s="65" t="str">
        <f>IFERROR(VLOOKUP(TableHandbook[[#This Row],[UDC]],TableMJRUKORES[],7,FALSE),"")</f>
        <v/>
      </c>
      <c r="W87" s="65" t="str">
        <f>IFERROR(VLOOKUP(TableHandbook[[#This Row],[UDC]],TableMJRULITCU[],7,FALSE),"")</f>
        <v/>
      </c>
      <c r="X87" s="65" t="str">
        <f>IFERROR(VLOOKUP(TableHandbook[[#This Row],[UDC]],TableMJRUNETCM[],7,FALSE),"")</f>
        <v/>
      </c>
      <c r="Y87" s="65" t="str">
        <f>IFERROR(VLOOKUP(TableHandbook[[#This Row],[UDC]],TableMJRUPRWRP[],7,FALSE),"")</f>
        <v/>
      </c>
      <c r="Z87" s="66" t="str">
        <f>IFERROR(VLOOKUP(TableHandbook[[#This Row],[UDC]],TableMJRUSCSTR[],7,FALSE),"")</f>
        <v/>
      </c>
      <c r="AA87" s="74"/>
      <c r="AB87" s="66" t="str">
        <f>IFERROR(VLOOKUP(TableHandbook[[#This Row],[UDC]],TableMJRUBSLAW[],7,FALSE),"")</f>
        <v/>
      </c>
      <c r="AC87" s="66" t="str">
        <f>IFERROR(VLOOKUP(TableHandbook[[#This Row],[UDC]],TableMJRUECONS[],7,FALSE),"")</f>
        <v/>
      </c>
      <c r="AD87" s="66" t="str">
        <f>IFERROR(VLOOKUP(TableHandbook[[#This Row],[UDC]],TableMJRUFINAR[],7,FALSE),"")</f>
        <v/>
      </c>
      <c r="AE87" s="66" t="str">
        <f>IFERROR(VLOOKUP(TableHandbook[[#This Row],[UDC]],TableMJRUFINCE[],7,FALSE),"")</f>
        <v/>
      </c>
      <c r="AF87" s="66" t="str">
        <f>IFERROR(VLOOKUP(TableHandbook[[#This Row],[UDC]],TableMJRUHRMGM[],7,FALSE),"")</f>
        <v/>
      </c>
      <c r="AG87" s="66" t="str">
        <f>IFERROR(VLOOKUP(TableHandbook[[#This Row],[UDC]],TableMJRUINTBU[],7,FALSE),"")</f>
        <v/>
      </c>
      <c r="AH87" s="66" t="str">
        <f>IFERROR(VLOOKUP(TableHandbook[[#This Row],[UDC]],TableMJRULGSCM[],7,FALSE),"")</f>
        <v/>
      </c>
      <c r="AI87" s="66" t="str">
        <f>IFERROR(VLOOKUP(TableHandbook[[#This Row],[UDC]],TableMJRUMNGMT[],7,FALSE),"")</f>
        <v/>
      </c>
      <c r="AJ87" s="66" t="str">
        <f>IFERROR(VLOOKUP(TableHandbook[[#This Row],[UDC]],TableMJRUMRKTG[],7,FALSE),"")</f>
        <v/>
      </c>
      <c r="AK87" s="66" t="str">
        <f>IFERROR(VLOOKUP(TableHandbook[[#This Row],[UDC]],TableMJRUPRPTY[],7,FALSE),"")</f>
        <v/>
      </c>
      <c r="AL87" s="66" t="str">
        <f>IFERROR(VLOOKUP(TableHandbook[[#This Row],[UDC]],TableMJRUSCRAR[],7,FALSE),"")</f>
        <v/>
      </c>
      <c r="AM87" s="66" t="str">
        <f>IFERROR(VLOOKUP(TableHandbook[[#This Row],[UDC]],TableMJRUTHTRA[],7,FALSE),"")</f>
        <v/>
      </c>
      <c r="AN87" s="66" t="str">
        <f>IFERROR(VLOOKUP(TableHandbook[[#This Row],[UDC]],TableMJRUTRHOS[],7,FALSE),"")</f>
        <v/>
      </c>
    </row>
    <row r="88" spans="1:40" x14ac:dyDescent="0.25">
      <c r="A88" s="8" t="s">
        <v>301</v>
      </c>
      <c r="B88" s="9">
        <v>1</v>
      </c>
      <c r="C88" s="8"/>
      <c r="D88" s="8" t="s">
        <v>607</v>
      </c>
      <c r="E88" s="9">
        <v>25</v>
      </c>
      <c r="F88" s="49" t="s">
        <v>526</v>
      </c>
      <c r="G88" s="67" t="str">
        <f>IFERROR(IF(VLOOKUP(TableHandbook[[#This Row],[UDC]],TableAvailabilities[],2,FALSE)&gt;0,"Y",""),"")</f>
        <v>Y</v>
      </c>
      <c r="H88" s="68" t="str">
        <f>IFERROR(IF(VLOOKUP(TableHandbook[[#This Row],[UDC]],TableAvailabilities[],3,FALSE)&gt;0,"Y",""),"")</f>
        <v/>
      </c>
      <c r="I88" s="69" t="str">
        <f>IFERROR(IF(VLOOKUP(TableHandbook[[#This Row],[UDC]],TableAvailabilities[],4,FALSE)&gt;0,"Y",""),"")</f>
        <v>Y</v>
      </c>
      <c r="J88" s="70" t="str">
        <f>IFERROR(IF(VLOOKUP(TableHandbook[[#This Row],[UDC]],TableAvailabilities[],5,FALSE)&gt;0,"Y",""),"")</f>
        <v/>
      </c>
      <c r="K88" s="163"/>
      <c r="L88" s="64" t="str">
        <f>IFERROR(VLOOKUP(TableHandbook[[#This Row],[UDC]],TableBARTS[],7,FALSE),"")</f>
        <v/>
      </c>
      <c r="M88" s="65" t="str">
        <f>IFERROR(VLOOKUP(TableHandbook[[#This Row],[UDC]],TableMJRUANTSO[],7,FALSE),"")</f>
        <v/>
      </c>
      <c r="N88" s="65" t="str">
        <f>IFERROR(VLOOKUP(TableHandbook[[#This Row],[UDC]],TableMJRUCHNSE[],7,FALSE),"")</f>
        <v/>
      </c>
      <c r="O88" s="65" t="str">
        <f>IFERROR(VLOOKUP(TableHandbook[[#This Row],[UDC]],TableMJRUCRWRI[],7,FALSE),"")</f>
        <v/>
      </c>
      <c r="P88" s="65" t="str">
        <f>IFERROR(VLOOKUP(TableHandbook[[#This Row],[UDC]],TableMJRUGEOGR[],7,FALSE),"")</f>
        <v/>
      </c>
      <c r="Q88" s="65" t="str">
        <f>IFERROR(VLOOKUP(TableHandbook[[#This Row],[UDC]],TableMJRUHISTR[],7,FALSE),"")</f>
        <v/>
      </c>
      <c r="R88" s="65" t="str">
        <f>IFERROR(VLOOKUP(TableHandbook[[#This Row],[UDC]],TableMJRUINAUC[],7,FALSE),"")</f>
        <v/>
      </c>
      <c r="S88" s="65" t="str">
        <f>IFERROR(VLOOKUP(TableHandbook[[#This Row],[UDC]],TableMJRUINTRL[],7,FALSE),"")</f>
        <v/>
      </c>
      <c r="T88" s="65" t="str">
        <f>IFERROR(VLOOKUP(TableHandbook[[#This Row],[UDC]],TableMJRUJAPAN[],7,FALSE),"")</f>
        <v/>
      </c>
      <c r="U88" s="65" t="str">
        <f>IFERROR(VLOOKUP(TableHandbook[[#This Row],[UDC]],TableMJRUJOURN[],7,FALSE),"")</f>
        <v>Option</v>
      </c>
      <c r="V88" s="65" t="str">
        <f>IFERROR(VLOOKUP(TableHandbook[[#This Row],[UDC]],TableMJRUKORES[],7,FALSE),"")</f>
        <v/>
      </c>
      <c r="W88" s="65" t="str">
        <f>IFERROR(VLOOKUP(TableHandbook[[#This Row],[UDC]],TableMJRULITCU[],7,FALSE),"")</f>
        <v/>
      </c>
      <c r="X88" s="65" t="str">
        <f>IFERROR(VLOOKUP(TableHandbook[[#This Row],[UDC]],TableMJRUNETCM[],7,FALSE),"")</f>
        <v/>
      </c>
      <c r="Y88" s="65" t="str">
        <f>IFERROR(VLOOKUP(TableHandbook[[#This Row],[UDC]],TableMJRUPRWRP[],7,FALSE),"")</f>
        <v/>
      </c>
      <c r="Z88" s="66" t="str">
        <f>IFERROR(VLOOKUP(TableHandbook[[#This Row],[UDC]],TableMJRUSCSTR[],7,FALSE),"")</f>
        <v/>
      </c>
      <c r="AA88" s="74"/>
      <c r="AB88" s="66" t="str">
        <f>IFERROR(VLOOKUP(TableHandbook[[#This Row],[UDC]],TableMJRUBSLAW[],7,FALSE),"")</f>
        <v/>
      </c>
      <c r="AC88" s="66" t="str">
        <f>IFERROR(VLOOKUP(TableHandbook[[#This Row],[UDC]],TableMJRUECONS[],7,FALSE),"")</f>
        <v/>
      </c>
      <c r="AD88" s="66" t="str">
        <f>IFERROR(VLOOKUP(TableHandbook[[#This Row],[UDC]],TableMJRUFINAR[],7,FALSE),"")</f>
        <v/>
      </c>
      <c r="AE88" s="66" t="str">
        <f>IFERROR(VLOOKUP(TableHandbook[[#This Row],[UDC]],TableMJRUFINCE[],7,FALSE),"")</f>
        <v/>
      </c>
      <c r="AF88" s="66" t="str">
        <f>IFERROR(VLOOKUP(TableHandbook[[#This Row],[UDC]],TableMJRUHRMGM[],7,FALSE),"")</f>
        <v/>
      </c>
      <c r="AG88" s="66" t="str">
        <f>IFERROR(VLOOKUP(TableHandbook[[#This Row],[UDC]],TableMJRUINTBU[],7,FALSE),"")</f>
        <v/>
      </c>
      <c r="AH88" s="66" t="str">
        <f>IFERROR(VLOOKUP(TableHandbook[[#This Row],[UDC]],TableMJRULGSCM[],7,FALSE),"")</f>
        <v/>
      </c>
      <c r="AI88" s="66" t="str">
        <f>IFERROR(VLOOKUP(TableHandbook[[#This Row],[UDC]],TableMJRUMNGMT[],7,FALSE),"")</f>
        <v/>
      </c>
      <c r="AJ88" s="66" t="str">
        <f>IFERROR(VLOOKUP(TableHandbook[[#This Row],[UDC]],TableMJRUMRKTG[],7,FALSE),"")</f>
        <v/>
      </c>
      <c r="AK88" s="66" t="str">
        <f>IFERROR(VLOOKUP(TableHandbook[[#This Row],[UDC]],TableMJRUPRPTY[],7,FALSE),"")</f>
        <v/>
      </c>
      <c r="AL88" s="66" t="str">
        <f>IFERROR(VLOOKUP(TableHandbook[[#This Row],[UDC]],TableMJRUSCRAR[],7,FALSE),"")</f>
        <v/>
      </c>
      <c r="AM88" s="66" t="str">
        <f>IFERROR(VLOOKUP(TableHandbook[[#This Row],[UDC]],TableMJRUTHTRA[],7,FALSE),"")</f>
        <v/>
      </c>
      <c r="AN88" s="66" t="str">
        <f>IFERROR(VLOOKUP(TableHandbook[[#This Row],[UDC]],TableMJRUTRHOS[],7,FALSE),"")</f>
        <v/>
      </c>
    </row>
    <row r="89" spans="1:40" x14ac:dyDescent="0.25">
      <c r="A89" s="8" t="s">
        <v>51</v>
      </c>
      <c r="B89" s="9">
        <v>1</v>
      </c>
      <c r="C89" s="8"/>
      <c r="D89" s="8" t="s">
        <v>608</v>
      </c>
      <c r="E89" s="9">
        <v>25</v>
      </c>
      <c r="F89" s="49" t="s">
        <v>526</v>
      </c>
      <c r="G89" s="67" t="str">
        <f>IFERROR(IF(VLOOKUP(TableHandbook[[#This Row],[UDC]],TableAvailabilities[],2,FALSE)&gt;0,"Y",""),"")</f>
        <v>Y</v>
      </c>
      <c r="H89" s="68" t="str">
        <f>IFERROR(IF(VLOOKUP(TableHandbook[[#This Row],[UDC]],TableAvailabilities[],3,FALSE)&gt;0,"Y",""),"")</f>
        <v>Y</v>
      </c>
      <c r="I89" s="69" t="str">
        <f>IFERROR(IF(VLOOKUP(TableHandbook[[#This Row],[UDC]],TableAvailabilities[],4,FALSE)&gt;0,"Y",""),"")</f>
        <v/>
      </c>
      <c r="J89" s="70" t="str">
        <f>IFERROR(IF(VLOOKUP(TableHandbook[[#This Row],[UDC]],TableAvailabilities[],5,FALSE)&gt;0,"Y",""),"")</f>
        <v/>
      </c>
      <c r="K89" s="163"/>
      <c r="L89" s="64" t="str">
        <f>IFERROR(VLOOKUP(TableHandbook[[#This Row],[UDC]],TableBARTS[],7,FALSE),"")</f>
        <v>Option</v>
      </c>
      <c r="M89" s="65" t="str">
        <f>IFERROR(VLOOKUP(TableHandbook[[#This Row],[UDC]],TableMJRUANTSO[],7,FALSE),"")</f>
        <v/>
      </c>
      <c r="N89" s="65" t="str">
        <f>IFERROR(VLOOKUP(TableHandbook[[#This Row],[UDC]],TableMJRUCHNSE[],7,FALSE),"")</f>
        <v/>
      </c>
      <c r="O89" s="65" t="str">
        <f>IFERROR(VLOOKUP(TableHandbook[[#This Row],[UDC]],TableMJRUCRWRI[],7,FALSE),"")</f>
        <v/>
      </c>
      <c r="P89" s="65" t="str">
        <f>IFERROR(VLOOKUP(TableHandbook[[#This Row],[UDC]],TableMJRUGEOGR[],7,FALSE),"")</f>
        <v/>
      </c>
      <c r="Q89" s="65" t="str">
        <f>IFERROR(VLOOKUP(TableHandbook[[#This Row],[UDC]],TableMJRUHISTR[],7,FALSE),"")</f>
        <v/>
      </c>
      <c r="R89" s="65" t="str">
        <f>IFERROR(VLOOKUP(TableHandbook[[#This Row],[UDC]],TableMJRUINAUC[],7,FALSE),"")</f>
        <v/>
      </c>
      <c r="S89" s="65" t="str">
        <f>IFERROR(VLOOKUP(TableHandbook[[#This Row],[UDC]],TableMJRUINTRL[],7,FALSE),"")</f>
        <v/>
      </c>
      <c r="T89" s="65" t="str">
        <f>IFERROR(VLOOKUP(TableHandbook[[#This Row],[UDC]],TableMJRUJAPAN[],7,FALSE),"")</f>
        <v/>
      </c>
      <c r="U89" s="65" t="str">
        <f>IFERROR(VLOOKUP(TableHandbook[[#This Row],[UDC]],TableMJRUJOURN[],7,FALSE),"")</f>
        <v/>
      </c>
      <c r="V89" s="65" t="str">
        <f>IFERROR(VLOOKUP(TableHandbook[[#This Row],[UDC]],TableMJRUKORES[],7,FALSE),"")</f>
        <v/>
      </c>
      <c r="W89" s="65" t="str">
        <f>IFERROR(VLOOKUP(TableHandbook[[#This Row],[UDC]],TableMJRULITCU[],7,FALSE),"")</f>
        <v/>
      </c>
      <c r="X89" s="65" t="str">
        <f>IFERROR(VLOOKUP(TableHandbook[[#This Row],[UDC]],TableMJRUNETCM[],7,FALSE),"")</f>
        <v/>
      </c>
      <c r="Y89" s="65" t="str">
        <f>IFERROR(VLOOKUP(TableHandbook[[#This Row],[UDC]],TableMJRUPRWRP[],7,FALSE),"")</f>
        <v/>
      </c>
      <c r="Z89" s="66" t="str">
        <f>IFERROR(VLOOKUP(TableHandbook[[#This Row],[UDC]],TableMJRUSCSTR[],7,FALSE),"")</f>
        <v/>
      </c>
      <c r="AA89" s="74"/>
      <c r="AB89" s="66" t="str">
        <f>IFERROR(VLOOKUP(TableHandbook[[#This Row],[UDC]],TableMJRUBSLAW[],7,FALSE),"")</f>
        <v/>
      </c>
      <c r="AC89" s="66" t="str">
        <f>IFERROR(VLOOKUP(TableHandbook[[#This Row],[UDC]],TableMJRUECONS[],7,FALSE),"")</f>
        <v/>
      </c>
      <c r="AD89" s="66" t="str">
        <f>IFERROR(VLOOKUP(TableHandbook[[#This Row],[UDC]],TableMJRUFINAR[],7,FALSE),"")</f>
        <v/>
      </c>
      <c r="AE89" s="66" t="str">
        <f>IFERROR(VLOOKUP(TableHandbook[[#This Row],[UDC]],TableMJRUFINCE[],7,FALSE),"")</f>
        <v/>
      </c>
      <c r="AF89" s="66" t="str">
        <f>IFERROR(VLOOKUP(TableHandbook[[#This Row],[UDC]],TableMJRUHRMGM[],7,FALSE),"")</f>
        <v/>
      </c>
      <c r="AG89" s="66" t="str">
        <f>IFERROR(VLOOKUP(TableHandbook[[#This Row],[UDC]],TableMJRUINTBU[],7,FALSE),"")</f>
        <v/>
      </c>
      <c r="AH89" s="66" t="str">
        <f>IFERROR(VLOOKUP(TableHandbook[[#This Row],[UDC]],TableMJRULGSCM[],7,FALSE),"")</f>
        <v/>
      </c>
      <c r="AI89" s="66" t="str">
        <f>IFERROR(VLOOKUP(TableHandbook[[#This Row],[UDC]],TableMJRUMNGMT[],7,FALSE),"")</f>
        <v/>
      </c>
      <c r="AJ89" s="66" t="str">
        <f>IFERROR(VLOOKUP(TableHandbook[[#This Row],[UDC]],TableMJRUMRKTG[],7,FALSE),"")</f>
        <v/>
      </c>
      <c r="AK89" s="66" t="str">
        <f>IFERROR(VLOOKUP(TableHandbook[[#This Row],[UDC]],TableMJRUPRPTY[],7,FALSE),"")</f>
        <v/>
      </c>
      <c r="AL89" s="66" t="str">
        <f>IFERROR(VLOOKUP(TableHandbook[[#This Row],[UDC]],TableMJRUSCRAR[],7,FALSE),"")</f>
        <v/>
      </c>
      <c r="AM89" s="66" t="str">
        <f>IFERROR(VLOOKUP(TableHandbook[[#This Row],[UDC]],TableMJRUTHTRA[],7,FALSE),"")</f>
        <v/>
      </c>
      <c r="AN89" s="66" t="str">
        <f>IFERROR(VLOOKUP(TableHandbook[[#This Row],[UDC]],TableMJRUTRHOS[],7,FALSE),"")</f>
        <v/>
      </c>
    </row>
    <row r="90" spans="1:40" x14ac:dyDescent="0.25">
      <c r="A90" s="8" t="s">
        <v>226</v>
      </c>
      <c r="B90" s="9">
        <v>2</v>
      </c>
      <c r="C90" s="8"/>
      <c r="D90" s="8" t="s">
        <v>609</v>
      </c>
      <c r="E90" s="9">
        <v>25</v>
      </c>
      <c r="F90" s="49" t="s">
        <v>526</v>
      </c>
      <c r="G90" s="67" t="str">
        <f>IFERROR(IF(VLOOKUP(TableHandbook[[#This Row],[UDC]],TableAvailabilities[],2,FALSE)&gt;0,"Y",""),"")</f>
        <v/>
      </c>
      <c r="H90" s="68" t="str">
        <f>IFERROR(IF(VLOOKUP(TableHandbook[[#This Row],[UDC]],TableAvailabilities[],3,FALSE)&gt;0,"Y",""),"")</f>
        <v/>
      </c>
      <c r="I90" s="69" t="str">
        <f>IFERROR(IF(VLOOKUP(TableHandbook[[#This Row],[UDC]],TableAvailabilities[],4,FALSE)&gt;0,"Y",""),"")</f>
        <v>Y</v>
      </c>
      <c r="J90" s="70" t="str">
        <f>IFERROR(IF(VLOOKUP(TableHandbook[[#This Row],[UDC]],TableAvailabilities[],5,FALSE)&gt;0,"Y",""),"")</f>
        <v>Y</v>
      </c>
      <c r="K90" s="163"/>
      <c r="L90" s="64" t="str">
        <f>IFERROR(VLOOKUP(TableHandbook[[#This Row],[UDC]],TableBARTS[],7,FALSE),"")</f>
        <v/>
      </c>
      <c r="M90" s="65" t="str">
        <f>IFERROR(VLOOKUP(TableHandbook[[#This Row],[UDC]],TableMJRUANTSO[],7,FALSE),"")</f>
        <v/>
      </c>
      <c r="N90" s="65" t="str">
        <f>IFERROR(VLOOKUP(TableHandbook[[#This Row],[UDC]],TableMJRUCHNSE[],7,FALSE),"")</f>
        <v/>
      </c>
      <c r="O90" s="65" t="str">
        <f>IFERROR(VLOOKUP(TableHandbook[[#This Row],[UDC]],TableMJRUCRWRI[],7,FALSE),"")</f>
        <v/>
      </c>
      <c r="P90" s="65" t="str">
        <f>IFERROR(VLOOKUP(TableHandbook[[#This Row],[UDC]],TableMJRUGEOGR[],7,FALSE),"")</f>
        <v/>
      </c>
      <c r="Q90" s="65" t="str">
        <f>IFERROR(VLOOKUP(TableHandbook[[#This Row],[UDC]],TableMJRUHISTR[],7,FALSE),"")</f>
        <v>Core</v>
      </c>
      <c r="R90" s="65" t="str">
        <f>IFERROR(VLOOKUP(TableHandbook[[#This Row],[UDC]],TableMJRUINAUC[],7,FALSE),"")</f>
        <v/>
      </c>
      <c r="S90" s="65" t="str">
        <f>IFERROR(VLOOKUP(TableHandbook[[#This Row],[UDC]],TableMJRUINTRL[],7,FALSE),"")</f>
        <v/>
      </c>
      <c r="T90" s="65" t="str">
        <f>IFERROR(VLOOKUP(TableHandbook[[#This Row],[UDC]],TableMJRUJAPAN[],7,FALSE),"")</f>
        <v/>
      </c>
      <c r="U90" s="65" t="str">
        <f>IFERROR(VLOOKUP(TableHandbook[[#This Row],[UDC]],TableMJRUJOURN[],7,FALSE),"")</f>
        <v/>
      </c>
      <c r="V90" s="65" t="str">
        <f>IFERROR(VLOOKUP(TableHandbook[[#This Row],[UDC]],TableMJRUKORES[],7,FALSE),"")</f>
        <v/>
      </c>
      <c r="W90" s="65" t="str">
        <f>IFERROR(VLOOKUP(TableHandbook[[#This Row],[UDC]],TableMJRULITCU[],7,FALSE),"")</f>
        <v/>
      </c>
      <c r="X90" s="65" t="str">
        <f>IFERROR(VLOOKUP(TableHandbook[[#This Row],[UDC]],TableMJRUNETCM[],7,FALSE),"")</f>
        <v/>
      </c>
      <c r="Y90" s="65" t="str">
        <f>IFERROR(VLOOKUP(TableHandbook[[#This Row],[UDC]],TableMJRUPRWRP[],7,FALSE),"")</f>
        <v/>
      </c>
      <c r="Z90" s="66" t="str">
        <f>IFERROR(VLOOKUP(TableHandbook[[#This Row],[UDC]],TableMJRUSCSTR[],7,FALSE),"")</f>
        <v/>
      </c>
      <c r="AA90" s="74"/>
      <c r="AB90" s="66" t="str">
        <f>IFERROR(VLOOKUP(TableHandbook[[#This Row],[UDC]],TableMJRUBSLAW[],7,FALSE),"")</f>
        <v/>
      </c>
      <c r="AC90" s="66" t="str">
        <f>IFERROR(VLOOKUP(TableHandbook[[#This Row],[UDC]],TableMJRUECONS[],7,FALSE),"")</f>
        <v/>
      </c>
      <c r="AD90" s="66" t="str">
        <f>IFERROR(VLOOKUP(TableHandbook[[#This Row],[UDC]],TableMJRUFINAR[],7,FALSE),"")</f>
        <v/>
      </c>
      <c r="AE90" s="66" t="str">
        <f>IFERROR(VLOOKUP(TableHandbook[[#This Row],[UDC]],TableMJRUFINCE[],7,FALSE),"")</f>
        <v/>
      </c>
      <c r="AF90" s="66" t="str">
        <f>IFERROR(VLOOKUP(TableHandbook[[#This Row],[UDC]],TableMJRUHRMGM[],7,FALSE),"")</f>
        <v/>
      </c>
      <c r="AG90" s="66" t="str">
        <f>IFERROR(VLOOKUP(TableHandbook[[#This Row],[UDC]],TableMJRUINTBU[],7,FALSE),"")</f>
        <v/>
      </c>
      <c r="AH90" s="66" t="str">
        <f>IFERROR(VLOOKUP(TableHandbook[[#This Row],[UDC]],TableMJRULGSCM[],7,FALSE),"")</f>
        <v/>
      </c>
      <c r="AI90" s="66" t="str">
        <f>IFERROR(VLOOKUP(TableHandbook[[#This Row],[UDC]],TableMJRUMNGMT[],7,FALSE),"")</f>
        <v/>
      </c>
      <c r="AJ90" s="66" t="str">
        <f>IFERROR(VLOOKUP(TableHandbook[[#This Row],[UDC]],TableMJRUMRKTG[],7,FALSE),"")</f>
        <v/>
      </c>
      <c r="AK90" s="66" t="str">
        <f>IFERROR(VLOOKUP(TableHandbook[[#This Row],[UDC]],TableMJRUPRPTY[],7,FALSE),"")</f>
        <v/>
      </c>
      <c r="AL90" s="66" t="str">
        <f>IFERROR(VLOOKUP(TableHandbook[[#This Row],[UDC]],TableMJRUSCRAR[],7,FALSE),"")</f>
        <v/>
      </c>
      <c r="AM90" s="66" t="str">
        <f>IFERROR(VLOOKUP(TableHandbook[[#This Row],[UDC]],TableMJRUTHTRA[],7,FALSE),"")</f>
        <v/>
      </c>
      <c r="AN90" s="66" t="str">
        <f>IFERROR(VLOOKUP(TableHandbook[[#This Row],[UDC]],TableMJRUTRHOS[],7,FALSE),"")</f>
        <v/>
      </c>
    </row>
    <row r="91" spans="1:40" x14ac:dyDescent="0.25">
      <c r="A91" s="8" t="s">
        <v>201</v>
      </c>
      <c r="B91" s="9">
        <v>2</v>
      </c>
      <c r="C91" s="8"/>
      <c r="D91" s="8" t="s">
        <v>610</v>
      </c>
      <c r="E91" s="9">
        <v>25</v>
      </c>
      <c r="F91" s="49" t="s">
        <v>526</v>
      </c>
      <c r="G91" s="67" t="str">
        <f>IFERROR(IF(VLOOKUP(TableHandbook[[#This Row],[UDC]],TableAvailabilities[],2,FALSE)&gt;0,"Y",""),"")</f>
        <v>Y</v>
      </c>
      <c r="H91" s="68" t="str">
        <f>IFERROR(IF(VLOOKUP(TableHandbook[[#This Row],[UDC]],TableAvailabilities[],3,FALSE)&gt;0,"Y",""),"")</f>
        <v>Y</v>
      </c>
      <c r="I91" s="69" t="str">
        <f>IFERROR(IF(VLOOKUP(TableHandbook[[#This Row],[UDC]],TableAvailabilities[],4,FALSE)&gt;0,"Y",""),"")</f>
        <v/>
      </c>
      <c r="J91" s="70" t="str">
        <f>IFERROR(IF(VLOOKUP(TableHandbook[[#This Row],[UDC]],TableAvailabilities[],5,FALSE)&gt;0,"Y",""),"")</f>
        <v/>
      </c>
      <c r="K91" s="163"/>
      <c r="L91" s="64" t="str">
        <f>IFERROR(VLOOKUP(TableHandbook[[#This Row],[UDC]],TableBARTS[],7,FALSE),"")</f>
        <v/>
      </c>
      <c r="M91" s="65" t="str">
        <f>IFERROR(VLOOKUP(TableHandbook[[#This Row],[UDC]],TableMJRUANTSO[],7,FALSE),"")</f>
        <v/>
      </c>
      <c r="N91" s="65" t="str">
        <f>IFERROR(VLOOKUP(TableHandbook[[#This Row],[UDC]],TableMJRUCHNSE[],7,FALSE),"")</f>
        <v/>
      </c>
      <c r="O91" s="65" t="str">
        <f>IFERROR(VLOOKUP(TableHandbook[[#This Row],[UDC]],TableMJRUCRWRI[],7,FALSE),"")</f>
        <v/>
      </c>
      <c r="P91" s="65" t="str">
        <f>IFERROR(VLOOKUP(TableHandbook[[#This Row],[UDC]],TableMJRUGEOGR[],7,FALSE),"")</f>
        <v/>
      </c>
      <c r="Q91" s="65" t="str">
        <f>IFERROR(VLOOKUP(TableHandbook[[#This Row],[UDC]],TableMJRUHISTR[],7,FALSE),"")</f>
        <v>Core</v>
      </c>
      <c r="R91" s="65" t="str">
        <f>IFERROR(VLOOKUP(TableHandbook[[#This Row],[UDC]],TableMJRUINAUC[],7,FALSE),"")</f>
        <v/>
      </c>
      <c r="S91" s="65" t="str">
        <f>IFERROR(VLOOKUP(TableHandbook[[#This Row],[UDC]],TableMJRUINTRL[],7,FALSE),"")</f>
        <v/>
      </c>
      <c r="T91" s="65" t="str">
        <f>IFERROR(VLOOKUP(TableHandbook[[#This Row],[UDC]],TableMJRUJAPAN[],7,FALSE),"")</f>
        <v/>
      </c>
      <c r="U91" s="65" t="str">
        <f>IFERROR(VLOOKUP(TableHandbook[[#This Row],[UDC]],TableMJRUJOURN[],7,FALSE),"")</f>
        <v/>
      </c>
      <c r="V91" s="65" t="str">
        <f>IFERROR(VLOOKUP(TableHandbook[[#This Row],[UDC]],TableMJRUKORES[],7,FALSE),"")</f>
        <v/>
      </c>
      <c r="W91" s="65" t="str">
        <f>IFERROR(VLOOKUP(TableHandbook[[#This Row],[UDC]],TableMJRULITCU[],7,FALSE),"")</f>
        <v/>
      </c>
      <c r="X91" s="65" t="str">
        <f>IFERROR(VLOOKUP(TableHandbook[[#This Row],[UDC]],TableMJRUNETCM[],7,FALSE),"")</f>
        <v/>
      </c>
      <c r="Y91" s="65" t="str">
        <f>IFERROR(VLOOKUP(TableHandbook[[#This Row],[UDC]],TableMJRUPRWRP[],7,FALSE),"")</f>
        <v/>
      </c>
      <c r="Z91" s="66" t="str">
        <f>IFERROR(VLOOKUP(TableHandbook[[#This Row],[UDC]],TableMJRUSCSTR[],7,FALSE),"")</f>
        <v/>
      </c>
      <c r="AA91" s="74"/>
      <c r="AB91" s="66" t="str">
        <f>IFERROR(VLOOKUP(TableHandbook[[#This Row],[UDC]],TableMJRUBSLAW[],7,FALSE),"")</f>
        <v/>
      </c>
      <c r="AC91" s="66" t="str">
        <f>IFERROR(VLOOKUP(TableHandbook[[#This Row],[UDC]],TableMJRUECONS[],7,FALSE),"")</f>
        <v/>
      </c>
      <c r="AD91" s="66" t="str">
        <f>IFERROR(VLOOKUP(TableHandbook[[#This Row],[UDC]],TableMJRUFINAR[],7,FALSE),"")</f>
        <v/>
      </c>
      <c r="AE91" s="66" t="str">
        <f>IFERROR(VLOOKUP(TableHandbook[[#This Row],[UDC]],TableMJRUFINCE[],7,FALSE),"")</f>
        <v/>
      </c>
      <c r="AF91" s="66" t="str">
        <f>IFERROR(VLOOKUP(TableHandbook[[#This Row],[UDC]],TableMJRUHRMGM[],7,FALSE),"")</f>
        <v/>
      </c>
      <c r="AG91" s="66" t="str">
        <f>IFERROR(VLOOKUP(TableHandbook[[#This Row],[UDC]],TableMJRUINTBU[],7,FALSE),"")</f>
        <v/>
      </c>
      <c r="AH91" s="66" t="str">
        <f>IFERROR(VLOOKUP(TableHandbook[[#This Row],[UDC]],TableMJRULGSCM[],7,FALSE),"")</f>
        <v/>
      </c>
      <c r="AI91" s="66" t="str">
        <f>IFERROR(VLOOKUP(TableHandbook[[#This Row],[UDC]],TableMJRUMNGMT[],7,FALSE),"")</f>
        <v/>
      </c>
      <c r="AJ91" s="66" t="str">
        <f>IFERROR(VLOOKUP(TableHandbook[[#This Row],[UDC]],TableMJRUMRKTG[],7,FALSE),"")</f>
        <v/>
      </c>
      <c r="AK91" s="66" t="str">
        <f>IFERROR(VLOOKUP(TableHandbook[[#This Row],[UDC]],TableMJRUPRPTY[],7,FALSE),"")</f>
        <v/>
      </c>
      <c r="AL91" s="66" t="str">
        <f>IFERROR(VLOOKUP(TableHandbook[[#This Row],[UDC]],TableMJRUSCRAR[],7,FALSE),"")</f>
        <v/>
      </c>
      <c r="AM91" s="66" t="str">
        <f>IFERROR(VLOOKUP(TableHandbook[[#This Row],[UDC]],TableMJRUTHTRA[],7,FALSE),"")</f>
        <v/>
      </c>
      <c r="AN91" s="66" t="str">
        <f>IFERROR(VLOOKUP(TableHandbook[[#This Row],[UDC]],TableMJRUTRHOS[],7,FALSE),"")</f>
        <v/>
      </c>
    </row>
    <row r="92" spans="1:40" x14ac:dyDescent="0.25">
      <c r="A92" s="8" t="s">
        <v>225</v>
      </c>
      <c r="B92" s="9">
        <v>2</v>
      </c>
      <c r="C92" s="8"/>
      <c r="D92" s="8" t="s">
        <v>611</v>
      </c>
      <c r="E92" s="9">
        <v>25</v>
      </c>
      <c r="F92" s="49" t="s">
        <v>526</v>
      </c>
      <c r="G92" s="67" t="str">
        <f>IFERROR(IF(VLOOKUP(TableHandbook[[#This Row],[UDC]],TableAvailabilities[],2,FALSE)&gt;0,"Y",""),"")</f>
        <v>Y</v>
      </c>
      <c r="H92" s="68" t="str">
        <f>IFERROR(IF(VLOOKUP(TableHandbook[[#This Row],[UDC]],TableAvailabilities[],3,FALSE)&gt;0,"Y",""),"")</f>
        <v>Y</v>
      </c>
      <c r="I92" s="69" t="str">
        <f>IFERROR(IF(VLOOKUP(TableHandbook[[#This Row],[UDC]],TableAvailabilities[],4,FALSE)&gt;0,"Y",""),"")</f>
        <v/>
      </c>
      <c r="J92" s="70" t="str">
        <f>IFERROR(IF(VLOOKUP(TableHandbook[[#This Row],[UDC]],TableAvailabilities[],5,FALSE)&gt;0,"Y",""),"")</f>
        <v/>
      </c>
      <c r="K92" s="163"/>
      <c r="L92" s="64" t="str">
        <f>IFERROR(VLOOKUP(TableHandbook[[#This Row],[UDC]],TableBARTS[],7,FALSE),"")</f>
        <v/>
      </c>
      <c r="M92" s="65" t="str">
        <f>IFERROR(VLOOKUP(TableHandbook[[#This Row],[UDC]],TableMJRUANTSO[],7,FALSE),"")</f>
        <v/>
      </c>
      <c r="N92" s="65" t="str">
        <f>IFERROR(VLOOKUP(TableHandbook[[#This Row],[UDC]],TableMJRUCHNSE[],7,FALSE),"")</f>
        <v/>
      </c>
      <c r="O92" s="65" t="str">
        <f>IFERROR(VLOOKUP(TableHandbook[[#This Row],[UDC]],TableMJRUCRWRI[],7,FALSE),"")</f>
        <v/>
      </c>
      <c r="P92" s="65" t="str">
        <f>IFERROR(VLOOKUP(TableHandbook[[#This Row],[UDC]],TableMJRUGEOGR[],7,FALSE),"")</f>
        <v/>
      </c>
      <c r="Q92" s="65" t="str">
        <f>IFERROR(VLOOKUP(TableHandbook[[#This Row],[UDC]],TableMJRUHISTR[],7,FALSE),"")</f>
        <v>Core</v>
      </c>
      <c r="R92" s="65" t="str">
        <f>IFERROR(VLOOKUP(TableHandbook[[#This Row],[UDC]],TableMJRUINAUC[],7,FALSE),"")</f>
        <v/>
      </c>
      <c r="S92" s="65" t="str">
        <f>IFERROR(VLOOKUP(TableHandbook[[#This Row],[UDC]],TableMJRUINTRL[],7,FALSE),"")</f>
        <v/>
      </c>
      <c r="T92" s="65" t="str">
        <f>IFERROR(VLOOKUP(TableHandbook[[#This Row],[UDC]],TableMJRUJAPAN[],7,FALSE),"")</f>
        <v/>
      </c>
      <c r="U92" s="65" t="str">
        <f>IFERROR(VLOOKUP(TableHandbook[[#This Row],[UDC]],TableMJRUJOURN[],7,FALSE),"")</f>
        <v/>
      </c>
      <c r="V92" s="65" t="str">
        <f>IFERROR(VLOOKUP(TableHandbook[[#This Row],[UDC]],TableMJRUKORES[],7,FALSE),"")</f>
        <v/>
      </c>
      <c r="W92" s="65" t="str">
        <f>IFERROR(VLOOKUP(TableHandbook[[#This Row],[UDC]],TableMJRULITCU[],7,FALSE),"")</f>
        <v/>
      </c>
      <c r="X92" s="65" t="str">
        <f>IFERROR(VLOOKUP(TableHandbook[[#This Row],[UDC]],TableMJRUNETCM[],7,FALSE),"")</f>
        <v/>
      </c>
      <c r="Y92" s="65" t="str">
        <f>IFERROR(VLOOKUP(TableHandbook[[#This Row],[UDC]],TableMJRUPRWRP[],7,FALSE),"")</f>
        <v/>
      </c>
      <c r="Z92" s="66" t="str">
        <f>IFERROR(VLOOKUP(TableHandbook[[#This Row],[UDC]],TableMJRUSCSTR[],7,FALSE),"")</f>
        <v/>
      </c>
      <c r="AA92" s="74"/>
      <c r="AB92" s="66" t="str">
        <f>IFERROR(VLOOKUP(TableHandbook[[#This Row],[UDC]],TableMJRUBSLAW[],7,FALSE),"")</f>
        <v/>
      </c>
      <c r="AC92" s="66" t="str">
        <f>IFERROR(VLOOKUP(TableHandbook[[#This Row],[UDC]],TableMJRUECONS[],7,FALSE),"")</f>
        <v/>
      </c>
      <c r="AD92" s="66" t="str">
        <f>IFERROR(VLOOKUP(TableHandbook[[#This Row],[UDC]],TableMJRUFINAR[],7,FALSE),"")</f>
        <v/>
      </c>
      <c r="AE92" s="66" t="str">
        <f>IFERROR(VLOOKUP(TableHandbook[[#This Row],[UDC]],TableMJRUFINCE[],7,FALSE),"")</f>
        <v/>
      </c>
      <c r="AF92" s="66" t="str">
        <f>IFERROR(VLOOKUP(TableHandbook[[#This Row],[UDC]],TableMJRUHRMGM[],7,FALSE),"")</f>
        <v/>
      </c>
      <c r="AG92" s="66" t="str">
        <f>IFERROR(VLOOKUP(TableHandbook[[#This Row],[UDC]],TableMJRUINTBU[],7,FALSE),"")</f>
        <v/>
      </c>
      <c r="AH92" s="66" t="str">
        <f>IFERROR(VLOOKUP(TableHandbook[[#This Row],[UDC]],TableMJRULGSCM[],7,FALSE),"")</f>
        <v/>
      </c>
      <c r="AI92" s="66" t="str">
        <f>IFERROR(VLOOKUP(TableHandbook[[#This Row],[UDC]],TableMJRUMNGMT[],7,FALSE),"")</f>
        <v/>
      </c>
      <c r="AJ92" s="66" t="str">
        <f>IFERROR(VLOOKUP(TableHandbook[[#This Row],[UDC]],TableMJRUMRKTG[],7,FALSE),"")</f>
        <v/>
      </c>
      <c r="AK92" s="66" t="str">
        <f>IFERROR(VLOOKUP(TableHandbook[[#This Row],[UDC]],TableMJRUPRPTY[],7,FALSE),"")</f>
        <v/>
      </c>
      <c r="AL92" s="66" t="str">
        <f>IFERROR(VLOOKUP(TableHandbook[[#This Row],[UDC]],TableMJRUSCRAR[],7,FALSE),"")</f>
        <v/>
      </c>
      <c r="AM92" s="66" t="str">
        <f>IFERROR(VLOOKUP(TableHandbook[[#This Row],[UDC]],TableMJRUTHTRA[],7,FALSE),"")</f>
        <v/>
      </c>
      <c r="AN92" s="66" t="str">
        <f>IFERROR(VLOOKUP(TableHandbook[[#This Row],[UDC]],TableMJRUTRHOS[],7,FALSE),"")</f>
        <v/>
      </c>
    </row>
    <row r="93" spans="1:40" x14ac:dyDescent="0.25">
      <c r="A93" s="8" t="s">
        <v>202</v>
      </c>
      <c r="B93" s="9">
        <v>1</v>
      </c>
      <c r="C93" s="8"/>
      <c r="D93" s="8" t="s">
        <v>612</v>
      </c>
      <c r="E93" s="9">
        <v>25</v>
      </c>
      <c r="F93" s="174" t="s">
        <v>526</v>
      </c>
      <c r="G93" s="67" t="str">
        <f>IFERROR(IF(VLOOKUP(TableHandbook[[#This Row],[UDC]],TableAvailabilities[],2,FALSE)&gt;0,"Y",""),"")</f>
        <v/>
      </c>
      <c r="H93" s="68" t="str">
        <f>IFERROR(IF(VLOOKUP(TableHandbook[[#This Row],[UDC]],TableAvailabilities[],3,FALSE)&gt;0,"Y",""),"")</f>
        <v/>
      </c>
      <c r="I93" s="69" t="str">
        <f>IFERROR(IF(VLOOKUP(TableHandbook[[#This Row],[UDC]],TableAvailabilities[],4,FALSE)&gt;0,"Y",""),"")</f>
        <v>Y</v>
      </c>
      <c r="J93" s="70" t="str">
        <f>IFERROR(IF(VLOOKUP(TableHandbook[[#This Row],[UDC]],TableAvailabilities[],5,FALSE)&gt;0,"Y",""),"")</f>
        <v>Y</v>
      </c>
      <c r="K93" s="163"/>
      <c r="L93" s="64" t="str">
        <f>IFERROR(VLOOKUP(TableHandbook[[#This Row],[UDC]],TableBARTS[],7,FALSE),"")</f>
        <v/>
      </c>
      <c r="M93" s="65" t="str">
        <f>IFERROR(VLOOKUP(TableHandbook[[#This Row],[UDC]],TableMJRUANTSO[],7,FALSE),"")</f>
        <v/>
      </c>
      <c r="N93" s="65" t="str">
        <f>IFERROR(VLOOKUP(TableHandbook[[#This Row],[UDC]],TableMJRUCHNSE[],7,FALSE),"")</f>
        <v/>
      </c>
      <c r="O93" s="65" t="str">
        <f>IFERROR(VLOOKUP(TableHandbook[[#This Row],[UDC]],TableMJRUCRWRI[],7,FALSE),"")</f>
        <v/>
      </c>
      <c r="P93" s="65" t="str">
        <f>IFERROR(VLOOKUP(TableHandbook[[#This Row],[UDC]],TableMJRUGEOGR[],7,FALSE),"")</f>
        <v/>
      </c>
      <c r="Q93" s="65" t="str">
        <f>IFERROR(VLOOKUP(TableHandbook[[#This Row],[UDC]],TableMJRUHISTR[],7,FALSE),"")</f>
        <v>Core</v>
      </c>
      <c r="R93" s="65" t="str">
        <f>IFERROR(VLOOKUP(TableHandbook[[#This Row],[UDC]],TableMJRUINAUC[],7,FALSE),"")</f>
        <v/>
      </c>
      <c r="S93" s="65" t="str">
        <f>IFERROR(VLOOKUP(TableHandbook[[#This Row],[UDC]],TableMJRUINTRL[],7,FALSE),"")</f>
        <v/>
      </c>
      <c r="T93" s="65" t="str">
        <f>IFERROR(VLOOKUP(TableHandbook[[#This Row],[UDC]],TableMJRUJAPAN[],7,FALSE),"")</f>
        <v/>
      </c>
      <c r="U93" s="65" t="str">
        <f>IFERROR(VLOOKUP(TableHandbook[[#This Row],[UDC]],TableMJRUJOURN[],7,FALSE),"")</f>
        <v/>
      </c>
      <c r="V93" s="65" t="str">
        <f>IFERROR(VLOOKUP(TableHandbook[[#This Row],[UDC]],TableMJRUKORES[],7,FALSE),"")</f>
        <v/>
      </c>
      <c r="W93" s="65" t="str">
        <f>IFERROR(VLOOKUP(TableHandbook[[#This Row],[UDC]],TableMJRULITCU[],7,FALSE),"")</f>
        <v/>
      </c>
      <c r="X93" s="65" t="str">
        <f>IFERROR(VLOOKUP(TableHandbook[[#This Row],[UDC]],TableMJRUNETCM[],7,FALSE),"")</f>
        <v/>
      </c>
      <c r="Y93" s="65" t="str">
        <f>IFERROR(VLOOKUP(TableHandbook[[#This Row],[UDC]],TableMJRUPRWRP[],7,FALSE),"")</f>
        <v/>
      </c>
      <c r="Z93" s="66" t="str">
        <f>IFERROR(VLOOKUP(TableHandbook[[#This Row],[UDC]],TableMJRUSCSTR[],7,FALSE),"")</f>
        <v/>
      </c>
      <c r="AA93" s="74"/>
      <c r="AB93" s="66" t="str">
        <f>IFERROR(VLOOKUP(TableHandbook[[#This Row],[UDC]],TableMJRUBSLAW[],7,FALSE),"")</f>
        <v/>
      </c>
      <c r="AC93" s="66" t="str">
        <f>IFERROR(VLOOKUP(TableHandbook[[#This Row],[UDC]],TableMJRUECONS[],7,FALSE),"")</f>
        <v/>
      </c>
      <c r="AD93" s="66" t="str">
        <f>IFERROR(VLOOKUP(TableHandbook[[#This Row],[UDC]],TableMJRUFINAR[],7,FALSE),"")</f>
        <v/>
      </c>
      <c r="AE93" s="66" t="str">
        <f>IFERROR(VLOOKUP(TableHandbook[[#This Row],[UDC]],TableMJRUFINCE[],7,FALSE),"")</f>
        <v/>
      </c>
      <c r="AF93" s="66" t="str">
        <f>IFERROR(VLOOKUP(TableHandbook[[#This Row],[UDC]],TableMJRUHRMGM[],7,FALSE),"")</f>
        <v/>
      </c>
      <c r="AG93" s="66" t="str">
        <f>IFERROR(VLOOKUP(TableHandbook[[#This Row],[UDC]],TableMJRUINTBU[],7,FALSE),"")</f>
        <v/>
      </c>
      <c r="AH93" s="66" t="str">
        <f>IFERROR(VLOOKUP(TableHandbook[[#This Row],[UDC]],TableMJRULGSCM[],7,FALSE),"")</f>
        <v/>
      </c>
      <c r="AI93" s="66" t="str">
        <f>IFERROR(VLOOKUP(TableHandbook[[#This Row],[UDC]],TableMJRUMNGMT[],7,FALSE),"")</f>
        <v/>
      </c>
      <c r="AJ93" s="66" t="str">
        <f>IFERROR(VLOOKUP(TableHandbook[[#This Row],[UDC]],TableMJRUMRKTG[],7,FALSE),"")</f>
        <v/>
      </c>
      <c r="AK93" s="66" t="str">
        <f>IFERROR(VLOOKUP(TableHandbook[[#This Row],[UDC]],TableMJRUPRPTY[],7,FALSE),"")</f>
        <v/>
      </c>
      <c r="AL93" s="66" t="str">
        <f>IFERROR(VLOOKUP(TableHandbook[[#This Row],[UDC]],TableMJRUSCRAR[],7,FALSE),"")</f>
        <v/>
      </c>
      <c r="AM93" s="66" t="str">
        <f>IFERROR(VLOOKUP(TableHandbook[[#This Row],[UDC]],TableMJRUTHTRA[],7,FALSE),"")</f>
        <v/>
      </c>
      <c r="AN93" s="66" t="str">
        <f>IFERROR(VLOOKUP(TableHandbook[[#This Row],[UDC]],TableMJRUTRHOS[],7,FALSE),"")</f>
        <v/>
      </c>
    </row>
    <row r="94" spans="1:40" x14ac:dyDescent="0.25">
      <c r="A94" s="8" t="s">
        <v>254</v>
      </c>
      <c r="B94" s="9">
        <v>3</v>
      </c>
      <c r="C94" s="8"/>
      <c r="D94" s="8" t="s">
        <v>613</v>
      </c>
      <c r="E94" s="9">
        <v>25</v>
      </c>
      <c r="F94" s="49" t="s">
        <v>526</v>
      </c>
      <c r="G94" s="67" t="str">
        <f>IFERROR(IF(VLOOKUP(TableHandbook[[#This Row],[UDC]],TableAvailabilities[],2,FALSE)&gt;0,"Y",""),"")</f>
        <v>Y</v>
      </c>
      <c r="H94" s="68" t="str">
        <f>IFERROR(IF(VLOOKUP(TableHandbook[[#This Row],[UDC]],TableAvailabilities[],3,FALSE)&gt;0,"Y",""),"")</f>
        <v>Y</v>
      </c>
      <c r="I94" s="69" t="str">
        <f>IFERROR(IF(VLOOKUP(TableHandbook[[#This Row],[UDC]],TableAvailabilities[],4,FALSE)&gt;0,"Y",""),"")</f>
        <v/>
      </c>
      <c r="J94" s="70" t="str">
        <f>IFERROR(IF(VLOOKUP(TableHandbook[[#This Row],[UDC]],TableAvailabilities[],5,FALSE)&gt;0,"Y",""),"")</f>
        <v/>
      </c>
      <c r="K94" s="163"/>
      <c r="L94" s="64" t="str">
        <f>IFERROR(VLOOKUP(TableHandbook[[#This Row],[UDC]],TableBARTS[],7,FALSE),"")</f>
        <v/>
      </c>
      <c r="M94" s="65" t="str">
        <f>IFERROR(VLOOKUP(TableHandbook[[#This Row],[UDC]],TableMJRUANTSO[],7,FALSE),"")</f>
        <v/>
      </c>
      <c r="N94" s="65" t="str">
        <f>IFERROR(VLOOKUP(TableHandbook[[#This Row],[UDC]],TableMJRUCHNSE[],7,FALSE),"")</f>
        <v/>
      </c>
      <c r="O94" s="65" t="str">
        <f>IFERROR(VLOOKUP(TableHandbook[[#This Row],[UDC]],TableMJRUCRWRI[],7,FALSE),"")</f>
        <v/>
      </c>
      <c r="P94" s="65" t="str">
        <f>IFERROR(VLOOKUP(TableHandbook[[#This Row],[UDC]],TableMJRUGEOGR[],7,FALSE),"")</f>
        <v/>
      </c>
      <c r="Q94" s="65" t="str">
        <f>IFERROR(VLOOKUP(TableHandbook[[#This Row],[UDC]],TableMJRUHISTR[],7,FALSE),"")</f>
        <v>Core</v>
      </c>
      <c r="R94" s="65" t="str">
        <f>IFERROR(VLOOKUP(TableHandbook[[#This Row],[UDC]],TableMJRUINAUC[],7,FALSE),"")</f>
        <v/>
      </c>
      <c r="S94" s="65" t="str">
        <f>IFERROR(VLOOKUP(TableHandbook[[#This Row],[UDC]],TableMJRUINTRL[],7,FALSE),"")</f>
        <v/>
      </c>
      <c r="T94" s="65" t="str">
        <f>IFERROR(VLOOKUP(TableHandbook[[#This Row],[UDC]],TableMJRUJAPAN[],7,FALSE),"")</f>
        <v/>
      </c>
      <c r="U94" s="65" t="str">
        <f>IFERROR(VLOOKUP(TableHandbook[[#This Row],[UDC]],TableMJRUJOURN[],7,FALSE),"")</f>
        <v/>
      </c>
      <c r="V94" s="65" t="str">
        <f>IFERROR(VLOOKUP(TableHandbook[[#This Row],[UDC]],TableMJRUKORES[],7,FALSE),"")</f>
        <v/>
      </c>
      <c r="W94" s="65" t="str">
        <f>IFERROR(VLOOKUP(TableHandbook[[#This Row],[UDC]],TableMJRULITCU[],7,FALSE),"")</f>
        <v/>
      </c>
      <c r="X94" s="65" t="str">
        <f>IFERROR(VLOOKUP(TableHandbook[[#This Row],[UDC]],TableMJRUNETCM[],7,FALSE),"")</f>
        <v/>
      </c>
      <c r="Y94" s="65" t="str">
        <f>IFERROR(VLOOKUP(TableHandbook[[#This Row],[UDC]],TableMJRUPRWRP[],7,FALSE),"")</f>
        <v/>
      </c>
      <c r="Z94" s="66" t="str">
        <f>IFERROR(VLOOKUP(TableHandbook[[#This Row],[UDC]],TableMJRUSCSTR[],7,FALSE),"")</f>
        <v/>
      </c>
      <c r="AA94" s="74"/>
      <c r="AB94" s="66" t="str">
        <f>IFERROR(VLOOKUP(TableHandbook[[#This Row],[UDC]],TableMJRUBSLAW[],7,FALSE),"")</f>
        <v/>
      </c>
      <c r="AC94" s="66" t="str">
        <f>IFERROR(VLOOKUP(TableHandbook[[#This Row],[UDC]],TableMJRUECONS[],7,FALSE),"")</f>
        <v/>
      </c>
      <c r="AD94" s="66" t="str">
        <f>IFERROR(VLOOKUP(TableHandbook[[#This Row],[UDC]],TableMJRUFINAR[],7,FALSE),"")</f>
        <v/>
      </c>
      <c r="AE94" s="66" t="str">
        <f>IFERROR(VLOOKUP(TableHandbook[[#This Row],[UDC]],TableMJRUFINCE[],7,FALSE),"")</f>
        <v/>
      </c>
      <c r="AF94" s="66" t="str">
        <f>IFERROR(VLOOKUP(TableHandbook[[#This Row],[UDC]],TableMJRUHRMGM[],7,FALSE),"")</f>
        <v/>
      </c>
      <c r="AG94" s="66" t="str">
        <f>IFERROR(VLOOKUP(TableHandbook[[#This Row],[UDC]],TableMJRUINTBU[],7,FALSE),"")</f>
        <v/>
      </c>
      <c r="AH94" s="66" t="str">
        <f>IFERROR(VLOOKUP(TableHandbook[[#This Row],[UDC]],TableMJRULGSCM[],7,FALSE),"")</f>
        <v/>
      </c>
      <c r="AI94" s="66" t="str">
        <f>IFERROR(VLOOKUP(TableHandbook[[#This Row],[UDC]],TableMJRUMNGMT[],7,FALSE),"")</f>
        <v/>
      </c>
      <c r="AJ94" s="66" t="str">
        <f>IFERROR(VLOOKUP(TableHandbook[[#This Row],[UDC]],TableMJRUMRKTG[],7,FALSE),"")</f>
        <v/>
      </c>
      <c r="AK94" s="66" t="str">
        <f>IFERROR(VLOOKUP(TableHandbook[[#This Row],[UDC]],TableMJRUPRPTY[],7,FALSE),"")</f>
        <v/>
      </c>
      <c r="AL94" s="66" t="str">
        <f>IFERROR(VLOOKUP(TableHandbook[[#This Row],[UDC]],TableMJRUSCRAR[],7,FALSE),"")</f>
        <v/>
      </c>
      <c r="AM94" s="66" t="str">
        <f>IFERROR(VLOOKUP(TableHandbook[[#This Row],[UDC]],TableMJRUTHTRA[],7,FALSE),"")</f>
        <v/>
      </c>
      <c r="AN94" s="66" t="str">
        <f>IFERROR(VLOOKUP(TableHandbook[[#This Row],[UDC]],TableMJRUTRHOS[],7,FALSE),"")</f>
        <v/>
      </c>
    </row>
    <row r="95" spans="1:40" x14ac:dyDescent="0.25">
      <c r="A95" s="8" t="s">
        <v>255</v>
      </c>
      <c r="B95" s="9">
        <v>3</v>
      </c>
      <c r="C95" s="8"/>
      <c r="D95" s="8" t="s">
        <v>614</v>
      </c>
      <c r="E95" s="9">
        <v>25</v>
      </c>
      <c r="F95" s="49" t="s">
        <v>526</v>
      </c>
      <c r="G95" s="67" t="str">
        <f>IFERROR(IF(VLOOKUP(TableHandbook[[#This Row],[UDC]],TableAvailabilities[],2,FALSE)&gt;0,"Y",""),"")</f>
        <v/>
      </c>
      <c r="H95" s="68" t="str">
        <f>IFERROR(IF(VLOOKUP(TableHandbook[[#This Row],[UDC]],TableAvailabilities[],3,FALSE)&gt;0,"Y",""),"")</f>
        <v/>
      </c>
      <c r="I95" s="69" t="str">
        <f>IFERROR(IF(VLOOKUP(TableHandbook[[#This Row],[UDC]],TableAvailabilities[],4,FALSE)&gt;0,"Y",""),"")</f>
        <v>Y</v>
      </c>
      <c r="J95" s="70" t="str">
        <f>IFERROR(IF(VLOOKUP(TableHandbook[[#This Row],[UDC]],TableAvailabilities[],5,FALSE)&gt;0,"Y",""),"")</f>
        <v>Y</v>
      </c>
      <c r="K95" s="163"/>
      <c r="L95" s="64" t="str">
        <f>IFERROR(VLOOKUP(TableHandbook[[#This Row],[UDC]],TableBARTS[],7,FALSE),"")</f>
        <v/>
      </c>
      <c r="M95" s="65" t="str">
        <f>IFERROR(VLOOKUP(TableHandbook[[#This Row],[UDC]],TableMJRUANTSO[],7,FALSE),"")</f>
        <v/>
      </c>
      <c r="N95" s="65" t="str">
        <f>IFERROR(VLOOKUP(TableHandbook[[#This Row],[UDC]],TableMJRUCHNSE[],7,FALSE),"")</f>
        <v/>
      </c>
      <c r="O95" s="65" t="str">
        <f>IFERROR(VLOOKUP(TableHandbook[[#This Row],[UDC]],TableMJRUCRWRI[],7,FALSE),"")</f>
        <v/>
      </c>
      <c r="P95" s="65" t="str">
        <f>IFERROR(VLOOKUP(TableHandbook[[#This Row],[UDC]],TableMJRUGEOGR[],7,FALSE),"")</f>
        <v/>
      </c>
      <c r="Q95" s="65" t="str">
        <f>IFERROR(VLOOKUP(TableHandbook[[#This Row],[UDC]],TableMJRUHISTR[],7,FALSE),"")</f>
        <v>Core</v>
      </c>
      <c r="R95" s="65" t="str">
        <f>IFERROR(VLOOKUP(TableHandbook[[#This Row],[UDC]],TableMJRUINAUC[],7,FALSE),"")</f>
        <v/>
      </c>
      <c r="S95" s="65" t="str">
        <f>IFERROR(VLOOKUP(TableHandbook[[#This Row],[UDC]],TableMJRUINTRL[],7,FALSE),"")</f>
        <v/>
      </c>
      <c r="T95" s="65" t="str">
        <f>IFERROR(VLOOKUP(TableHandbook[[#This Row],[UDC]],TableMJRUJAPAN[],7,FALSE),"")</f>
        <v/>
      </c>
      <c r="U95" s="65" t="str">
        <f>IFERROR(VLOOKUP(TableHandbook[[#This Row],[UDC]],TableMJRUJOURN[],7,FALSE),"")</f>
        <v/>
      </c>
      <c r="V95" s="65" t="str">
        <f>IFERROR(VLOOKUP(TableHandbook[[#This Row],[UDC]],TableMJRUKORES[],7,FALSE),"")</f>
        <v/>
      </c>
      <c r="W95" s="65" t="str">
        <f>IFERROR(VLOOKUP(TableHandbook[[#This Row],[UDC]],TableMJRULITCU[],7,FALSE),"")</f>
        <v/>
      </c>
      <c r="X95" s="65" t="str">
        <f>IFERROR(VLOOKUP(TableHandbook[[#This Row],[UDC]],TableMJRUNETCM[],7,FALSE),"")</f>
        <v/>
      </c>
      <c r="Y95" s="65" t="str">
        <f>IFERROR(VLOOKUP(TableHandbook[[#This Row],[UDC]],TableMJRUPRWRP[],7,FALSE),"")</f>
        <v/>
      </c>
      <c r="Z95" s="66" t="str">
        <f>IFERROR(VLOOKUP(TableHandbook[[#This Row],[UDC]],TableMJRUSCSTR[],7,FALSE),"")</f>
        <v/>
      </c>
      <c r="AA95" s="74"/>
      <c r="AB95" s="66" t="str">
        <f>IFERROR(VLOOKUP(TableHandbook[[#This Row],[UDC]],TableMJRUBSLAW[],7,FALSE),"")</f>
        <v/>
      </c>
      <c r="AC95" s="66" t="str">
        <f>IFERROR(VLOOKUP(TableHandbook[[#This Row],[UDC]],TableMJRUECONS[],7,FALSE),"")</f>
        <v/>
      </c>
      <c r="AD95" s="66" t="str">
        <f>IFERROR(VLOOKUP(TableHandbook[[#This Row],[UDC]],TableMJRUFINAR[],7,FALSE),"")</f>
        <v/>
      </c>
      <c r="AE95" s="66" t="str">
        <f>IFERROR(VLOOKUP(TableHandbook[[#This Row],[UDC]],TableMJRUFINCE[],7,FALSE),"")</f>
        <v/>
      </c>
      <c r="AF95" s="66" t="str">
        <f>IFERROR(VLOOKUP(TableHandbook[[#This Row],[UDC]],TableMJRUHRMGM[],7,FALSE),"")</f>
        <v/>
      </c>
      <c r="AG95" s="66" t="str">
        <f>IFERROR(VLOOKUP(TableHandbook[[#This Row],[UDC]],TableMJRUINTBU[],7,FALSE),"")</f>
        <v/>
      </c>
      <c r="AH95" s="66" t="str">
        <f>IFERROR(VLOOKUP(TableHandbook[[#This Row],[UDC]],TableMJRULGSCM[],7,FALSE),"")</f>
        <v/>
      </c>
      <c r="AI95" s="66" t="str">
        <f>IFERROR(VLOOKUP(TableHandbook[[#This Row],[UDC]],TableMJRUMNGMT[],7,FALSE),"")</f>
        <v/>
      </c>
      <c r="AJ95" s="66" t="str">
        <f>IFERROR(VLOOKUP(TableHandbook[[#This Row],[UDC]],TableMJRUMRKTG[],7,FALSE),"")</f>
        <v/>
      </c>
      <c r="AK95" s="66" t="str">
        <f>IFERROR(VLOOKUP(TableHandbook[[#This Row],[UDC]],TableMJRUPRPTY[],7,FALSE),"")</f>
        <v/>
      </c>
      <c r="AL95" s="66" t="str">
        <f>IFERROR(VLOOKUP(TableHandbook[[#This Row],[UDC]],TableMJRUSCRAR[],7,FALSE),"")</f>
        <v/>
      </c>
      <c r="AM95" s="66" t="str">
        <f>IFERROR(VLOOKUP(TableHandbook[[#This Row],[UDC]],TableMJRUTHTRA[],7,FALSE),"")</f>
        <v/>
      </c>
      <c r="AN95" s="66" t="str">
        <f>IFERROR(VLOOKUP(TableHandbook[[#This Row],[UDC]],TableMJRUTRHOS[],7,FALSE),"")</f>
        <v/>
      </c>
    </row>
    <row r="96" spans="1:40" x14ac:dyDescent="0.25">
      <c r="A96" s="8" t="s">
        <v>280</v>
      </c>
      <c r="B96" s="9">
        <v>2</v>
      </c>
      <c r="C96" s="8"/>
      <c r="D96" s="8" t="s">
        <v>615</v>
      </c>
      <c r="E96" s="9">
        <v>25</v>
      </c>
      <c r="F96" s="49" t="s">
        <v>526</v>
      </c>
      <c r="G96" s="67" t="str">
        <f>IFERROR(IF(VLOOKUP(TableHandbook[[#This Row],[UDC]],TableAvailabilities[],2,FALSE)&gt;0,"Y",""),"")</f>
        <v/>
      </c>
      <c r="H96" s="68" t="str">
        <f>IFERROR(IF(VLOOKUP(TableHandbook[[#This Row],[UDC]],TableAvailabilities[],3,FALSE)&gt;0,"Y",""),"")</f>
        <v/>
      </c>
      <c r="I96" s="69" t="str">
        <f>IFERROR(IF(VLOOKUP(TableHandbook[[#This Row],[UDC]],TableAvailabilities[],4,FALSE)&gt;0,"Y",""),"")</f>
        <v>Y</v>
      </c>
      <c r="J96" s="70" t="str">
        <f>IFERROR(IF(VLOOKUP(TableHandbook[[#This Row],[UDC]],TableAvailabilities[],5,FALSE)&gt;0,"Y",""),"")</f>
        <v>Y</v>
      </c>
      <c r="K96" s="163"/>
      <c r="L96" s="64" t="str">
        <f>IFERROR(VLOOKUP(TableHandbook[[#This Row],[UDC]],TableBARTS[],7,FALSE),"")</f>
        <v/>
      </c>
      <c r="M96" s="65" t="str">
        <f>IFERROR(VLOOKUP(TableHandbook[[#This Row],[UDC]],TableMJRUANTSO[],7,FALSE),"")</f>
        <v/>
      </c>
      <c r="N96" s="65" t="str">
        <f>IFERROR(VLOOKUP(TableHandbook[[#This Row],[UDC]],TableMJRUCHNSE[],7,FALSE),"")</f>
        <v/>
      </c>
      <c r="O96" s="65" t="str">
        <f>IFERROR(VLOOKUP(TableHandbook[[#This Row],[UDC]],TableMJRUCRWRI[],7,FALSE),"")</f>
        <v/>
      </c>
      <c r="P96" s="65" t="str">
        <f>IFERROR(VLOOKUP(TableHandbook[[#This Row],[UDC]],TableMJRUGEOGR[],7,FALSE),"")</f>
        <v/>
      </c>
      <c r="Q96" s="65" t="str">
        <f>IFERROR(VLOOKUP(TableHandbook[[#This Row],[UDC]],TableMJRUHISTR[],7,FALSE),"")</f>
        <v>Core</v>
      </c>
      <c r="R96" s="65" t="str">
        <f>IFERROR(VLOOKUP(TableHandbook[[#This Row],[UDC]],TableMJRUINAUC[],7,FALSE),"")</f>
        <v/>
      </c>
      <c r="S96" s="65" t="str">
        <f>IFERROR(VLOOKUP(TableHandbook[[#This Row],[UDC]],TableMJRUINTRL[],7,FALSE),"")</f>
        <v/>
      </c>
      <c r="T96" s="65" t="str">
        <f>IFERROR(VLOOKUP(TableHandbook[[#This Row],[UDC]],TableMJRUJAPAN[],7,FALSE),"")</f>
        <v/>
      </c>
      <c r="U96" s="65" t="str">
        <f>IFERROR(VLOOKUP(TableHandbook[[#This Row],[UDC]],TableMJRUJOURN[],7,FALSE),"")</f>
        <v/>
      </c>
      <c r="V96" s="65" t="str">
        <f>IFERROR(VLOOKUP(TableHandbook[[#This Row],[UDC]],TableMJRUKORES[],7,FALSE),"")</f>
        <v/>
      </c>
      <c r="W96" s="65" t="str">
        <f>IFERROR(VLOOKUP(TableHandbook[[#This Row],[UDC]],TableMJRULITCU[],7,FALSE),"")</f>
        <v/>
      </c>
      <c r="X96" s="65" t="str">
        <f>IFERROR(VLOOKUP(TableHandbook[[#This Row],[UDC]],TableMJRUNETCM[],7,FALSE),"")</f>
        <v/>
      </c>
      <c r="Y96" s="65" t="str">
        <f>IFERROR(VLOOKUP(TableHandbook[[#This Row],[UDC]],TableMJRUPRWRP[],7,FALSE),"")</f>
        <v/>
      </c>
      <c r="Z96" s="66" t="str">
        <f>IFERROR(VLOOKUP(TableHandbook[[#This Row],[UDC]],TableMJRUSCSTR[],7,FALSE),"")</f>
        <v/>
      </c>
      <c r="AA96" s="74"/>
      <c r="AB96" s="66" t="str">
        <f>IFERROR(VLOOKUP(TableHandbook[[#This Row],[UDC]],TableMJRUBSLAW[],7,FALSE),"")</f>
        <v/>
      </c>
      <c r="AC96" s="66" t="str">
        <f>IFERROR(VLOOKUP(TableHandbook[[#This Row],[UDC]],TableMJRUECONS[],7,FALSE),"")</f>
        <v/>
      </c>
      <c r="AD96" s="66" t="str">
        <f>IFERROR(VLOOKUP(TableHandbook[[#This Row],[UDC]],TableMJRUFINAR[],7,FALSE),"")</f>
        <v/>
      </c>
      <c r="AE96" s="66" t="str">
        <f>IFERROR(VLOOKUP(TableHandbook[[#This Row],[UDC]],TableMJRUFINCE[],7,FALSE),"")</f>
        <v/>
      </c>
      <c r="AF96" s="66" t="str">
        <f>IFERROR(VLOOKUP(TableHandbook[[#This Row],[UDC]],TableMJRUHRMGM[],7,FALSE),"")</f>
        <v/>
      </c>
      <c r="AG96" s="66" t="str">
        <f>IFERROR(VLOOKUP(TableHandbook[[#This Row],[UDC]],TableMJRUINTBU[],7,FALSE),"")</f>
        <v/>
      </c>
      <c r="AH96" s="66" t="str">
        <f>IFERROR(VLOOKUP(TableHandbook[[#This Row],[UDC]],TableMJRULGSCM[],7,FALSE),"")</f>
        <v/>
      </c>
      <c r="AI96" s="66" t="str">
        <f>IFERROR(VLOOKUP(TableHandbook[[#This Row],[UDC]],TableMJRUMNGMT[],7,FALSE),"")</f>
        <v/>
      </c>
      <c r="AJ96" s="66" t="str">
        <f>IFERROR(VLOOKUP(TableHandbook[[#This Row],[UDC]],TableMJRUMRKTG[],7,FALSE),"")</f>
        <v/>
      </c>
      <c r="AK96" s="66" t="str">
        <f>IFERROR(VLOOKUP(TableHandbook[[#This Row],[UDC]],TableMJRUPRPTY[],7,FALSE),"")</f>
        <v/>
      </c>
      <c r="AL96" s="66" t="str">
        <f>IFERROR(VLOOKUP(TableHandbook[[#This Row],[UDC]],TableMJRUSCRAR[],7,FALSE),"")</f>
        <v/>
      </c>
      <c r="AM96" s="66" t="str">
        <f>IFERROR(VLOOKUP(TableHandbook[[#This Row],[UDC]],TableMJRUTHTRA[],7,FALSE),"")</f>
        <v/>
      </c>
      <c r="AN96" s="66" t="str">
        <f>IFERROR(VLOOKUP(TableHandbook[[#This Row],[UDC]],TableMJRUTRHOS[],7,FALSE),"")</f>
        <v/>
      </c>
    </row>
    <row r="97" spans="1:40" x14ac:dyDescent="0.25">
      <c r="A97" s="8" t="s">
        <v>279</v>
      </c>
      <c r="B97" s="9">
        <v>1</v>
      </c>
      <c r="C97" s="8"/>
      <c r="D97" s="8" t="s">
        <v>616</v>
      </c>
      <c r="E97" s="9">
        <v>25</v>
      </c>
      <c r="F97" s="49" t="s">
        <v>526</v>
      </c>
      <c r="G97" s="67" t="str">
        <f>IFERROR(IF(VLOOKUP(TableHandbook[[#This Row],[UDC]],TableAvailabilities[],2,FALSE)&gt;0,"Y",""),"")</f>
        <v>Y</v>
      </c>
      <c r="H97" s="68" t="str">
        <f>IFERROR(IF(VLOOKUP(TableHandbook[[#This Row],[UDC]],TableAvailabilities[],3,FALSE)&gt;0,"Y",""),"")</f>
        <v>Y</v>
      </c>
      <c r="I97" s="69" t="str">
        <f>IFERROR(IF(VLOOKUP(TableHandbook[[#This Row],[UDC]],TableAvailabilities[],4,FALSE)&gt;0,"Y",""),"")</f>
        <v/>
      </c>
      <c r="J97" s="70" t="str">
        <f>IFERROR(IF(VLOOKUP(TableHandbook[[#This Row],[UDC]],TableAvailabilities[],5,FALSE)&gt;0,"Y",""),"")</f>
        <v/>
      </c>
      <c r="K97" s="163"/>
      <c r="L97" s="64" t="str">
        <f>IFERROR(VLOOKUP(TableHandbook[[#This Row],[UDC]],TableBARTS[],7,FALSE),"")</f>
        <v/>
      </c>
      <c r="M97" s="65" t="str">
        <f>IFERROR(VLOOKUP(TableHandbook[[#This Row],[UDC]],TableMJRUANTSO[],7,FALSE),"")</f>
        <v/>
      </c>
      <c r="N97" s="65" t="str">
        <f>IFERROR(VLOOKUP(TableHandbook[[#This Row],[UDC]],TableMJRUCHNSE[],7,FALSE),"")</f>
        <v/>
      </c>
      <c r="O97" s="65" t="str">
        <f>IFERROR(VLOOKUP(TableHandbook[[#This Row],[UDC]],TableMJRUCRWRI[],7,FALSE),"")</f>
        <v/>
      </c>
      <c r="P97" s="65" t="str">
        <f>IFERROR(VLOOKUP(TableHandbook[[#This Row],[UDC]],TableMJRUGEOGR[],7,FALSE),"")</f>
        <v/>
      </c>
      <c r="Q97" s="65" t="str">
        <f>IFERROR(VLOOKUP(TableHandbook[[#This Row],[UDC]],TableMJRUHISTR[],7,FALSE),"")</f>
        <v>Core</v>
      </c>
      <c r="R97" s="65" t="str">
        <f>IFERROR(VLOOKUP(TableHandbook[[#This Row],[UDC]],TableMJRUINAUC[],7,FALSE),"")</f>
        <v/>
      </c>
      <c r="S97" s="65" t="str">
        <f>IFERROR(VLOOKUP(TableHandbook[[#This Row],[UDC]],TableMJRUINTRL[],7,FALSE),"")</f>
        <v/>
      </c>
      <c r="T97" s="65" t="str">
        <f>IFERROR(VLOOKUP(TableHandbook[[#This Row],[UDC]],TableMJRUJAPAN[],7,FALSE),"")</f>
        <v/>
      </c>
      <c r="U97" s="65" t="str">
        <f>IFERROR(VLOOKUP(TableHandbook[[#This Row],[UDC]],TableMJRUJOURN[],7,FALSE),"")</f>
        <v/>
      </c>
      <c r="V97" s="65" t="str">
        <f>IFERROR(VLOOKUP(TableHandbook[[#This Row],[UDC]],TableMJRUKORES[],7,FALSE),"")</f>
        <v/>
      </c>
      <c r="W97" s="65" t="str">
        <f>IFERROR(VLOOKUP(TableHandbook[[#This Row],[UDC]],TableMJRULITCU[],7,FALSE),"")</f>
        <v/>
      </c>
      <c r="X97" s="65" t="str">
        <f>IFERROR(VLOOKUP(TableHandbook[[#This Row],[UDC]],TableMJRUNETCM[],7,FALSE),"")</f>
        <v/>
      </c>
      <c r="Y97" s="65" t="str">
        <f>IFERROR(VLOOKUP(TableHandbook[[#This Row],[UDC]],TableMJRUPRWRP[],7,FALSE),"")</f>
        <v/>
      </c>
      <c r="Z97" s="66" t="str">
        <f>IFERROR(VLOOKUP(TableHandbook[[#This Row],[UDC]],TableMJRUSCSTR[],7,FALSE),"")</f>
        <v/>
      </c>
      <c r="AA97" s="74"/>
      <c r="AB97" s="66" t="str">
        <f>IFERROR(VLOOKUP(TableHandbook[[#This Row],[UDC]],TableMJRUBSLAW[],7,FALSE),"")</f>
        <v/>
      </c>
      <c r="AC97" s="66" t="str">
        <f>IFERROR(VLOOKUP(TableHandbook[[#This Row],[UDC]],TableMJRUECONS[],7,FALSE),"")</f>
        <v/>
      </c>
      <c r="AD97" s="66" t="str">
        <f>IFERROR(VLOOKUP(TableHandbook[[#This Row],[UDC]],TableMJRUFINAR[],7,FALSE),"")</f>
        <v/>
      </c>
      <c r="AE97" s="66" t="str">
        <f>IFERROR(VLOOKUP(TableHandbook[[#This Row],[UDC]],TableMJRUFINCE[],7,FALSE),"")</f>
        <v/>
      </c>
      <c r="AF97" s="66" t="str">
        <f>IFERROR(VLOOKUP(TableHandbook[[#This Row],[UDC]],TableMJRUHRMGM[],7,FALSE),"")</f>
        <v/>
      </c>
      <c r="AG97" s="66" t="str">
        <f>IFERROR(VLOOKUP(TableHandbook[[#This Row],[UDC]],TableMJRUINTBU[],7,FALSE),"")</f>
        <v/>
      </c>
      <c r="AH97" s="66" t="str">
        <f>IFERROR(VLOOKUP(TableHandbook[[#This Row],[UDC]],TableMJRULGSCM[],7,FALSE),"")</f>
        <v/>
      </c>
      <c r="AI97" s="66" t="str">
        <f>IFERROR(VLOOKUP(TableHandbook[[#This Row],[UDC]],TableMJRUMNGMT[],7,FALSE),"")</f>
        <v/>
      </c>
      <c r="AJ97" s="66" t="str">
        <f>IFERROR(VLOOKUP(TableHandbook[[#This Row],[UDC]],TableMJRUMRKTG[],7,FALSE),"")</f>
        <v/>
      </c>
      <c r="AK97" s="66" t="str">
        <f>IFERROR(VLOOKUP(TableHandbook[[#This Row],[UDC]],TableMJRUPRPTY[],7,FALSE),"")</f>
        <v/>
      </c>
      <c r="AL97" s="66" t="str">
        <f>IFERROR(VLOOKUP(TableHandbook[[#This Row],[UDC]],TableMJRUSCRAR[],7,FALSE),"")</f>
        <v/>
      </c>
      <c r="AM97" s="66" t="str">
        <f>IFERROR(VLOOKUP(TableHandbook[[#This Row],[UDC]],TableMJRUTHTRA[],7,FALSE),"")</f>
        <v/>
      </c>
      <c r="AN97" s="66" t="str">
        <f>IFERROR(VLOOKUP(TableHandbook[[#This Row],[UDC]],TableMJRUTRHOS[],7,FALSE),"")</f>
        <v/>
      </c>
    </row>
    <row r="98" spans="1:40" x14ac:dyDescent="0.25">
      <c r="A98" s="8" t="s">
        <v>384</v>
      </c>
      <c r="B98" s="9">
        <v>1</v>
      </c>
      <c r="C98" s="8"/>
      <c r="D98" s="8" t="s">
        <v>617</v>
      </c>
      <c r="E98" s="9">
        <v>25</v>
      </c>
      <c r="F98" s="49" t="s">
        <v>526</v>
      </c>
      <c r="G98" s="67" t="str">
        <f>IFERROR(IF(VLOOKUP(TableHandbook[[#This Row],[UDC]],TableAvailabilities[],2,FALSE)&gt;0,"Y",""),"")</f>
        <v>Y</v>
      </c>
      <c r="H98" s="68" t="str">
        <f>IFERROR(IF(VLOOKUP(TableHandbook[[#This Row],[UDC]],TableAvailabilities[],3,FALSE)&gt;0,"Y",""),"")</f>
        <v>Y</v>
      </c>
      <c r="I98" s="69" t="str">
        <f>IFERROR(IF(VLOOKUP(TableHandbook[[#This Row],[UDC]],TableAvailabilities[],4,FALSE)&gt;0,"Y",""),"")</f>
        <v>Y</v>
      </c>
      <c r="J98" s="70" t="str">
        <f>IFERROR(IF(VLOOKUP(TableHandbook[[#This Row],[UDC]],TableAvailabilities[],5,FALSE)&gt;0,"Y",""),"")</f>
        <v>Y</v>
      </c>
      <c r="K98" s="163"/>
      <c r="L98" s="64" t="str">
        <f>IFERROR(VLOOKUP(TableHandbook[[#This Row],[UDC]],TableBARTS[],7,FALSE),"")</f>
        <v/>
      </c>
      <c r="M98" s="65" t="str">
        <f>IFERROR(VLOOKUP(TableHandbook[[#This Row],[UDC]],TableMJRUANTSO[],7,FALSE),"")</f>
        <v/>
      </c>
      <c r="N98" s="65" t="str">
        <f>IFERROR(VLOOKUP(TableHandbook[[#This Row],[UDC]],TableMJRUCHNSE[],7,FALSE),"")</f>
        <v/>
      </c>
      <c r="O98" s="65" t="str">
        <f>IFERROR(VLOOKUP(TableHandbook[[#This Row],[UDC]],TableMJRUCRWRI[],7,FALSE),"")</f>
        <v/>
      </c>
      <c r="P98" s="65" t="str">
        <f>IFERROR(VLOOKUP(TableHandbook[[#This Row],[UDC]],TableMJRUGEOGR[],7,FALSE),"")</f>
        <v/>
      </c>
      <c r="Q98" s="65" t="str">
        <f>IFERROR(VLOOKUP(TableHandbook[[#This Row],[UDC]],TableMJRUHISTR[],7,FALSE),"")</f>
        <v/>
      </c>
      <c r="R98" s="65" t="str">
        <f>IFERROR(VLOOKUP(TableHandbook[[#This Row],[UDC]],TableMJRUINAUC[],7,FALSE),"")</f>
        <v/>
      </c>
      <c r="S98" s="65" t="str">
        <f>IFERROR(VLOOKUP(TableHandbook[[#This Row],[UDC]],TableMJRUINTRL[],7,FALSE),"")</f>
        <v/>
      </c>
      <c r="T98" s="65" t="str">
        <f>IFERROR(VLOOKUP(TableHandbook[[#This Row],[UDC]],TableMJRUJAPAN[],7,FALSE),"")</f>
        <v/>
      </c>
      <c r="U98" s="65" t="str">
        <f>IFERROR(VLOOKUP(TableHandbook[[#This Row],[UDC]],TableMJRUJOURN[],7,FALSE),"")</f>
        <v/>
      </c>
      <c r="V98" s="65" t="str">
        <f>IFERROR(VLOOKUP(TableHandbook[[#This Row],[UDC]],TableMJRUKORES[],7,FALSE),"")</f>
        <v/>
      </c>
      <c r="W98" s="65" t="str">
        <f>IFERROR(VLOOKUP(TableHandbook[[#This Row],[UDC]],TableMJRULITCU[],7,FALSE),"")</f>
        <v/>
      </c>
      <c r="X98" s="65" t="str">
        <f>IFERROR(VLOOKUP(TableHandbook[[#This Row],[UDC]],TableMJRUNETCM[],7,FALSE),"")</f>
        <v/>
      </c>
      <c r="Y98" s="65" t="str">
        <f>IFERROR(VLOOKUP(TableHandbook[[#This Row],[UDC]],TableMJRUPRWRP[],7,FALSE),"")</f>
        <v/>
      </c>
      <c r="Z98" s="66" t="str">
        <f>IFERROR(VLOOKUP(TableHandbook[[#This Row],[UDC]],TableMJRUSCSTR[],7,FALSE),"")</f>
        <v/>
      </c>
      <c r="AA98" s="74"/>
      <c r="AB98" s="66" t="str">
        <f>IFERROR(VLOOKUP(TableHandbook[[#This Row],[UDC]],TableMJRUBSLAW[],7,FALSE),"")</f>
        <v/>
      </c>
      <c r="AC98" s="66" t="str">
        <f>IFERROR(VLOOKUP(TableHandbook[[#This Row],[UDC]],TableMJRUECONS[],7,FALSE),"")</f>
        <v/>
      </c>
      <c r="AD98" s="66" t="str">
        <f>IFERROR(VLOOKUP(TableHandbook[[#This Row],[UDC]],TableMJRUFINAR[],7,FALSE),"")</f>
        <v/>
      </c>
      <c r="AE98" s="66" t="str">
        <f>IFERROR(VLOOKUP(TableHandbook[[#This Row],[UDC]],TableMJRUFINCE[],7,FALSE),"")</f>
        <v/>
      </c>
      <c r="AF98" s="66" t="str">
        <f>IFERROR(VLOOKUP(TableHandbook[[#This Row],[UDC]],TableMJRUHRMGM[],7,FALSE),"")</f>
        <v/>
      </c>
      <c r="AG98" s="66" t="str">
        <f>IFERROR(VLOOKUP(TableHandbook[[#This Row],[UDC]],TableMJRUINTBU[],7,FALSE),"")</f>
        <v>Core</v>
      </c>
      <c r="AH98" s="66" t="str">
        <f>IFERROR(VLOOKUP(TableHandbook[[#This Row],[UDC]],TableMJRULGSCM[],7,FALSE),"")</f>
        <v/>
      </c>
      <c r="AI98" s="66" t="str">
        <f>IFERROR(VLOOKUP(TableHandbook[[#This Row],[UDC]],TableMJRUMNGMT[],7,FALSE),"")</f>
        <v/>
      </c>
      <c r="AJ98" s="66" t="str">
        <f>IFERROR(VLOOKUP(TableHandbook[[#This Row],[UDC]],TableMJRUMRKTG[],7,FALSE),"")</f>
        <v/>
      </c>
      <c r="AK98" s="66" t="str">
        <f>IFERROR(VLOOKUP(TableHandbook[[#This Row],[UDC]],TableMJRUPRPTY[],7,FALSE),"")</f>
        <v/>
      </c>
      <c r="AL98" s="66" t="str">
        <f>IFERROR(VLOOKUP(TableHandbook[[#This Row],[UDC]],TableMJRUSCRAR[],7,FALSE),"")</f>
        <v/>
      </c>
      <c r="AM98" s="66" t="str">
        <f>IFERROR(VLOOKUP(TableHandbook[[#This Row],[UDC]],TableMJRUTHTRA[],7,FALSE),"")</f>
        <v/>
      </c>
      <c r="AN98" s="66" t="str">
        <f>IFERROR(VLOOKUP(TableHandbook[[#This Row],[UDC]],TableMJRUTRHOS[],7,FALSE),"")</f>
        <v/>
      </c>
    </row>
    <row r="99" spans="1:40" x14ac:dyDescent="0.25">
      <c r="A99" s="8" t="s">
        <v>421</v>
      </c>
      <c r="B99" s="9">
        <v>1</v>
      </c>
      <c r="C99" s="8"/>
      <c r="D99" s="8" t="s">
        <v>618</v>
      </c>
      <c r="E99" s="9">
        <v>25</v>
      </c>
      <c r="F99" s="49" t="s">
        <v>384</v>
      </c>
      <c r="G99" s="67" t="str">
        <f>IFERROR(IF(VLOOKUP(TableHandbook[[#This Row],[UDC]],TableAvailabilities[],2,FALSE)&gt;0,"Y",""),"")</f>
        <v/>
      </c>
      <c r="H99" s="68" t="str">
        <f>IFERROR(IF(VLOOKUP(TableHandbook[[#This Row],[UDC]],TableAvailabilities[],3,FALSE)&gt;0,"Y",""),"")</f>
        <v/>
      </c>
      <c r="I99" s="69" t="str">
        <f>IFERROR(IF(VLOOKUP(TableHandbook[[#This Row],[UDC]],TableAvailabilities[],4,FALSE)&gt;0,"Y",""),"")</f>
        <v>Y</v>
      </c>
      <c r="J99" s="70" t="str">
        <f>IFERROR(IF(VLOOKUP(TableHandbook[[#This Row],[UDC]],TableAvailabilities[],5,FALSE)&gt;0,"Y",""),"")</f>
        <v/>
      </c>
      <c r="K99" s="163"/>
      <c r="L99" s="64" t="str">
        <f>IFERROR(VLOOKUP(TableHandbook[[#This Row],[UDC]],TableBARTS[],7,FALSE),"")</f>
        <v/>
      </c>
      <c r="M99" s="65" t="str">
        <f>IFERROR(VLOOKUP(TableHandbook[[#This Row],[UDC]],TableMJRUANTSO[],7,FALSE),"")</f>
        <v/>
      </c>
      <c r="N99" s="65" t="str">
        <f>IFERROR(VLOOKUP(TableHandbook[[#This Row],[UDC]],TableMJRUCHNSE[],7,FALSE),"")</f>
        <v/>
      </c>
      <c r="O99" s="65" t="str">
        <f>IFERROR(VLOOKUP(TableHandbook[[#This Row],[UDC]],TableMJRUCRWRI[],7,FALSE),"")</f>
        <v/>
      </c>
      <c r="P99" s="65" t="str">
        <f>IFERROR(VLOOKUP(TableHandbook[[#This Row],[UDC]],TableMJRUGEOGR[],7,FALSE),"")</f>
        <v/>
      </c>
      <c r="Q99" s="65" t="str">
        <f>IFERROR(VLOOKUP(TableHandbook[[#This Row],[UDC]],TableMJRUHISTR[],7,FALSE),"")</f>
        <v/>
      </c>
      <c r="R99" s="65" t="str">
        <f>IFERROR(VLOOKUP(TableHandbook[[#This Row],[UDC]],TableMJRUINAUC[],7,FALSE),"")</f>
        <v/>
      </c>
      <c r="S99" s="65" t="str">
        <f>IFERROR(VLOOKUP(TableHandbook[[#This Row],[UDC]],TableMJRUINTRL[],7,FALSE),"")</f>
        <v/>
      </c>
      <c r="T99" s="65" t="str">
        <f>IFERROR(VLOOKUP(TableHandbook[[#This Row],[UDC]],TableMJRUJAPAN[],7,FALSE),"")</f>
        <v/>
      </c>
      <c r="U99" s="65" t="str">
        <f>IFERROR(VLOOKUP(TableHandbook[[#This Row],[UDC]],TableMJRUJOURN[],7,FALSE),"")</f>
        <v/>
      </c>
      <c r="V99" s="65" t="str">
        <f>IFERROR(VLOOKUP(TableHandbook[[#This Row],[UDC]],TableMJRUKORES[],7,FALSE),"")</f>
        <v/>
      </c>
      <c r="W99" s="65" t="str">
        <f>IFERROR(VLOOKUP(TableHandbook[[#This Row],[UDC]],TableMJRULITCU[],7,FALSE),"")</f>
        <v/>
      </c>
      <c r="X99" s="65" t="str">
        <f>IFERROR(VLOOKUP(TableHandbook[[#This Row],[UDC]],TableMJRUNETCM[],7,FALSE),"")</f>
        <v/>
      </c>
      <c r="Y99" s="65" t="str">
        <f>IFERROR(VLOOKUP(TableHandbook[[#This Row],[UDC]],TableMJRUPRWRP[],7,FALSE),"")</f>
        <v/>
      </c>
      <c r="Z99" s="66" t="str">
        <f>IFERROR(VLOOKUP(TableHandbook[[#This Row],[UDC]],TableMJRUSCSTR[],7,FALSE),"")</f>
        <v/>
      </c>
      <c r="AA99" s="74"/>
      <c r="AB99" s="66" t="str">
        <f>IFERROR(VLOOKUP(TableHandbook[[#This Row],[UDC]],TableMJRUBSLAW[],7,FALSE),"")</f>
        <v/>
      </c>
      <c r="AC99" s="66" t="str">
        <f>IFERROR(VLOOKUP(TableHandbook[[#This Row],[UDC]],TableMJRUECONS[],7,FALSE),"")</f>
        <v/>
      </c>
      <c r="AD99" s="66" t="str">
        <f>IFERROR(VLOOKUP(TableHandbook[[#This Row],[UDC]],TableMJRUFINAR[],7,FALSE),"")</f>
        <v/>
      </c>
      <c r="AE99" s="66" t="str">
        <f>IFERROR(VLOOKUP(TableHandbook[[#This Row],[UDC]],TableMJRUFINCE[],7,FALSE),"")</f>
        <v/>
      </c>
      <c r="AF99" s="66" t="str">
        <f>IFERROR(VLOOKUP(TableHandbook[[#This Row],[UDC]],TableMJRUHRMGM[],7,FALSE),"")</f>
        <v/>
      </c>
      <c r="AG99" s="66" t="str">
        <f>IFERROR(VLOOKUP(TableHandbook[[#This Row],[UDC]],TableMJRUINTBU[],7,FALSE),"")</f>
        <v>Core</v>
      </c>
      <c r="AH99" s="66" t="str">
        <f>IFERROR(VLOOKUP(TableHandbook[[#This Row],[UDC]],TableMJRULGSCM[],7,FALSE),"")</f>
        <v/>
      </c>
      <c r="AI99" s="66" t="str">
        <f>IFERROR(VLOOKUP(TableHandbook[[#This Row],[UDC]],TableMJRUMNGMT[],7,FALSE),"")</f>
        <v/>
      </c>
      <c r="AJ99" s="66" t="str">
        <f>IFERROR(VLOOKUP(TableHandbook[[#This Row],[UDC]],TableMJRUMRKTG[],7,FALSE),"")</f>
        <v/>
      </c>
      <c r="AK99" s="66" t="str">
        <f>IFERROR(VLOOKUP(TableHandbook[[#This Row],[UDC]],TableMJRUPRPTY[],7,FALSE),"")</f>
        <v/>
      </c>
      <c r="AL99" s="66" t="str">
        <f>IFERROR(VLOOKUP(TableHandbook[[#This Row],[UDC]],TableMJRUSCRAR[],7,FALSE),"")</f>
        <v/>
      </c>
      <c r="AM99" s="66" t="str">
        <f>IFERROR(VLOOKUP(TableHandbook[[#This Row],[UDC]],TableMJRUTHTRA[],7,FALSE),"")</f>
        <v/>
      </c>
      <c r="AN99" s="66" t="str">
        <f>IFERROR(VLOOKUP(TableHandbook[[#This Row],[UDC]],TableMJRUTRHOS[],7,FALSE),"")</f>
        <v/>
      </c>
    </row>
    <row r="100" spans="1:40" x14ac:dyDescent="0.25">
      <c r="A100" s="8" t="s">
        <v>203</v>
      </c>
      <c r="B100" s="9">
        <v>1</v>
      </c>
      <c r="C100" s="8"/>
      <c r="D100" s="8" t="s">
        <v>619</v>
      </c>
      <c r="E100" s="9">
        <v>25</v>
      </c>
      <c r="F100" s="49" t="s">
        <v>526</v>
      </c>
      <c r="G100" s="67" t="str">
        <f>IFERROR(IF(VLOOKUP(TableHandbook[[#This Row],[UDC]],TableAvailabilities[],2,FALSE)&gt;0,"Y",""),"")</f>
        <v>Y</v>
      </c>
      <c r="H100" s="68" t="str">
        <f>IFERROR(IF(VLOOKUP(TableHandbook[[#This Row],[UDC]],TableAvailabilities[],3,FALSE)&gt;0,"Y",""),"")</f>
        <v/>
      </c>
      <c r="I100" s="69" t="str">
        <f>IFERROR(IF(VLOOKUP(TableHandbook[[#This Row],[UDC]],TableAvailabilities[],4,FALSE)&gt;0,"Y",""),"")</f>
        <v>Y</v>
      </c>
      <c r="J100" s="70" t="str">
        <f>IFERROR(IF(VLOOKUP(TableHandbook[[#This Row],[UDC]],TableAvailabilities[],5,FALSE)&gt;0,"Y",""),"")</f>
        <v>Y</v>
      </c>
      <c r="K100" s="163"/>
      <c r="L100" s="64" t="str">
        <f>IFERROR(VLOOKUP(TableHandbook[[#This Row],[UDC]],TableBARTS[],7,FALSE),"")</f>
        <v/>
      </c>
      <c r="M100" s="65" t="str">
        <f>IFERROR(VLOOKUP(TableHandbook[[#This Row],[UDC]],TableMJRUANTSO[],7,FALSE),"")</f>
        <v/>
      </c>
      <c r="N100" s="65" t="str">
        <f>IFERROR(VLOOKUP(TableHandbook[[#This Row],[UDC]],TableMJRUCHNSE[],7,FALSE),"")</f>
        <v/>
      </c>
      <c r="O100" s="65" t="str">
        <f>IFERROR(VLOOKUP(TableHandbook[[#This Row],[UDC]],TableMJRUCRWRI[],7,FALSE),"")</f>
        <v/>
      </c>
      <c r="P100" s="65" t="str">
        <f>IFERROR(VLOOKUP(TableHandbook[[#This Row],[UDC]],TableMJRUGEOGR[],7,FALSE),"")</f>
        <v/>
      </c>
      <c r="Q100" s="65" t="str">
        <f>IFERROR(VLOOKUP(TableHandbook[[#This Row],[UDC]],TableMJRUHISTR[],7,FALSE),"")</f>
        <v/>
      </c>
      <c r="R100" s="65" t="str">
        <f>IFERROR(VLOOKUP(TableHandbook[[#This Row],[UDC]],TableMJRUINAUC[],7,FALSE),"")</f>
        <v>Core</v>
      </c>
      <c r="S100" s="65" t="str">
        <f>IFERROR(VLOOKUP(TableHandbook[[#This Row],[UDC]],TableMJRUINTRL[],7,FALSE),"")</f>
        <v/>
      </c>
      <c r="T100" s="65" t="str">
        <f>IFERROR(VLOOKUP(TableHandbook[[#This Row],[UDC]],TableMJRUJAPAN[],7,FALSE),"")</f>
        <v/>
      </c>
      <c r="U100" s="65" t="str">
        <f>IFERROR(VLOOKUP(TableHandbook[[#This Row],[UDC]],TableMJRUJOURN[],7,FALSE),"")</f>
        <v/>
      </c>
      <c r="V100" s="65" t="str">
        <f>IFERROR(VLOOKUP(TableHandbook[[#This Row],[UDC]],TableMJRUKORES[],7,FALSE),"")</f>
        <v/>
      </c>
      <c r="W100" s="65" t="str">
        <f>IFERROR(VLOOKUP(TableHandbook[[#This Row],[UDC]],TableMJRULITCU[],7,FALSE),"")</f>
        <v/>
      </c>
      <c r="X100" s="65" t="str">
        <f>IFERROR(VLOOKUP(TableHandbook[[#This Row],[UDC]],TableMJRUNETCM[],7,FALSE),"")</f>
        <v/>
      </c>
      <c r="Y100" s="65" t="str">
        <f>IFERROR(VLOOKUP(TableHandbook[[#This Row],[UDC]],TableMJRUPRWRP[],7,FALSE),"")</f>
        <v/>
      </c>
      <c r="Z100" s="66" t="str">
        <f>IFERROR(VLOOKUP(TableHandbook[[#This Row],[UDC]],TableMJRUSCSTR[],7,FALSE),"")</f>
        <v/>
      </c>
      <c r="AA100" s="74"/>
      <c r="AB100" s="66" t="str">
        <f>IFERROR(VLOOKUP(TableHandbook[[#This Row],[UDC]],TableMJRUBSLAW[],7,FALSE),"")</f>
        <v/>
      </c>
      <c r="AC100" s="66" t="str">
        <f>IFERROR(VLOOKUP(TableHandbook[[#This Row],[UDC]],TableMJRUECONS[],7,FALSE),"")</f>
        <v/>
      </c>
      <c r="AD100" s="66" t="str">
        <f>IFERROR(VLOOKUP(TableHandbook[[#This Row],[UDC]],TableMJRUFINAR[],7,FALSE),"")</f>
        <v/>
      </c>
      <c r="AE100" s="66" t="str">
        <f>IFERROR(VLOOKUP(TableHandbook[[#This Row],[UDC]],TableMJRUFINCE[],7,FALSE),"")</f>
        <v/>
      </c>
      <c r="AF100" s="66" t="str">
        <f>IFERROR(VLOOKUP(TableHandbook[[#This Row],[UDC]],TableMJRUHRMGM[],7,FALSE),"")</f>
        <v/>
      </c>
      <c r="AG100" s="66" t="str">
        <f>IFERROR(VLOOKUP(TableHandbook[[#This Row],[UDC]],TableMJRUINTBU[],7,FALSE),"")</f>
        <v/>
      </c>
      <c r="AH100" s="66" t="str">
        <f>IFERROR(VLOOKUP(TableHandbook[[#This Row],[UDC]],TableMJRULGSCM[],7,FALSE),"")</f>
        <v/>
      </c>
      <c r="AI100" s="66" t="str">
        <f>IFERROR(VLOOKUP(TableHandbook[[#This Row],[UDC]],TableMJRUMNGMT[],7,FALSE),"")</f>
        <v/>
      </c>
      <c r="AJ100" s="66" t="str">
        <f>IFERROR(VLOOKUP(TableHandbook[[#This Row],[UDC]],TableMJRUMRKTG[],7,FALSE),"")</f>
        <v/>
      </c>
      <c r="AK100" s="66" t="str">
        <f>IFERROR(VLOOKUP(TableHandbook[[#This Row],[UDC]],TableMJRUPRPTY[],7,FALSE),"")</f>
        <v/>
      </c>
      <c r="AL100" s="66" t="str">
        <f>IFERROR(VLOOKUP(TableHandbook[[#This Row],[UDC]],TableMJRUSCRAR[],7,FALSE),"")</f>
        <v/>
      </c>
      <c r="AM100" s="66" t="str">
        <f>IFERROR(VLOOKUP(TableHandbook[[#This Row],[UDC]],TableMJRUTHTRA[],7,FALSE),"")</f>
        <v/>
      </c>
      <c r="AN100" s="66" t="str">
        <f>IFERROR(VLOOKUP(TableHandbook[[#This Row],[UDC]],TableMJRUTRHOS[],7,FALSE),"")</f>
        <v/>
      </c>
    </row>
    <row r="101" spans="1:40" x14ac:dyDescent="0.25">
      <c r="A101" s="8" t="s">
        <v>243</v>
      </c>
      <c r="B101" s="9">
        <v>1</v>
      </c>
      <c r="C101" s="8"/>
      <c r="D101" s="8" t="s">
        <v>620</v>
      </c>
      <c r="E101" s="9">
        <v>25</v>
      </c>
      <c r="F101" s="49" t="s">
        <v>526</v>
      </c>
      <c r="G101" s="67" t="str">
        <f>IFERROR(IF(VLOOKUP(TableHandbook[[#This Row],[UDC]],TableAvailabilities[],2,FALSE)&gt;0,"Y",""),"")</f>
        <v>Y</v>
      </c>
      <c r="H101" s="68" t="str">
        <f>IFERROR(IF(VLOOKUP(TableHandbook[[#This Row],[UDC]],TableAvailabilities[],3,FALSE)&gt;0,"Y",""),"")</f>
        <v/>
      </c>
      <c r="I101" s="69" t="str">
        <f>IFERROR(IF(VLOOKUP(TableHandbook[[#This Row],[UDC]],TableAvailabilities[],4,FALSE)&gt;0,"Y",""),"")</f>
        <v>Y</v>
      </c>
      <c r="J101" s="70" t="str">
        <f>IFERROR(IF(VLOOKUP(TableHandbook[[#This Row],[UDC]],TableAvailabilities[],5,FALSE)&gt;0,"Y",""),"")</f>
        <v/>
      </c>
      <c r="K101" s="163"/>
      <c r="L101" s="64" t="str">
        <f>IFERROR(VLOOKUP(TableHandbook[[#This Row],[UDC]],TableBARTS[],7,FALSE),"")</f>
        <v/>
      </c>
      <c r="M101" s="65" t="str">
        <f>IFERROR(VLOOKUP(TableHandbook[[#This Row],[UDC]],TableMJRUANTSO[],7,FALSE),"")</f>
        <v/>
      </c>
      <c r="N101" s="65" t="str">
        <f>IFERROR(VLOOKUP(TableHandbook[[#This Row],[UDC]],TableMJRUCHNSE[],7,FALSE),"")</f>
        <v/>
      </c>
      <c r="O101" s="65" t="str">
        <f>IFERROR(VLOOKUP(TableHandbook[[#This Row],[UDC]],TableMJRUCRWRI[],7,FALSE),"")</f>
        <v/>
      </c>
      <c r="P101" s="65" t="str">
        <f>IFERROR(VLOOKUP(TableHandbook[[#This Row],[UDC]],TableMJRUGEOGR[],7,FALSE),"")</f>
        <v/>
      </c>
      <c r="Q101" s="65" t="str">
        <f>IFERROR(VLOOKUP(TableHandbook[[#This Row],[UDC]],TableMJRUHISTR[],7,FALSE),"")</f>
        <v/>
      </c>
      <c r="R101" s="65" t="str">
        <f>IFERROR(VLOOKUP(TableHandbook[[#This Row],[UDC]],TableMJRUINAUC[],7,FALSE),"")</f>
        <v>Core</v>
      </c>
      <c r="S101" s="65" t="str">
        <f>IFERROR(VLOOKUP(TableHandbook[[#This Row],[UDC]],TableMJRUINTRL[],7,FALSE),"")</f>
        <v/>
      </c>
      <c r="T101" s="65" t="str">
        <f>IFERROR(VLOOKUP(TableHandbook[[#This Row],[UDC]],TableMJRUJAPAN[],7,FALSE),"")</f>
        <v/>
      </c>
      <c r="U101" s="65" t="str">
        <f>IFERROR(VLOOKUP(TableHandbook[[#This Row],[UDC]],TableMJRUJOURN[],7,FALSE),"")</f>
        <v/>
      </c>
      <c r="V101" s="65" t="str">
        <f>IFERROR(VLOOKUP(TableHandbook[[#This Row],[UDC]],TableMJRUKORES[],7,FALSE),"")</f>
        <v/>
      </c>
      <c r="W101" s="65" t="str">
        <f>IFERROR(VLOOKUP(TableHandbook[[#This Row],[UDC]],TableMJRULITCU[],7,FALSE),"")</f>
        <v/>
      </c>
      <c r="X101" s="65" t="str">
        <f>IFERROR(VLOOKUP(TableHandbook[[#This Row],[UDC]],TableMJRUNETCM[],7,FALSE),"")</f>
        <v/>
      </c>
      <c r="Y101" s="65" t="str">
        <f>IFERROR(VLOOKUP(TableHandbook[[#This Row],[UDC]],TableMJRUPRWRP[],7,FALSE),"")</f>
        <v/>
      </c>
      <c r="Z101" s="66" t="str">
        <f>IFERROR(VLOOKUP(TableHandbook[[#This Row],[UDC]],TableMJRUSCSTR[],7,FALSE),"")</f>
        <v/>
      </c>
      <c r="AA101" s="74"/>
      <c r="AB101" s="66" t="str">
        <f>IFERROR(VLOOKUP(TableHandbook[[#This Row],[UDC]],TableMJRUBSLAW[],7,FALSE),"")</f>
        <v/>
      </c>
      <c r="AC101" s="66" t="str">
        <f>IFERROR(VLOOKUP(TableHandbook[[#This Row],[UDC]],TableMJRUECONS[],7,FALSE),"")</f>
        <v/>
      </c>
      <c r="AD101" s="66" t="str">
        <f>IFERROR(VLOOKUP(TableHandbook[[#This Row],[UDC]],TableMJRUFINAR[],7,FALSE),"")</f>
        <v/>
      </c>
      <c r="AE101" s="66" t="str">
        <f>IFERROR(VLOOKUP(TableHandbook[[#This Row],[UDC]],TableMJRUFINCE[],7,FALSE),"")</f>
        <v/>
      </c>
      <c r="AF101" s="66" t="str">
        <f>IFERROR(VLOOKUP(TableHandbook[[#This Row],[UDC]],TableMJRUHRMGM[],7,FALSE),"")</f>
        <v/>
      </c>
      <c r="AG101" s="66" t="str">
        <f>IFERROR(VLOOKUP(TableHandbook[[#This Row],[UDC]],TableMJRUINTBU[],7,FALSE),"")</f>
        <v/>
      </c>
      <c r="AH101" s="66" t="str">
        <f>IFERROR(VLOOKUP(TableHandbook[[#This Row],[UDC]],TableMJRULGSCM[],7,FALSE),"")</f>
        <v/>
      </c>
      <c r="AI101" s="66" t="str">
        <f>IFERROR(VLOOKUP(TableHandbook[[#This Row],[UDC]],TableMJRUMNGMT[],7,FALSE),"")</f>
        <v/>
      </c>
      <c r="AJ101" s="66" t="str">
        <f>IFERROR(VLOOKUP(TableHandbook[[#This Row],[UDC]],TableMJRUMRKTG[],7,FALSE),"")</f>
        <v/>
      </c>
      <c r="AK101" s="66" t="str">
        <f>IFERROR(VLOOKUP(TableHandbook[[#This Row],[UDC]],TableMJRUPRPTY[],7,FALSE),"")</f>
        <v/>
      </c>
      <c r="AL101" s="66" t="str">
        <f>IFERROR(VLOOKUP(TableHandbook[[#This Row],[UDC]],TableMJRUSCRAR[],7,FALSE),"")</f>
        <v/>
      </c>
      <c r="AM101" s="66" t="str">
        <f>IFERROR(VLOOKUP(TableHandbook[[#This Row],[UDC]],TableMJRUTHTRA[],7,FALSE),"")</f>
        <v/>
      </c>
      <c r="AN101" s="66" t="str">
        <f>IFERROR(VLOOKUP(TableHandbook[[#This Row],[UDC]],TableMJRUTRHOS[],7,FALSE),"")</f>
        <v/>
      </c>
    </row>
    <row r="102" spans="1:40" x14ac:dyDescent="0.25">
      <c r="A102" s="8" t="s">
        <v>228</v>
      </c>
      <c r="B102" s="9">
        <v>1</v>
      </c>
      <c r="C102" s="8"/>
      <c r="D102" s="8" t="s">
        <v>621</v>
      </c>
      <c r="E102" s="9">
        <v>25</v>
      </c>
      <c r="F102" s="49" t="s">
        <v>526</v>
      </c>
      <c r="G102" s="67" t="str">
        <f>IFERROR(IF(VLOOKUP(TableHandbook[[#This Row],[UDC]],TableAvailabilities[],2,FALSE)&gt;0,"Y",""),"")</f>
        <v/>
      </c>
      <c r="H102" s="68" t="str">
        <f>IFERROR(IF(VLOOKUP(TableHandbook[[#This Row],[UDC]],TableAvailabilities[],3,FALSE)&gt;0,"Y",""),"")</f>
        <v/>
      </c>
      <c r="I102" s="69" t="str">
        <f>IFERROR(IF(VLOOKUP(TableHandbook[[#This Row],[UDC]],TableAvailabilities[],4,FALSE)&gt;0,"Y",""),"")</f>
        <v>Y</v>
      </c>
      <c r="J102" s="70" t="str">
        <f>IFERROR(IF(VLOOKUP(TableHandbook[[#This Row],[UDC]],TableAvailabilities[],5,FALSE)&gt;0,"Y",""),"")</f>
        <v>Y</v>
      </c>
      <c r="K102" s="163"/>
      <c r="L102" s="64" t="str">
        <f>IFERROR(VLOOKUP(TableHandbook[[#This Row],[UDC]],TableBARTS[],7,FALSE),"")</f>
        <v/>
      </c>
      <c r="M102" s="65" t="str">
        <f>IFERROR(VLOOKUP(TableHandbook[[#This Row],[UDC]],TableMJRUANTSO[],7,FALSE),"")</f>
        <v/>
      </c>
      <c r="N102" s="65" t="str">
        <f>IFERROR(VLOOKUP(TableHandbook[[#This Row],[UDC]],TableMJRUCHNSE[],7,FALSE),"")</f>
        <v/>
      </c>
      <c r="O102" s="65" t="str">
        <f>IFERROR(VLOOKUP(TableHandbook[[#This Row],[UDC]],TableMJRUCRWRI[],7,FALSE),"")</f>
        <v/>
      </c>
      <c r="P102" s="65" t="str">
        <f>IFERROR(VLOOKUP(TableHandbook[[#This Row],[UDC]],TableMJRUGEOGR[],7,FALSE),"")</f>
        <v/>
      </c>
      <c r="Q102" s="65" t="str">
        <f>IFERROR(VLOOKUP(TableHandbook[[#This Row],[UDC]],TableMJRUHISTR[],7,FALSE),"")</f>
        <v/>
      </c>
      <c r="R102" s="65" t="str">
        <f>IFERROR(VLOOKUP(TableHandbook[[#This Row],[UDC]],TableMJRUINAUC[],7,FALSE),"")</f>
        <v>Core</v>
      </c>
      <c r="S102" s="65" t="str">
        <f>IFERROR(VLOOKUP(TableHandbook[[#This Row],[UDC]],TableMJRUINTRL[],7,FALSE),"")</f>
        <v/>
      </c>
      <c r="T102" s="65" t="str">
        <f>IFERROR(VLOOKUP(TableHandbook[[#This Row],[UDC]],TableMJRUJAPAN[],7,FALSE),"")</f>
        <v/>
      </c>
      <c r="U102" s="65" t="str">
        <f>IFERROR(VLOOKUP(TableHandbook[[#This Row],[UDC]],TableMJRUJOURN[],7,FALSE),"")</f>
        <v/>
      </c>
      <c r="V102" s="65" t="str">
        <f>IFERROR(VLOOKUP(TableHandbook[[#This Row],[UDC]],TableMJRUKORES[],7,FALSE),"")</f>
        <v/>
      </c>
      <c r="W102" s="65" t="str">
        <f>IFERROR(VLOOKUP(TableHandbook[[#This Row],[UDC]],TableMJRULITCU[],7,FALSE),"")</f>
        <v/>
      </c>
      <c r="X102" s="65" t="str">
        <f>IFERROR(VLOOKUP(TableHandbook[[#This Row],[UDC]],TableMJRUNETCM[],7,FALSE),"")</f>
        <v/>
      </c>
      <c r="Y102" s="65" t="str">
        <f>IFERROR(VLOOKUP(TableHandbook[[#This Row],[UDC]],TableMJRUPRWRP[],7,FALSE),"")</f>
        <v/>
      </c>
      <c r="Z102" s="66" t="str">
        <f>IFERROR(VLOOKUP(TableHandbook[[#This Row],[UDC]],TableMJRUSCSTR[],7,FALSE),"")</f>
        <v/>
      </c>
      <c r="AA102" s="74"/>
      <c r="AB102" s="66" t="str">
        <f>IFERROR(VLOOKUP(TableHandbook[[#This Row],[UDC]],TableMJRUBSLAW[],7,FALSE),"")</f>
        <v/>
      </c>
      <c r="AC102" s="66" t="str">
        <f>IFERROR(VLOOKUP(TableHandbook[[#This Row],[UDC]],TableMJRUECONS[],7,FALSE),"")</f>
        <v/>
      </c>
      <c r="AD102" s="66" t="str">
        <f>IFERROR(VLOOKUP(TableHandbook[[#This Row],[UDC]],TableMJRUFINAR[],7,FALSE),"")</f>
        <v/>
      </c>
      <c r="AE102" s="66" t="str">
        <f>IFERROR(VLOOKUP(TableHandbook[[#This Row],[UDC]],TableMJRUFINCE[],7,FALSE),"")</f>
        <v/>
      </c>
      <c r="AF102" s="66" t="str">
        <f>IFERROR(VLOOKUP(TableHandbook[[#This Row],[UDC]],TableMJRUHRMGM[],7,FALSE),"")</f>
        <v/>
      </c>
      <c r="AG102" s="66" t="str">
        <f>IFERROR(VLOOKUP(TableHandbook[[#This Row],[UDC]],TableMJRUINTBU[],7,FALSE),"")</f>
        <v/>
      </c>
      <c r="AH102" s="66" t="str">
        <f>IFERROR(VLOOKUP(TableHandbook[[#This Row],[UDC]],TableMJRULGSCM[],7,FALSE),"")</f>
        <v/>
      </c>
      <c r="AI102" s="66" t="str">
        <f>IFERROR(VLOOKUP(TableHandbook[[#This Row],[UDC]],TableMJRUMNGMT[],7,FALSE),"")</f>
        <v/>
      </c>
      <c r="AJ102" s="66" t="str">
        <f>IFERROR(VLOOKUP(TableHandbook[[#This Row],[UDC]],TableMJRUMRKTG[],7,FALSE),"")</f>
        <v/>
      </c>
      <c r="AK102" s="66" t="str">
        <f>IFERROR(VLOOKUP(TableHandbook[[#This Row],[UDC]],TableMJRUPRPTY[],7,FALSE),"")</f>
        <v/>
      </c>
      <c r="AL102" s="66" t="str">
        <f>IFERROR(VLOOKUP(TableHandbook[[#This Row],[UDC]],TableMJRUSCRAR[],7,FALSE),"")</f>
        <v/>
      </c>
      <c r="AM102" s="66" t="str">
        <f>IFERROR(VLOOKUP(TableHandbook[[#This Row],[UDC]],TableMJRUTHTRA[],7,FALSE),"")</f>
        <v/>
      </c>
      <c r="AN102" s="66" t="str">
        <f>IFERROR(VLOOKUP(TableHandbook[[#This Row],[UDC]],TableMJRUTRHOS[],7,FALSE),"")</f>
        <v/>
      </c>
    </row>
    <row r="103" spans="1:40" x14ac:dyDescent="0.25">
      <c r="A103" s="8" t="s">
        <v>281</v>
      </c>
      <c r="B103" s="9">
        <v>1</v>
      </c>
      <c r="C103" s="8"/>
      <c r="D103" s="8" t="s">
        <v>622</v>
      </c>
      <c r="E103" s="9">
        <v>25</v>
      </c>
      <c r="F103" s="49" t="s">
        <v>526</v>
      </c>
      <c r="G103" s="67" t="str">
        <f>IFERROR(IF(VLOOKUP(TableHandbook[[#This Row],[UDC]],TableAvailabilities[],2,FALSE)&gt;0,"Y",""),"")</f>
        <v/>
      </c>
      <c r="H103" s="68" t="str">
        <f>IFERROR(IF(VLOOKUP(TableHandbook[[#This Row],[UDC]],TableAvailabilities[],3,FALSE)&gt;0,"Y",""),"")</f>
        <v/>
      </c>
      <c r="I103" s="69" t="str">
        <f>IFERROR(IF(VLOOKUP(TableHandbook[[#This Row],[UDC]],TableAvailabilities[],4,FALSE)&gt;0,"Y",""),"")</f>
        <v/>
      </c>
      <c r="J103" s="70" t="str">
        <f>IFERROR(IF(VLOOKUP(TableHandbook[[#This Row],[UDC]],TableAvailabilities[],5,FALSE)&gt;0,"Y",""),"")</f>
        <v/>
      </c>
      <c r="K103" s="165" t="s">
        <v>623</v>
      </c>
      <c r="L103" s="64" t="str">
        <f>IFERROR(VLOOKUP(TableHandbook[[#This Row],[UDC]],TableBARTS[],7,FALSE),"")</f>
        <v/>
      </c>
      <c r="M103" s="65" t="str">
        <f>IFERROR(VLOOKUP(TableHandbook[[#This Row],[UDC]],TableMJRUANTSO[],7,FALSE),"")</f>
        <v/>
      </c>
      <c r="N103" s="65" t="str">
        <f>IFERROR(VLOOKUP(TableHandbook[[#This Row],[UDC]],TableMJRUCHNSE[],7,FALSE),"")</f>
        <v/>
      </c>
      <c r="O103" s="65" t="str">
        <f>IFERROR(VLOOKUP(TableHandbook[[#This Row],[UDC]],TableMJRUCRWRI[],7,FALSE),"")</f>
        <v/>
      </c>
      <c r="P103" s="65" t="str">
        <f>IFERROR(VLOOKUP(TableHandbook[[#This Row],[UDC]],TableMJRUGEOGR[],7,FALSE),"")</f>
        <v/>
      </c>
      <c r="Q103" s="65" t="str">
        <f>IFERROR(VLOOKUP(TableHandbook[[#This Row],[UDC]],TableMJRUHISTR[],7,FALSE),"")</f>
        <v/>
      </c>
      <c r="R103" s="65" t="str">
        <f>IFERROR(VLOOKUP(TableHandbook[[#This Row],[UDC]],TableMJRUINAUC[],7,FALSE),"")</f>
        <v>Core</v>
      </c>
      <c r="S103" s="65" t="str">
        <f>IFERROR(VLOOKUP(TableHandbook[[#This Row],[UDC]],TableMJRUINTRL[],7,FALSE),"")</f>
        <v/>
      </c>
      <c r="T103" s="65" t="str">
        <f>IFERROR(VLOOKUP(TableHandbook[[#This Row],[UDC]],TableMJRUJAPAN[],7,FALSE),"")</f>
        <v/>
      </c>
      <c r="U103" s="65" t="str">
        <f>IFERROR(VLOOKUP(TableHandbook[[#This Row],[UDC]],TableMJRUJOURN[],7,FALSE),"")</f>
        <v/>
      </c>
      <c r="V103" s="65" t="str">
        <f>IFERROR(VLOOKUP(TableHandbook[[#This Row],[UDC]],TableMJRUKORES[],7,FALSE),"")</f>
        <v/>
      </c>
      <c r="W103" s="65" t="str">
        <f>IFERROR(VLOOKUP(TableHandbook[[#This Row],[UDC]],TableMJRULITCU[],7,FALSE),"")</f>
        <v/>
      </c>
      <c r="X103" s="65" t="str">
        <f>IFERROR(VLOOKUP(TableHandbook[[#This Row],[UDC]],TableMJRUNETCM[],7,FALSE),"")</f>
        <v/>
      </c>
      <c r="Y103" s="65" t="str">
        <f>IFERROR(VLOOKUP(TableHandbook[[#This Row],[UDC]],TableMJRUPRWRP[],7,FALSE),"")</f>
        <v/>
      </c>
      <c r="Z103" s="66" t="str">
        <f>IFERROR(VLOOKUP(TableHandbook[[#This Row],[UDC]],TableMJRUSCSTR[],7,FALSE),"")</f>
        <v/>
      </c>
      <c r="AA103" s="74"/>
      <c r="AB103" s="66" t="str">
        <f>IFERROR(VLOOKUP(TableHandbook[[#This Row],[UDC]],TableMJRUBSLAW[],7,FALSE),"")</f>
        <v/>
      </c>
      <c r="AC103" s="66" t="str">
        <f>IFERROR(VLOOKUP(TableHandbook[[#This Row],[UDC]],TableMJRUECONS[],7,FALSE),"")</f>
        <v/>
      </c>
      <c r="AD103" s="66" t="str">
        <f>IFERROR(VLOOKUP(TableHandbook[[#This Row],[UDC]],TableMJRUFINAR[],7,FALSE),"")</f>
        <v/>
      </c>
      <c r="AE103" s="66" t="str">
        <f>IFERROR(VLOOKUP(TableHandbook[[#This Row],[UDC]],TableMJRUFINCE[],7,FALSE),"")</f>
        <v/>
      </c>
      <c r="AF103" s="66" t="str">
        <f>IFERROR(VLOOKUP(TableHandbook[[#This Row],[UDC]],TableMJRUHRMGM[],7,FALSE),"")</f>
        <v/>
      </c>
      <c r="AG103" s="66" t="str">
        <f>IFERROR(VLOOKUP(TableHandbook[[#This Row],[UDC]],TableMJRUINTBU[],7,FALSE),"")</f>
        <v/>
      </c>
      <c r="AH103" s="66" t="str">
        <f>IFERROR(VLOOKUP(TableHandbook[[#This Row],[UDC]],TableMJRULGSCM[],7,FALSE),"")</f>
        <v/>
      </c>
      <c r="AI103" s="66" t="str">
        <f>IFERROR(VLOOKUP(TableHandbook[[#This Row],[UDC]],TableMJRUMNGMT[],7,FALSE),"")</f>
        <v/>
      </c>
      <c r="AJ103" s="66" t="str">
        <f>IFERROR(VLOOKUP(TableHandbook[[#This Row],[UDC]],TableMJRUMRKTG[],7,FALSE),"")</f>
        <v/>
      </c>
      <c r="AK103" s="66" t="str">
        <f>IFERROR(VLOOKUP(TableHandbook[[#This Row],[UDC]],TableMJRUPRPTY[],7,FALSE),"")</f>
        <v/>
      </c>
      <c r="AL103" s="66" t="str">
        <f>IFERROR(VLOOKUP(TableHandbook[[#This Row],[UDC]],TableMJRUSCRAR[],7,FALSE),"")</f>
        <v/>
      </c>
      <c r="AM103" s="66" t="str">
        <f>IFERROR(VLOOKUP(TableHandbook[[#This Row],[UDC]],TableMJRUTHTRA[],7,FALSE),"")</f>
        <v/>
      </c>
      <c r="AN103" s="66" t="str">
        <f>IFERROR(VLOOKUP(TableHandbook[[#This Row],[UDC]],TableMJRUTRHOS[],7,FALSE),"")</f>
        <v/>
      </c>
    </row>
    <row r="104" spans="1:40" x14ac:dyDescent="0.25">
      <c r="A104" s="8" t="s">
        <v>227</v>
      </c>
      <c r="B104" s="9">
        <v>2</v>
      </c>
      <c r="C104" s="8"/>
      <c r="D104" s="8" t="s">
        <v>624</v>
      </c>
      <c r="E104" s="9">
        <v>25</v>
      </c>
      <c r="F104" s="49" t="s">
        <v>526</v>
      </c>
      <c r="G104" s="67" t="str">
        <f>IFERROR(IF(VLOOKUP(TableHandbook[[#This Row],[UDC]],TableAvailabilities[],2,FALSE)&gt;0,"Y",""),"")</f>
        <v>Y</v>
      </c>
      <c r="H104" s="68" t="str">
        <f>IFERROR(IF(VLOOKUP(TableHandbook[[#This Row],[UDC]],TableAvailabilities[],3,FALSE)&gt;0,"Y",""),"")</f>
        <v/>
      </c>
      <c r="I104" s="69" t="str">
        <f>IFERROR(IF(VLOOKUP(TableHandbook[[#This Row],[UDC]],TableAvailabilities[],4,FALSE)&gt;0,"Y",""),"")</f>
        <v>Y</v>
      </c>
      <c r="J104" s="70" t="str">
        <f>IFERROR(IF(VLOOKUP(TableHandbook[[#This Row],[UDC]],TableAvailabilities[],5,FALSE)&gt;0,"Y",""),"")</f>
        <v/>
      </c>
      <c r="K104" s="163"/>
      <c r="L104" s="64" t="str">
        <f>IFERROR(VLOOKUP(TableHandbook[[#This Row],[UDC]],TableBARTS[],7,FALSE),"")</f>
        <v/>
      </c>
      <c r="M104" s="65" t="str">
        <f>IFERROR(VLOOKUP(TableHandbook[[#This Row],[UDC]],TableMJRUANTSO[],7,FALSE),"")</f>
        <v/>
      </c>
      <c r="N104" s="65" t="str">
        <f>IFERROR(VLOOKUP(TableHandbook[[#This Row],[UDC]],TableMJRUCHNSE[],7,FALSE),"")</f>
        <v/>
      </c>
      <c r="O104" s="65" t="str">
        <f>IFERROR(VLOOKUP(TableHandbook[[#This Row],[UDC]],TableMJRUCRWRI[],7,FALSE),"")</f>
        <v/>
      </c>
      <c r="P104" s="65" t="str">
        <f>IFERROR(VLOOKUP(TableHandbook[[#This Row],[UDC]],TableMJRUGEOGR[],7,FALSE),"")</f>
        <v/>
      </c>
      <c r="Q104" s="65" t="str">
        <f>IFERROR(VLOOKUP(TableHandbook[[#This Row],[UDC]],TableMJRUHISTR[],7,FALSE),"")</f>
        <v/>
      </c>
      <c r="R104" s="65" t="str">
        <f>IFERROR(VLOOKUP(TableHandbook[[#This Row],[UDC]],TableMJRUINAUC[],7,FALSE),"")</f>
        <v>Core</v>
      </c>
      <c r="S104" s="65" t="str">
        <f>IFERROR(VLOOKUP(TableHandbook[[#This Row],[UDC]],TableMJRUINTRL[],7,FALSE),"")</f>
        <v/>
      </c>
      <c r="T104" s="65" t="str">
        <f>IFERROR(VLOOKUP(TableHandbook[[#This Row],[UDC]],TableMJRUJAPAN[],7,FALSE),"")</f>
        <v/>
      </c>
      <c r="U104" s="65" t="str">
        <f>IFERROR(VLOOKUP(TableHandbook[[#This Row],[UDC]],TableMJRUJOURN[],7,FALSE),"")</f>
        <v/>
      </c>
      <c r="V104" s="65" t="str">
        <f>IFERROR(VLOOKUP(TableHandbook[[#This Row],[UDC]],TableMJRUKORES[],7,FALSE),"")</f>
        <v/>
      </c>
      <c r="W104" s="65" t="str">
        <f>IFERROR(VLOOKUP(TableHandbook[[#This Row],[UDC]],TableMJRULITCU[],7,FALSE),"")</f>
        <v/>
      </c>
      <c r="X104" s="65" t="str">
        <f>IFERROR(VLOOKUP(TableHandbook[[#This Row],[UDC]],TableMJRUNETCM[],7,FALSE),"")</f>
        <v/>
      </c>
      <c r="Y104" s="65" t="str">
        <f>IFERROR(VLOOKUP(TableHandbook[[#This Row],[UDC]],TableMJRUPRWRP[],7,FALSE),"")</f>
        <v/>
      </c>
      <c r="Z104" s="66" t="str">
        <f>IFERROR(VLOOKUP(TableHandbook[[#This Row],[UDC]],TableMJRUSCSTR[],7,FALSE),"")</f>
        <v/>
      </c>
      <c r="AA104" s="74"/>
      <c r="AB104" s="66" t="str">
        <f>IFERROR(VLOOKUP(TableHandbook[[#This Row],[UDC]],TableMJRUBSLAW[],7,FALSE),"")</f>
        <v/>
      </c>
      <c r="AC104" s="66" t="str">
        <f>IFERROR(VLOOKUP(TableHandbook[[#This Row],[UDC]],TableMJRUECONS[],7,FALSE),"")</f>
        <v/>
      </c>
      <c r="AD104" s="66" t="str">
        <f>IFERROR(VLOOKUP(TableHandbook[[#This Row],[UDC]],TableMJRUFINAR[],7,FALSE),"")</f>
        <v/>
      </c>
      <c r="AE104" s="66" t="str">
        <f>IFERROR(VLOOKUP(TableHandbook[[#This Row],[UDC]],TableMJRUFINCE[],7,FALSE),"")</f>
        <v/>
      </c>
      <c r="AF104" s="66" t="str">
        <f>IFERROR(VLOOKUP(TableHandbook[[#This Row],[UDC]],TableMJRUHRMGM[],7,FALSE),"")</f>
        <v/>
      </c>
      <c r="AG104" s="66" t="str">
        <f>IFERROR(VLOOKUP(TableHandbook[[#This Row],[UDC]],TableMJRUINTBU[],7,FALSE),"")</f>
        <v/>
      </c>
      <c r="AH104" s="66" t="str">
        <f>IFERROR(VLOOKUP(TableHandbook[[#This Row],[UDC]],TableMJRULGSCM[],7,FALSE),"")</f>
        <v/>
      </c>
      <c r="AI104" s="66" t="str">
        <f>IFERROR(VLOOKUP(TableHandbook[[#This Row],[UDC]],TableMJRUMNGMT[],7,FALSE),"")</f>
        <v/>
      </c>
      <c r="AJ104" s="66" t="str">
        <f>IFERROR(VLOOKUP(TableHandbook[[#This Row],[UDC]],TableMJRUMRKTG[],7,FALSE),"")</f>
        <v/>
      </c>
      <c r="AK104" s="66" t="str">
        <f>IFERROR(VLOOKUP(TableHandbook[[#This Row],[UDC]],TableMJRUPRPTY[],7,FALSE),"")</f>
        <v/>
      </c>
      <c r="AL104" s="66" t="str">
        <f>IFERROR(VLOOKUP(TableHandbook[[#This Row],[UDC]],TableMJRUSCRAR[],7,FALSE),"")</f>
        <v/>
      </c>
      <c r="AM104" s="66" t="str">
        <f>IFERROR(VLOOKUP(TableHandbook[[#This Row],[UDC]],TableMJRUTHTRA[],7,FALSE),"")</f>
        <v/>
      </c>
      <c r="AN104" s="66" t="str">
        <f>IFERROR(VLOOKUP(TableHandbook[[#This Row],[UDC]],TableMJRUTRHOS[],7,FALSE),"")</f>
        <v/>
      </c>
    </row>
    <row r="105" spans="1:40" x14ac:dyDescent="0.25">
      <c r="A105" s="8" t="s">
        <v>257</v>
      </c>
      <c r="B105" s="9">
        <v>1</v>
      </c>
      <c r="C105" s="8"/>
      <c r="D105" s="8" t="s">
        <v>625</v>
      </c>
      <c r="E105" s="9">
        <v>25</v>
      </c>
      <c r="F105" s="49" t="s">
        <v>526</v>
      </c>
      <c r="G105" s="67" t="str">
        <f>IFERROR(IF(VLOOKUP(TableHandbook[[#This Row],[UDC]],TableAvailabilities[],2,FALSE)&gt;0,"Y",""),"")</f>
        <v/>
      </c>
      <c r="H105" s="68" t="str">
        <f>IFERROR(IF(VLOOKUP(TableHandbook[[#This Row],[UDC]],TableAvailabilities[],3,FALSE)&gt;0,"Y",""),"")</f>
        <v/>
      </c>
      <c r="I105" s="69" t="str">
        <f>IFERROR(IF(VLOOKUP(TableHandbook[[#This Row],[UDC]],TableAvailabilities[],4,FALSE)&gt;0,"Y",""),"")</f>
        <v>Y</v>
      </c>
      <c r="J105" s="70" t="str">
        <f>IFERROR(IF(VLOOKUP(TableHandbook[[#This Row],[UDC]],TableAvailabilities[],5,FALSE)&gt;0,"Y",""),"")</f>
        <v/>
      </c>
      <c r="K105" s="163"/>
      <c r="L105" s="64" t="str">
        <f>IFERROR(VLOOKUP(TableHandbook[[#This Row],[UDC]],TableBARTS[],7,FALSE),"")</f>
        <v/>
      </c>
      <c r="M105" s="65" t="str">
        <f>IFERROR(VLOOKUP(TableHandbook[[#This Row],[UDC]],TableMJRUANTSO[],7,FALSE),"")</f>
        <v/>
      </c>
      <c r="N105" s="65" t="str">
        <f>IFERROR(VLOOKUP(TableHandbook[[#This Row],[UDC]],TableMJRUCHNSE[],7,FALSE),"")</f>
        <v/>
      </c>
      <c r="O105" s="65" t="str">
        <f>IFERROR(VLOOKUP(TableHandbook[[#This Row],[UDC]],TableMJRUCRWRI[],7,FALSE),"")</f>
        <v/>
      </c>
      <c r="P105" s="65" t="str">
        <f>IFERROR(VLOOKUP(TableHandbook[[#This Row],[UDC]],TableMJRUGEOGR[],7,FALSE),"")</f>
        <v/>
      </c>
      <c r="Q105" s="65" t="str">
        <f>IFERROR(VLOOKUP(TableHandbook[[#This Row],[UDC]],TableMJRUHISTR[],7,FALSE),"")</f>
        <v/>
      </c>
      <c r="R105" s="65" t="str">
        <f>IFERROR(VLOOKUP(TableHandbook[[#This Row],[UDC]],TableMJRUINAUC[],7,FALSE),"")</f>
        <v>Core</v>
      </c>
      <c r="S105" s="65" t="str">
        <f>IFERROR(VLOOKUP(TableHandbook[[#This Row],[UDC]],TableMJRUINTRL[],7,FALSE),"")</f>
        <v/>
      </c>
      <c r="T105" s="65" t="str">
        <f>IFERROR(VLOOKUP(TableHandbook[[#This Row],[UDC]],TableMJRUJAPAN[],7,FALSE),"")</f>
        <v/>
      </c>
      <c r="U105" s="65" t="str">
        <f>IFERROR(VLOOKUP(TableHandbook[[#This Row],[UDC]],TableMJRUJOURN[],7,FALSE),"")</f>
        <v/>
      </c>
      <c r="V105" s="65" t="str">
        <f>IFERROR(VLOOKUP(TableHandbook[[#This Row],[UDC]],TableMJRUKORES[],7,FALSE),"")</f>
        <v/>
      </c>
      <c r="W105" s="65" t="str">
        <f>IFERROR(VLOOKUP(TableHandbook[[#This Row],[UDC]],TableMJRULITCU[],7,FALSE),"")</f>
        <v/>
      </c>
      <c r="X105" s="65" t="str">
        <f>IFERROR(VLOOKUP(TableHandbook[[#This Row],[UDC]],TableMJRUNETCM[],7,FALSE),"")</f>
        <v/>
      </c>
      <c r="Y105" s="65" t="str">
        <f>IFERROR(VLOOKUP(TableHandbook[[#This Row],[UDC]],TableMJRUPRWRP[],7,FALSE),"")</f>
        <v/>
      </c>
      <c r="Z105" s="66" t="str">
        <f>IFERROR(VLOOKUP(TableHandbook[[#This Row],[UDC]],TableMJRUSCSTR[],7,FALSE),"")</f>
        <v/>
      </c>
      <c r="AA105" s="74"/>
      <c r="AB105" s="66" t="str">
        <f>IFERROR(VLOOKUP(TableHandbook[[#This Row],[UDC]],TableMJRUBSLAW[],7,FALSE),"")</f>
        <v/>
      </c>
      <c r="AC105" s="66" t="str">
        <f>IFERROR(VLOOKUP(TableHandbook[[#This Row],[UDC]],TableMJRUECONS[],7,FALSE),"")</f>
        <v/>
      </c>
      <c r="AD105" s="66" t="str">
        <f>IFERROR(VLOOKUP(TableHandbook[[#This Row],[UDC]],TableMJRUFINAR[],7,FALSE),"")</f>
        <v/>
      </c>
      <c r="AE105" s="66" t="str">
        <f>IFERROR(VLOOKUP(TableHandbook[[#This Row],[UDC]],TableMJRUFINCE[],7,FALSE),"")</f>
        <v/>
      </c>
      <c r="AF105" s="66" t="str">
        <f>IFERROR(VLOOKUP(TableHandbook[[#This Row],[UDC]],TableMJRUHRMGM[],7,FALSE),"")</f>
        <v/>
      </c>
      <c r="AG105" s="66" t="str">
        <f>IFERROR(VLOOKUP(TableHandbook[[#This Row],[UDC]],TableMJRUINTBU[],7,FALSE),"")</f>
        <v/>
      </c>
      <c r="AH105" s="66" t="str">
        <f>IFERROR(VLOOKUP(TableHandbook[[#This Row],[UDC]],TableMJRULGSCM[],7,FALSE),"")</f>
        <v/>
      </c>
      <c r="AI105" s="66" t="str">
        <f>IFERROR(VLOOKUP(TableHandbook[[#This Row],[UDC]],TableMJRUMNGMT[],7,FALSE),"")</f>
        <v/>
      </c>
      <c r="AJ105" s="66" t="str">
        <f>IFERROR(VLOOKUP(TableHandbook[[#This Row],[UDC]],TableMJRUMRKTG[],7,FALSE),"")</f>
        <v/>
      </c>
      <c r="AK105" s="66" t="str">
        <f>IFERROR(VLOOKUP(TableHandbook[[#This Row],[UDC]],TableMJRUPRPTY[],7,FALSE),"")</f>
        <v/>
      </c>
      <c r="AL105" s="66" t="str">
        <f>IFERROR(VLOOKUP(TableHandbook[[#This Row],[UDC]],TableMJRUSCRAR[],7,FALSE),"")</f>
        <v/>
      </c>
      <c r="AM105" s="66" t="str">
        <f>IFERROR(VLOOKUP(TableHandbook[[#This Row],[UDC]],TableMJRUTHTRA[],7,FALSE),"")</f>
        <v/>
      </c>
      <c r="AN105" s="66" t="str">
        <f>IFERROR(VLOOKUP(TableHandbook[[#This Row],[UDC]],TableMJRUTRHOS[],7,FALSE),"")</f>
        <v/>
      </c>
    </row>
    <row r="106" spans="1:40" x14ac:dyDescent="0.25">
      <c r="A106" s="8" t="s">
        <v>52</v>
      </c>
      <c r="B106" s="9">
        <v>2</v>
      </c>
      <c r="C106" s="8"/>
      <c r="D106" s="8" t="s">
        <v>626</v>
      </c>
      <c r="E106" s="9">
        <v>25</v>
      </c>
      <c r="F106" s="49" t="s">
        <v>526</v>
      </c>
      <c r="G106" s="67" t="str">
        <f>IFERROR(IF(VLOOKUP(TableHandbook[[#This Row],[UDC]],TableAvailabilities[],2,FALSE)&gt;0,"Y",""),"")</f>
        <v/>
      </c>
      <c r="H106" s="68" t="str">
        <f>IFERROR(IF(VLOOKUP(TableHandbook[[#This Row],[UDC]],TableAvailabilities[],3,FALSE)&gt;0,"Y",""),"")</f>
        <v/>
      </c>
      <c r="I106" s="69" t="str">
        <f>IFERROR(IF(VLOOKUP(TableHandbook[[#This Row],[UDC]],TableAvailabilities[],4,FALSE)&gt;0,"Y",""),"")</f>
        <v>Y</v>
      </c>
      <c r="J106" s="70" t="str">
        <f>IFERROR(IF(VLOOKUP(TableHandbook[[#This Row],[UDC]],TableAvailabilities[],5,FALSE)&gt;0,"Y",""),"")</f>
        <v>Y</v>
      </c>
      <c r="K106" s="163" t="s">
        <v>533</v>
      </c>
      <c r="L106" s="64" t="str">
        <f>IFERROR(VLOOKUP(TableHandbook[[#This Row],[UDC]],TableBARTS[],7,FALSE),"")</f>
        <v>Option</v>
      </c>
      <c r="M106" s="65" t="str">
        <f>IFERROR(VLOOKUP(TableHandbook[[#This Row],[UDC]],TableMJRUANTSO[],7,FALSE),"")</f>
        <v/>
      </c>
      <c r="N106" s="65" t="str">
        <f>IFERROR(VLOOKUP(TableHandbook[[#This Row],[UDC]],TableMJRUCHNSE[],7,FALSE),"")</f>
        <v/>
      </c>
      <c r="O106" s="65" t="str">
        <f>IFERROR(VLOOKUP(TableHandbook[[#This Row],[UDC]],TableMJRUCRWRI[],7,FALSE),"")</f>
        <v/>
      </c>
      <c r="P106" s="65" t="str">
        <f>IFERROR(VLOOKUP(TableHandbook[[#This Row],[UDC]],TableMJRUGEOGR[],7,FALSE),"")</f>
        <v/>
      </c>
      <c r="Q106" s="65" t="str">
        <f>IFERROR(VLOOKUP(TableHandbook[[#This Row],[UDC]],TableMJRUHISTR[],7,FALSE),"")</f>
        <v/>
      </c>
      <c r="R106" s="65" t="str">
        <f>IFERROR(VLOOKUP(TableHandbook[[#This Row],[UDC]],TableMJRUINAUC[],7,FALSE),"")</f>
        <v/>
      </c>
      <c r="S106" s="65" t="str">
        <f>IFERROR(VLOOKUP(TableHandbook[[#This Row],[UDC]],TableMJRUINTRL[],7,FALSE),"")</f>
        <v/>
      </c>
      <c r="T106" s="65" t="str">
        <f>IFERROR(VLOOKUP(TableHandbook[[#This Row],[UDC]],TableMJRUJAPAN[],7,FALSE),"")</f>
        <v/>
      </c>
      <c r="U106" s="65" t="str">
        <f>IFERROR(VLOOKUP(TableHandbook[[#This Row],[UDC]],TableMJRUJOURN[],7,FALSE),"")</f>
        <v/>
      </c>
      <c r="V106" s="65" t="str">
        <f>IFERROR(VLOOKUP(TableHandbook[[#This Row],[UDC]],TableMJRUKORES[],7,FALSE),"")</f>
        <v/>
      </c>
      <c r="W106" s="65" t="str">
        <f>IFERROR(VLOOKUP(TableHandbook[[#This Row],[UDC]],TableMJRULITCU[],7,FALSE),"")</f>
        <v/>
      </c>
      <c r="X106" s="65" t="str">
        <f>IFERROR(VLOOKUP(TableHandbook[[#This Row],[UDC]],TableMJRUNETCM[],7,FALSE),"")</f>
        <v/>
      </c>
      <c r="Y106" s="65" t="str">
        <f>IFERROR(VLOOKUP(TableHandbook[[#This Row],[UDC]],TableMJRUPRWRP[],7,FALSE),"")</f>
        <v/>
      </c>
      <c r="Z106" s="66" t="str">
        <f>IFERROR(VLOOKUP(TableHandbook[[#This Row],[UDC]],TableMJRUSCSTR[],7,FALSE),"")</f>
        <v/>
      </c>
      <c r="AA106" s="74"/>
      <c r="AB106" s="66" t="str">
        <f>IFERROR(VLOOKUP(TableHandbook[[#This Row],[UDC]],TableMJRUBSLAW[],7,FALSE),"")</f>
        <v/>
      </c>
      <c r="AC106" s="66" t="str">
        <f>IFERROR(VLOOKUP(TableHandbook[[#This Row],[UDC]],TableMJRUECONS[],7,FALSE),"")</f>
        <v/>
      </c>
      <c r="AD106" s="66" t="str">
        <f>IFERROR(VLOOKUP(TableHandbook[[#This Row],[UDC]],TableMJRUFINAR[],7,FALSE),"")</f>
        <v/>
      </c>
      <c r="AE106" s="66" t="str">
        <f>IFERROR(VLOOKUP(TableHandbook[[#This Row],[UDC]],TableMJRUFINCE[],7,FALSE),"")</f>
        <v/>
      </c>
      <c r="AF106" s="66" t="str">
        <f>IFERROR(VLOOKUP(TableHandbook[[#This Row],[UDC]],TableMJRUHRMGM[],7,FALSE),"")</f>
        <v/>
      </c>
      <c r="AG106" s="66" t="str">
        <f>IFERROR(VLOOKUP(TableHandbook[[#This Row],[UDC]],TableMJRUINTBU[],7,FALSE),"")</f>
        <v/>
      </c>
      <c r="AH106" s="66" t="str">
        <f>IFERROR(VLOOKUP(TableHandbook[[#This Row],[UDC]],TableMJRULGSCM[],7,FALSE),"")</f>
        <v/>
      </c>
      <c r="AI106" s="66" t="str">
        <f>IFERROR(VLOOKUP(TableHandbook[[#This Row],[UDC]],TableMJRUMNGMT[],7,FALSE),"")</f>
        <v/>
      </c>
      <c r="AJ106" s="66" t="str">
        <f>IFERROR(VLOOKUP(TableHandbook[[#This Row],[UDC]],TableMJRUMRKTG[],7,FALSE),"")</f>
        <v/>
      </c>
      <c r="AK106" s="66" t="str">
        <f>IFERROR(VLOOKUP(TableHandbook[[#This Row],[UDC]],TableMJRUPRPTY[],7,FALSE),"")</f>
        <v/>
      </c>
      <c r="AL106" s="66" t="str">
        <f>IFERROR(VLOOKUP(TableHandbook[[#This Row],[UDC]],TableMJRUSCRAR[],7,FALSE),"")</f>
        <v/>
      </c>
      <c r="AM106" s="66" t="str">
        <f>IFERROR(VLOOKUP(TableHandbook[[#This Row],[UDC]],TableMJRUTHTRA[],7,FALSE),"")</f>
        <v/>
      </c>
      <c r="AN106" s="66" t="str">
        <f>IFERROR(VLOOKUP(TableHandbook[[#This Row],[UDC]],TableMJRUTRHOS[],7,FALSE),"")</f>
        <v/>
      </c>
    </row>
    <row r="107" spans="1:40" x14ac:dyDescent="0.25">
      <c r="A107" s="8" t="s">
        <v>627</v>
      </c>
      <c r="B107" s="9">
        <v>1</v>
      </c>
      <c r="C107" s="8"/>
      <c r="D107" s="8" t="s">
        <v>628</v>
      </c>
      <c r="E107" s="9">
        <v>25</v>
      </c>
      <c r="F107" s="49" t="s">
        <v>526</v>
      </c>
      <c r="G107" s="67" t="str">
        <f>IFERROR(IF(VLOOKUP(TableHandbook[[#This Row],[UDC]],TableAvailabilities[],2,FALSE)&gt;0,"Y",""),"")</f>
        <v/>
      </c>
      <c r="H107" s="68" t="str">
        <f>IFERROR(IF(VLOOKUP(TableHandbook[[#This Row],[UDC]],TableAvailabilities[],3,FALSE)&gt;0,"Y",""),"")</f>
        <v/>
      </c>
      <c r="I107" s="69" t="str">
        <f>IFERROR(IF(VLOOKUP(TableHandbook[[#This Row],[UDC]],TableAvailabilities[],4,FALSE)&gt;0,"Y",""),"")</f>
        <v/>
      </c>
      <c r="J107" s="70" t="str">
        <f>IFERROR(IF(VLOOKUP(TableHandbook[[#This Row],[UDC]],TableAvailabilities[],5,FALSE)&gt;0,"Y",""),"")</f>
        <v/>
      </c>
      <c r="K107" s="163" t="s">
        <v>535</v>
      </c>
      <c r="L107" s="64" t="str">
        <f>IFERROR(VLOOKUP(TableHandbook[[#This Row],[UDC]],TableBARTS[],7,FALSE),"")</f>
        <v/>
      </c>
      <c r="M107" s="65" t="str">
        <f>IFERROR(VLOOKUP(TableHandbook[[#This Row],[UDC]],TableMJRUANTSO[],7,FALSE),"")</f>
        <v/>
      </c>
      <c r="N107" s="65" t="str">
        <f>IFERROR(VLOOKUP(TableHandbook[[#This Row],[UDC]],TableMJRUCHNSE[],7,FALSE),"")</f>
        <v/>
      </c>
      <c r="O107" s="65" t="str">
        <f>IFERROR(VLOOKUP(TableHandbook[[#This Row],[UDC]],TableMJRUCRWRI[],7,FALSE),"")</f>
        <v/>
      </c>
      <c r="P107" s="65" t="str">
        <f>IFERROR(VLOOKUP(TableHandbook[[#This Row],[UDC]],TableMJRUGEOGR[],7,FALSE),"")</f>
        <v/>
      </c>
      <c r="Q107" s="65" t="str">
        <f>IFERROR(VLOOKUP(TableHandbook[[#This Row],[UDC]],TableMJRUHISTR[],7,FALSE),"")</f>
        <v/>
      </c>
      <c r="R107" s="65" t="str">
        <f>IFERROR(VLOOKUP(TableHandbook[[#This Row],[UDC]],TableMJRUINAUC[],7,FALSE),"")</f>
        <v/>
      </c>
      <c r="S107" s="65" t="str">
        <f>IFERROR(VLOOKUP(TableHandbook[[#This Row],[UDC]],TableMJRUINTRL[],7,FALSE),"")</f>
        <v/>
      </c>
      <c r="T107" s="65" t="str">
        <f>IFERROR(VLOOKUP(TableHandbook[[#This Row],[UDC]],TableMJRUJAPAN[],7,FALSE),"")</f>
        <v/>
      </c>
      <c r="U107" s="65" t="str">
        <f>IFERROR(VLOOKUP(TableHandbook[[#This Row],[UDC]],TableMJRUJOURN[],7,FALSE),"")</f>
        <v/>
      </c>
      <c r="V107" s="65" t="str">
        <f>IFERROR(VLOOKUP(TableHandbook[[#This Row],[UDC]],TableMJRUKORES[],7,FALSE),"")</f>
        <v/>
      </c>
      <c r="W107" s="65" t="str">
        <f>IFERROR(VLOOKUP(TableHandbook[[#This Row],[UDC]],TableMJRULITCU[],7,FALSE),"")</f>
        <v/>
      </c>
      <c r="X107" s="65" t="str">
        <f>IFERROR(VLOOKUP(TableHandbook[[#This Row],[UDC]],TableMJRUNETCM[],7,FALSE),"")</f>
        <v/>
      </c>
      <c r="Y107" s="65" t="str">
        <f>IFERROR(VLOOKUP(TableHandbook[[#This Row],[UDC]],TableMJRUPRWRP[],7,FALSE),"")</f>
        <v/>
      </c>
      <c r="Z107" s="66" t="str">
        <f>IFERROR(VLOOKUP(TableHandbook[[#This Row],[UDC]],TableMJRUSCSTR[],7,FALSE),"")</f>
        <v/>
      </c>
      <c r="AA107" s="74"/>
      <c r="AB107" s="66" t="str">
        <f>IFERROR(VLOOKUP(TableHandbook[[#This Row],[UDC]],TableMJRUBSLAW[],7,FALSE),"")</f>
        <v/>
      </c>
      <c r="AC107" s="66" t="str">
        <f>IFERROR(VLOOKUP(TableHandbook[[#This Row],[UDC]],TableMJRUECONS[],7,FALSE),"")</f>
        <v/>
      </c>
      <c r="AD107" s="66" t="str">
        <f>IFERROR(VLOOKUP(TableHandbook[[#This Row],[UDC]],TableMJRUFINAR[],7,FALSE),"")</f>
        <v/>
      </c>
      <c r="AE107" s="66" t="str">
        <f>IFERROR(VLOOKUP(TableHandbook[[#This Row],[UDC]],TableMJRUFINCE[],7,FALSE),"")</f>
        <v/>
      </c>
      <c r="AF107" s="66" t="str">
        <f>IFERROR(VLOOKUP(TableHandbook[[#This Row],[UDC]],TableMJRUHRMGM[],7,FALSE),"")</f>
        <v/>
      </c>
      <c r="AG107" s="66" t="str">
        <f>IFERROR(VLOOKUP(TableHandbook[[#This Row],[UDC]],TableMJRUINTBU[],7,FALSE),"")</f>
        <v/>
      </c>
      <c r="AH107" s="66" t="str">
        <f>IFERROR(VLOOKUP(TableHandbook[[#This Row],[UDC]],TableMJRULGSCM[],7,FALSE),"")</f>
        <v/>
      </c>
      <c r="AI107" s="66" t="str">
        <f>IFERROR(VLOOKUP(TableHandbook[[#This Row],[UDC]],TableMJRUMNGMT[],7,FALSE),"")</f>
        <v/>
      </c>
      <c r="AJ107" s="66" t="str">
        <f>IFERROR(VLOOKUP(TableHandbook[[#This Row],[UDC]],TableMJRUMRKTG[],7,FALSE),"")</f>
        <v/>
      </c>
      <c r="AK107" s="66" t="str">
        <f>IFERROR(VLOOKUP(TableHandbook[[#This Row],[UDC]],TableMJRUPRPTY[],7,FALSE),"")</f>
        <v/>
      </c>
      <c r="AL107" s="66" t="str">
        <f>IFERROR(VLOOKUP(TableHandbook[[#This Row],[UDC]],TableMJRUSCRAR[],7,FALSE),"")</f>
        <v/>
      </c>
      <c r="AM107" s="66" t="str">
        <f>IFERROR(VLOOKUP(TableHandbook[[#This Row],[UDC]],TableMJRUTHTRA[],7,FALSE),"")</f>
        <v/>
      </c>
      <c r="AN107" s="66" t="str">
        <f>IFERROR(VLOOKUP(TableHandbook[[#This Row],[UDC]],TableMJRUTRHOS[],7,FALSE),"")</f>
        <v/>
      </c>
    </row>
    <row r="108" spans="1:40" x14ac:dyDescent="0.25">
      <c r="A108" s="6" t="s">
        <v>53</v>
      </c>
      <c r="B108" s="107">
        <v>1</v>
      </c>
      <c r="C108" s="6"/>
      <c r="D108" s="6" t="s">
        <v>629</v>
      </c>
      <c r="E108" s="107">
        <v>25</v>
      </c>
      <c r="F108" s="49" t="s">
        <v>526</v>
      </c>
      <c r="G108" s="67" t="str">
        <f>IFERROR(IF(VLOOKUP(TableHandbook[[#This Row],[UDC]],TableAvailabilities[],2,FALSE)&gt;0,"Y",""),"")</f>
        <v>Y</v>
      </c>
      <c r="H108" s="68" t="str">
        <f>IFERROR(IF(VLOOKUP(TableHandbook[[#This Row],[UDC]],TableAvailabilities[],3,FALSE)&gt;0,"Y",""),"")</f>
        <v>Y</v>
      </c>
      <c r="I108" s="69" t="str">
        <f>IFERROR(IF(VLOOKUP(TableHandbook[[#This Row],[UDC]],TableAvailabilities[],4,FALSE)&gt;0,"Y",""),"")</f>
        <v/>
      </c>
      <c r="J108" s="70" t="str">
        <f>IFERROR(IF(VLOOKUP(TableHandbook[[#This Row],[UDC]],TableAvailabilities[],5,FALSE)&gt;0,"Y",""),"")</f>
        <v/>
      </c>
      <c r="K108" s="163"/>
      <c r="L108" s="64" t="str">
        <f>IFERROR(VLOOKUP(TableHandbook[[#This Row],[UDC]],TableBARTS[],7,FALSE),"")</f>
        <v>Option</v>
      </c>
      <c r="M108" s="65" t="str">
        <f>IFERROR(VLOOKUP(TableHandbook[[#This Row],[UDC]],TableMJRUANTSO[],7,FALSE),"")</f>
        <v/>
      </c>
      <c r="N108" s="65" t="str">
        <f>IFERROR(VLOOKUP(TableHandbook[[#This Row],[UDC]],TableMJRUCHNSE[],7,FALSE),"")</f>
        <v/>
      </c>
      <c r="O108" s="65" t="str">
        <f>IFERROR(VLOOKUP(TableHandbook[[#This Row],[UDC]],TableMJRUCRWRI[],7,FALSE),"")</f>
        <v/>
      </c>
      <c r="P108" s="65" t="str">
        <f>IFERROR(VLOOKUP(TableHandbook[[#This Row],[UDC]],TableMJRUGEOGR[],7,FALSE),"")</f>
        <v/>
      </c>
      <c r="Q108" s="65" t="str">
        <f>IFERROR(VLOOKUP(TableHandbook[[#This Row],[UDC]],TableMJRUHISTR[],7,FALSE),"")</f>
        <v/>
      </c>
      <c r="R108" s="65" t="str">
        <f>IFERROR(VLOOKUP(TableHandbook[[#This Row],[UDC]],TableMJRUINAUC[],7,FALSE),"")</f>
        <v/>
      </c>
      <c r="S108" s="65" t="str">
        <f>IFERROR(VLOOKUP(TableHandbook[[#This Row],[UDC]],TableMJRUINTRL[],7,FALSE),"")</f>
        <v/>
      </c>
      <c r="T108" s="65" t="str">
        <f>IFERROR(VLOOKUP(TableHandbook[[#This Row],[UDC]],TableMJRUJAPAN[],7,FALSE),"")</f>
        <v/>
      </c>
      <c r="U108" s="65" t="str">
        <f>IFERROR(VLOOKUP(TableHandbook[[#This Row],[UDC]],TableMJRUJOURN[],7,FALSE),"")</f>
        <v/>
      </c>
      <c r="V108" s="65" t="str">
        <f>IFERROR(VLOOKUP(TableHandbook[[#This Row],[UDC]],TableMJRUKORES[],7,FALSE),"")</f>
        <v/>
      </c>
      <c r="W108" s="65" t="str">
        <f>IFERROR(VLOOKUP(TableHandbook[[#This Row],[UDC]],TableMJRULITCU[],7,FALSE),"")</f>
        <v/>
      </c>
      <c r="X108" s="65" t="str">
        <f>IFERROR(VLOOKUP(TableHandbook[[#This Row],[UDC]],TableMJRUNETCM[],7,FALSE),"")</f>
        <v/>
      </c>
      <c r="Y108" s="65" t="str">
        <f>IFERROR(VLOOKUP(TableHandbook[[#This Row],[UDC]],TableMJRUPRWRP[],7,FALSE),"")</f>
        <v/>
      </c>
      <c r="Z108" s="66" t="str">
        <f>IFERROR(VLOOKUP(TableHandbook[[#This Row],[UDC]],TableMJRUSCSTR[],7,FALSE),"")</f>
        <v/>
      </c>
      <c r="AA108" s="74"/>
      <c r="AB108" s="66" t="str">
        <f>IFERROR(VLOOKUP(TableHandbook[[#This Row],[UDC]],TableMJRUBSLAW[],7,FALSE),"")</f>
        <v/>
      </c>
      <c r="AC108" s="66" t="str">
        <f>IFERROR(VLOOKUP(TableHandbook[[#This Row],[UDC]],TableMJRUECONS[],7,FALSE),"")</f>
        <v/>
      </c>
      <c r="AD108" s="66" t="str">
        <f>IFERROR(VLOOKUP(TableHandbook[[#This Row],[UDC]],TableMJRUFINAR[],7,FALSE),"")</f>
        <v/>
      </c>
      <c r="AE108" s="66" t="str">
        <f>IFERROR(VLOOKUP(TableHandbook[[#This Row],[UDC]],TableMJRUFINCE[],7,FALSE),"")</f>
        <v/>
      </c>
      <c r="AF108" s="66" t="str">
        <f>IFERROR(VLOOKUP(TableHandbook[[#This Row],[UDC]],TableMJRUHRMGM[],7,FALSE),"")</f>
        <v/>
      </c>
      <c r="AG108" s="66" t="str">
        <f>IFERROR(VLOOKUP(TableHandbook[[#This Row],[UDC]],TableMJRUINTBU[],7,FALSE),"")</f>
        <v/>
      </c>
      <c r="AH108" s="66" t="str">
        <f>IFERROR(VLOOKUP(TableHandbook[[#This Row],[UDC]],TableMJRULGSCM[],7,FALSE),"")</f>
        <v/>
      </c>
      <c r="AI108" s="66" t="str">
        <f>IFERROR(VLOOKUP(TableHandbook[[#This Row],[UDC]],TableMJRUMNGMT[],7,FALSE),"")</f>
        <v/>
      </c>
      <c r="AJ108" s="66" t="str">
        <f>IFERROR(VLOOKUP(TableHandbook[[#This Row],[UDC]],TableMJRUMRKTG[],7,FALSE),"")</f>
        <v/>
      </c>
      <c r="AK108" s="66" t="str">
        <f>IFERROR(VLOOKUP(TableHandbook[[#This Row],[UDC]],TableMJRUPRPTY[],7,FALSE),"")</f>
        <v/>
      </c>
      <c r="AL108" s="66" t="str">
        <f>IFERROR(VLOOKUP(TableHandbook[[#This Row],[UDC]],TableMJRUSCRAR[],7,FALSE),"")</f>
        <v/>
      </c>
      <c r="AM108" s="66" t="str">
        <f>IFERROR(VLOOKUP(TableHandbook[[#This Row],[UDC]],TableMJRUTHTRA[],7,FALSE),"")</f>
        <v/>
      </c>
      <c r="AN108" s="66" t="str">
        <f>IFERROR(VLOOKUP(TableHandbook[[#This Row],[UDC]],TableMJRUTRHOS[],7,FALSE),"")</f>
        <v/>
      </c>
    </row>
    <row r="109" spans="1:40" x14ac:dyDescent="0.25">
      <c r="A109" s="8" t="s">
        <v>229</v>
      </c>
      <c r="B109" s="9">
        <v>3</v>
      </c>
      <c r="C109" s="8"/>
      <c r="D109" s="8" t="s">
        <v>630</v>
      </c>
      <c r="E109" s="9">
        <v>25</v>
      </c>
      <c r="F109" s="174" t="s">
        <v>526</v>
      </c>
      <c r="G109" s="67" t="str">
        <f>IFERROR(IF(VLOOKUP(TableHandbook[[#This Row],[UDC]],TableAvailabilities[],2,FALSE)&gt;0,"Y",""),"")</f>
        <v>Y</v>
      </c>
      <c r="H109" s="68" t="str">
        <f>IFERROR(IF(VLOOKUP(TableHandbook[[#This Row],[UDC]],TableAvailabilities[],3,FALSE)&gt;0,"Y",""),"")</f>
        <v>Y</v>
      </c>
      <c r="I109" s="69" t="str">
        <f>IFERROR(IF(VLOOKUP(TableHandbook[[#This Row],[UDC]],TableAvailabilities[],4,FALSE)&gt;0,"Y",""),"")</f>
        <v/>
      </c>
      <c r="J109" s="70" t="str">
        <f>IFERROR(IF(VLOOKUP(TableHandbook[[#This Row],[UDC]],TableAvailabilities[],5,FALSE)&gt;0,"Y",""),"")</f>
        <v/>
      </c>
      <c r="K109" s="163" t="s">
        <v>533</v>
      </c>
      <c r="L109" s="64" t="str">
        <f>IFERROR(VLOOKUP(TableHandbook[[#This Row],[UDC]],TableBARTS[],7,FALSE),"")</f>
        <v/>
      </c>
      <c r="M109" s="65" t="str">
        <f>IFERROR(VLOOKUP(TableHandbook[[#This Row],[UDC]],TableMJRUANTSO[],7,FALSE),"")</f>
        <v/>
      </c>
      <c r="N109" s="65" t="str">
        <f>IFERROR(VLOOKUP(TableHandbook[[#This Row],[UDC]],TableMJRUCHNSE[],7,FALSE),"")</f>
        <v/>
      </c>
      <c r="O109" s="65" t="str">
        <f>IFERROR(VLOOKUP(TableHandbook[[#This Row],[UDC]],TableMJRUCRWRI[],7,FALSE),"")</f>
        <v/>
      </c>
      <c r="P109" s="65" t="str">
        <f>IFERROR(VLOOKUP(TableHandbook[[#This Row],[UDC]],TableMJRUGEOGR[],7,FALSE),"")</f>
        <v/>
      </c>
      <c r="Q109" s="65" t="str">
        <f>IFERROR(VLOOKUP(TableHandbook[[#This Row],[UDC]],TableMJRUHISTR[],7,FALSE),"")</f>
        <v/>
      </c>
      <c r="R109" s="65" t="str">
        <f>IFERROR(VLOOKUP(TableHandbook[[#This Row],[UDC]],TableMJRUINAUC[],7,FALSE),"")</f>
        <v/>
      </c>
      <c r="S109" s="65" t="str">
        <f>IFERROR(VLOOKUP(TableHandbook[[#This Row],[UDC]],TableMJRUINTRL[],7,FALSE),"")</f>
        <v>Core</v>
      </c>
      <c r="T109" s="65" t="str">
        <f>IFERROR(VLOOKUP(TableHandbook[[#This Row],[UDC]],TableMJRUJAPAN[],7,FALSE),"")</f>
        <v/>
      </c>
      <c r="U109" s="65" t="str">
        <f>IFERROR(VLOOKUP(TableHandbook[[#This Row],[UDC]],TableMJRUJOURN[],7,FALSE),"")</f>
        <v/>
      </c>
      <c r="V109" s="65" t="str">
        <f>IFERROR(VLOOKUP(TableHandbook[[#This Row],[UDC]],TableMJRUKORES[],7,FALSE),"")</f>
        <v/>
      </c>
      <c r="W109" s="65" t="str">
        <f>IFERROR(VLOOKUP(TableHandbook[[#This Row],[UDC]],TableMJRULITCU[],7,FALSE),"")</f>
        <v/>
      </c>
      <c r="X109" s="65" t="str">
        <f>IFERROR(VLOOKUP(TableHandbook[[#This Row],[UDC]],TableMJRUNETCM[],7,FALSE),"")</f>
        <v/>
      </c>
      <c r="Y109" s="65" t="str">
        <f>IFERROR(VLOOKUP(TableHandbook[[#This Row],[UDC]],TableMJRUPRWRP[],7,FALSE),"")</f>
        <v/>
      </c>
      <c r="Z109" s="66" t="str">
        <f>IFERROR(VLOOKUP(TableHandbook[[#This Row],[UDC]],TableMJRUSCSTR[],7,FALSE),"")</f>
        <v/>
      </c>
      <c r="AA109" s="74"/>
      <c r="AB109" s="66" t="str">
        <f>IFERROR(VLOOKUP(TableHandbook[[#This Row],[UDC]],TableMJRUBSLAW[],7,FALSE),"")</f>
        <v/>
      </c>
      <c r="AC109" s="66" t="str">
        <f>IFERROR(VLOOKUP(TableHandbook[[#This Row],[UDC]],TableMJRUECONS[],7,FALSE),"")</f>
        <v/>
      </c>
      <c r="AD109" s="66" t="str">
        <f>IFERROR(VLOOKUP(TableHandbook[[#This Row],[UDC]],TableMJRUFINAR[],7,FALSE),"")</f>
        <v/>
      </c>
      <c r="AE109" s="66" t="str">
        <f>IFERROR(VLOOKUP(TableHandbook[[#This Row],[UDC]],TableMJRUFINCE[],7,FALSE),"")</f>
        <v/>
      </c>
      <c r="AF109" s="66" t="str">
        <f>IFERROR(VLOOKUP(TableHandbook[[#This Row],[UDC]],TableMJRUHRMGM[],7,FALSE),"")</f>
        <v/>
      </c>
      <c r="AG109" s="66" t="str">
        <f>IFERROR(VLOOKUP(TableHandbook[[#This Row],[UDC]],TableMJRUINTBU[],7,FALSE),"")</f>
        <v/>
      </c>
      <c r="AH109" s="66" t="str">
        <f>IFERROR(VLOOKUP(TableHandbook[[#This Row],[UDC]],TableMJRULGSCM[],7,FALSE),"")</f>
        <v/>
      </c>
      <c r="AI109" s="66" t="str">
        <f>IFERROR(VLOOKUP(TableHandbook[[#This Row],[UDC]],TableMJRUMNGMT[],7,FALSE),"")</f>
        <v/>
      </c>
      <c r="AJ109" s="66" t="str">
        <f>IFERROR(VLOOKUP(TableHandbook[[#This Row],[UDC]],TableMJRUMRKTG[],7,FALSE),"")</f>
        <v/>
      </c>
      <c r="AK109" s="66" t="str">
        <f>IFERROR(VLOOKUP(TableHandbook[[#This Row],[UDC]],TableMJRUPRPTY[],7,FALSE),"")</f>
        <v/>
      </c>
      <c r="AL109" s="66" t="str">
        <f>IFERROR(VLOOKUP(TableHandbook[[#This Row],[UDC]],TableMJRUSCRAR[],7,FALSE),"")</f>
        <v/>
      </c>
      <c r="AM109" s="66" t="str">
        <f>IFERROR(VLOOKUP(TableHandbook[[#This Row],[UDC]],TableMJRUTHTRA[],7,FALSE),"")</f>
        <v/>
      </c>
      <c r="AN109" s="66" t="str">
        <f>IFERROR(VLOOKUP(TableHandbook[[#This Row],[UDC]],TableMJRUTRHOS[],7,FALSE),"")</f>
        <v/>
      </c>
    </row>
    <row r="110" spans="1:40" x14ac:dyDescent="0.25">
      <c r="A110" s="8" t="s">
        <v>631</v>
      </c>
      <c r="B110" s="9">
        <v>2</v>
      </c>
      <c r="C110" s="8"/>
      <c r="D110" s="8" t="s">
        <v>632</v>
      </c>
      <c r="E110" s="9">
        <v>25</v>
      </c>
      <c r="F110" s="49" t="s">
        <v>526</v>
      </c>
      <c r="G110" s="67" t="str">
        <f>IFERROR(IF(VLOOKUP(TableHandbook[[#This Row],[UDC]],TableAvailabilities[],2,FALSE)&gt;0,"Y",""),"")</f>
        <v/>
      </c>
      <c r="H110" s="68" t="str">
        <f>IFERROR(IF(VLOOKUP(TableHandbook[[#This Row],[UDC]],TableAvailabilities[],3,FALSE)&gt;0,"Y",""),"")</f>
        <v/>
      </c>
      <c r="I110" s="69" t="str">
        <f>IFERROR(IF(VLOOKUP(TableHandbook[[#This Row],[UDC]],TableAvailabilities[],4,FALSE)&gt;0,"Y",""),"")</f>
        <v/>
      </c>
      <c r="J110" s="70" t="str">
        <f>IFERROR(IF(VLOOKUP(TableHandbook[[#This Row],[UDC]],TableAvailabilities[],5,FALSE)&gt;0,"Y",""),"")</f>
        <v/>
      </c>
      <c r="K110" s="163" t="s">
        <v>535</v>
      </c>
      <c r="L110" s="64" t="str">
        <f>IFERROR(VLOOKUP(TableHandbook[[#This Row],[UDC]],TableBARTS[],7,FALSE),"")</f>
        <v/>
      </c>
      <c r="M110" s="65" t="str">
        <f>IFERROR(VLOOKUP(TableHandbook[[#This Row],[UDC]],TableMJRUANTSO[],7,FALSE),"")</f>
        <v/>
      </c>
      <c r="N110" s="65" t="str">
        <f>IFERROR(VLOOKUP(TableHandbook[[#This Row],[UDC]],TableMJRUCHNSE[],7,FALSE),"")</f>
        <v/>
      </c>
      <c r="O110" s="65" t="str">
        <f>IFERROR(VLOOKUP(TableHandbook[[#This Row],[UDC]],TableMJRUCRWRI[],7,FALSE),"")</f>
        <v/>
      </c>
      <c r="P110" s="65" t="str">
        <f>IFERROR(VLOOKUP(TableHandbook[[#This Row],[UDC]],TableMJRUGEOGR[],7,FALSE),"")</f>
        <v/>
      </c>
      <c r="Q110" s="65" t="str">
        <f>IFERROR(VLOOKUP(TableHandbook[[#This Row],[UDC]],TableMJRUHISTR[],7,FALSE),"")</f>
        <v/>
      </c>
      <c r="R110" s="65" t="str">
        <f>IFERROR(VLOOKUP(TableHandbook[[#This Row],[UDC]],TableMJRUINAUC[],7,FALSE),"")</f>
        <v/>
      </c>
      <c r="S110" s="65" t="str">
        <f>IFERROR(VLOOKUP(TableHandbook[[#This Row],[UDC]],TableMJRUINTRL[],7,FALSE),"")</f>
        <v/>
      </c>
      <c r="T110" s="65" t="str">
        <f>IFERROR(VLOOKUP(TableHandbook[[#This Row],[UDC]],TableMJRUJAPAN[],7,FALSE),"")</f>
        <v/>
      </c>
      <c r="U110" s="65" t="str">
        <f>IFERROR(VLOOKUP(TableHandbook[[#This Row],[UDC]],TableMJRUJOURN[],7,FALSE),"")</f>
        <v/>
      </c>
      <c r="V110" s="65" t="str">
        <f>IFERROR(VLOOKUP(TableHandbook[[#This Row],[UDC]],TableMJRUKORES[],7,FALSE),"")</f>
        <v/>
      </c>
      <c r="W110" s="65" t="str">
        <f>IFERROR(VLOOKUP(TableHandbook[[#This Row],[UDC]],TableMJRULITCU[],7,FALSE),"")</f>
        <v/>
      </c>
      <c r="X110" s="65" t="str">
        <f>IFERROR(VLOOKUP(TableHandbook[[#This Row],[UDC]],TableMJRUNETCM[],7,FALSE),"")</f>
        <v/>
      </c>
      <c r="Y110" s="65" t="str">
        <f>IFERROR(VLOOKUP(TableHandbook[[#This Row],[UDC]],TableMJRUPRWRP[],7,FALSE),"")</f>
        <v/>
      </c>
      <c r="Z110" s="66" t="str">
        <f>IFERROR(VLOOKUP(TableHandbook[[#This Row],[UDC]],TableMJRUSCSTR[],7,FALSE),"")</f>
        <v/>
      </c>
      <c r="AA110" s="74"/>
      <c r="AB110" s="66" t="str">
        <f>IFERROR(VLOOKUP(TableHandbook[[#This Row],[UDC]],TableMJRUBSLAW[],7,FALSE),"")</f>
        <v/>
      </c>
      <c r="AC110" s="66" t="str">
        <f>IFERROR(VLOOKUP(TableHandbook[[#This Row],[UDC]],TableMJRUECONS[],7,FALSE),"")</f>
        <v/>
      </c>
      <c r="AD110" s="66" t="str">
        <f>IFERROR(VLOOKUP(TableHandbook[[#This Row],[UDC]],TableMJRUFINAR[],7,FALSE),"")</f>
        <v/>
      </c>
      <c r="AE110" s="66" t="str">
        <f>IFERROR(VLOOKUP(TableHandbook[[#This Row],[UDC]],TableMJRUFINCE[],7,FALSE),"")</f>
        <v/>
      </c>
      <c r="AF110" s="66" t="str">
        <f>IFERROR(VLOOKUP(TableHandbook[[#This Row],[UDC]],TableMJRUHRMGM[],7,FALSE),"")</f>
        <v/>
      </c>
      <c r="AG110" s="66" t="str">
        <f>IFERROR(VLOOKUP(TableHandbook[[#This Row],[UDC]],TableMJRUINTBU[],7,FALSE),"")</f>
        <v/>
      </c>
      <c r="AH110" s="66" t="str">
        <f>IFERROR(VLOOKUP(TableHandbook[[#This Row],[UDC]],TableMJRULGSCM[],7,FALSE),"")</f>
        <v/>
      </c>
      <c r="AI110" s="66" t="str">
        <f>IFERROR(VLOOKUP(TableHandbook[[#This Row],[UDC]],TableMJRUMNGMT[],7,FALSE),"")</f>
        <v/>
      </c>
      <c r="AJ110" s="66" t="str">
        <f>IFERROR(VLOOKUP(TableHandbook[[#This Row],[UDC]],TableMJRUMRKTG[],7,FALSE),"")</f>
        <v/>
      </c>
      <c r="AK110" s="66" t="str">
        <f>IFERROR(VLOOKUP(TableHandbook[[#This Row],[UDC]],TableMJRUPRPTY[],7,FALSE),"")</f>
        <v/>
      </c>
      <c r="AL110" s="66" t="str">
        <f>IFERROR(VLOOKUP(TableHandbook[[#This Row],[UDC]],TableMJRUSCRAR[],7,FALSE),"")</f>
        <v/>
      </c>
      <c r="AM110" s="66" t="str">
        <f>IFERROR(VLOOKUP(TableHandbook[[#This Row],[UDC]],TableMJRUTHTRA[],7,FALSE),"")</f>
        <v/>
      </c>
      <c r="AN110" s="66" t="str">
        <f>IFERROR(VLOOKUP(TableHandbook[[#This Row],[UDC]],TableMJRUTRHOS[],7,FALSE),"")</f>
        <v/>
      </c>
    </row>
    <row r="111" spans="1:40" x14ac:dyDescent="0.25">
      <c r="A111" s="8" t="s">
        <v>204</v>
      </c>
      <c r="B111" s="9">
        <v>2</v>
      </c>
      <c r="C111" s="8"/>
      <c r="D111" s="8" t="s">
        <v>633</v>
      </c>
      <c r="E111" s="9">
        <v>25</v>
      </c>
      <c r="F111" s="174" t="s">
        <v>526</v>
      </c>
      <c r="G111" s="67" t="str">
        <f>IFERROR(IF(VLOOKUP(TableHandbook[[#This Row],[UDC]],TableAvailabilities[],2,FALSE)&gt;0,"Y",""),"")</f>
        <v>Y</v>
      </c>
      <c r="H111" s="68" t="str">
        <f>IFERROR(IF(VLOOKUP(TableHandbook[[#This Row],[UDC]],TableAvailabilities[],3,FALSE)&gt;0,"Y",""),"")</f>
        <v>Y</v>
      </c>
      <c r="I111" s="69" t="str">
        <f>IFERROR(IF(VLOOKUP(TableHandbook[[#This Row],[UDC]],TableAvailabilities[],4,FALSE)&gt;0,"Y",""),"")</f>
        <v/>
      </c>
      <c r="J111" s="70" t="str">
        <f>IFERROR(IF(VLOOKUP(TableHandbook[[#This Row],[UDC]],TableAvailabilities[],5,FALSE)&gt;0,"Y",""),"")</f>
        <v/>
      </c>
      <c r="K111" s="163" t="s">
        <v>533</v>
      </c>
      <c r="L111" s="64" t="str">
        <f>IFERROR(VLOOKUP(TableHandbook[[#This Row],[UDC]],TableBARTS[],7,FALSE),"")</f>
        <v/>
      </c>
      <c r="M111" s="65" t="str">
        <f>IFERROR(VLOOKUP(TableHandbook[[#This Row],[UDC]],TableMJRUANTSO[],7,FALSE),"")</f>
        <v/>
      </c>
      <c r="N111" s="65" t="str">
        <f>IFERROR(VLOOKUP(TableHandbook[[#This Row],[UDC]],TableMJRUCHNSE[],7,FALSE),"")</f>
        <v/>
      </c>
      <c r="O111" s="65" t="str">
        <f>IFERROR(VLOOKUP(TableHandbook[[#This Row],[UDC]],TableMJRUCRWRI[],7,FALSE),"")</f>
        <v/>
      </c>
      <c r="P111" s="65" t="str">
        <f>IFERROR(VLOOKUP(TableHandbook[[#This Row],[UDC]],TableMJRUGEOGR[],7,FALSE),"")</f>
        <v/>
      </c>
      <c r="Q111" s="65" t="str">
        <f>IFERROR(VLOOKUP(TableHandbook[[#This Row],[UDC]],TableMJRUHISTR[],7,FALSE),"")</f>
        <v/>
      </c>
      <c r="R111" s="65" t="str">
        <f>IFERROR(VLOOKUP(TableHandbook[[#This Row],[UDC]],TableMJRUINAUC[],7,FALSE),"")</f>
        <v/>
      </c>
      <c r="S111" s="65" t="str">
        <f>IFERROR(VLOOKUP(TableHandbook[[#This Row],[UDC]],TableMJRUINTRL[],7,FALSE),"")</f>
        <v>Core</v>
      </c>
      <c r="T111" s="65" t="str">
        <f>IFERROR(VLOOKUP(TableHandbook[[#This Row],[UDC]],TableMJRUJAPAN[],7,FALSE),"")</f>
        <v/>
      </c>
      <c r="U111" s="65" t="str">
        <f>IFERROR(VLOOKUP(TableHandbook[[#This Row],[UDC]],TableMJRUJOURN[],7,FALSE),"")</f>
        <v/>
      </c>
      <c r="V111" s="65" t="str">
        <f>IFERROR(VLOOKUP(TableHandbook[[#This Row],[UDC]],TableMJRUKORES[],7,FALSE),"")</f>
        <v>AltCore</v>
      </c>
      <c r="W111" s="65" t="str">
        <f>IFERROR(VLOOKUP(TableHandbook[[#This Row],[UDC]],TableMJRULITCU[],7,FALSE),"")</f>
        <v/>
      </c>
      <c r="X111" s="65" t="str">
        <f>IFERROR(VLOOKUP(TableHandbook[[#This Row],[UDC]],TableMJRUNETCM[],7,FALSE),"")</f>
        <v/>
      </c>
      <c r="Y111" s="65" t="str">
        <f>IFERROR(VLOOKUP(TableHandbook[[#This Row],[UDC]],TableMJRUPRWRP[],7,FALSE),"")</f>
        <v/>
      </c>
      <c r="Z111" s="66" t="str">
        <f>IFERROR(VLOOKUP(TableHandbook[[#This Row],[UDC]],TableMJRUSCSTR[],7,FALSE),"")</f>
        <v/>
      </c>
      <c r="AA111" s="74"/>
      <c r="AB111" s="66" t="str">
        <f>IFERROR(VLOOKUP(TableHandbook[[#This Row],[UDC]],TableMJRUBSLAW[],7,FALSE),"")</f>
        <v/>
      </c>
      <c r="AC111" s="66" t="str">
        <f>IFERROR(VLOOKUP(TableHandbook[[#This Row],[UDC]],TableMJRUECONS[],7,FALSE),"")</f>
        <v/>
      </c>
      <c r="AD111" s="66" t="str">
        <f>IFERROR(VLOOKUP(TableHandbook[[#This Row],[UDC]],TableMJRUFINAR[],7,FALSE),"")</f>
        <v/>
      </c>
      <c r="AE111" s="66" t="str">
        <f>IFERROR(VLOOKUP(TableHandbook[[#This Row],[UDC]],TableMJRUFINCE[],7,FALSE),"")</f>
        <v/>
      </c>
      <c r="AF111" s="66" t="str">
        <f>IFERROR(VLOOKUP(TableHandbook[[#This Row],[UDC]],TableMJRUHRMGM[],7,FALSE),"")</f>
        <v/>
      </c>
      <c r="AG111" s="66" t="str">
        <f>IFERROR(VLOOKUP(TableHandbook[[#This Row],[UDC]],TableMJRUINTBU[],7,FALSE),"")</f>
        <v/>
      </c>
      <c r="AH111" s="66" t="str">
        <f>IFERROR(VLOOKUP(TableHandbook[[#This Row],[UDC]],TableMJRULGSCM[],7,FALSE),"")</f>
        <v/>
      </c>
      <c r="AI111" s="66" t="str">
        <f>IFERROR(VLOOKUP(TableHandbook[[#This Row],[UDC]],TableMJRUMNGMT[],7,FALSE),"")</f>
        <v/>
      </c>
      <c r="AJ111" s="66" t="str">
        <f>IFERROR(VLOOKUP(TableHandbook[[#This Row],[UDC]],TableMJRUMRKTG[],7,FALSE),"")</f>
        <v/>
      </c>
      <c r="AK111" s="66" t="str">
        <f>IFERROR(VLOOKUP(TableHandbook[[#This Row],[UDC]],TableMJRUPRPTY[],7,FALSE),"")</f>
        <v/>
      </c>
      <c r="AL111" s="66" t="str">
        <f>IFERROR(VLOOKUP(TableHandbook[[#This Row],[UDC]],TableMJRUSCRAR[],7,FALSE),"")</f>
        <v/>
      </c>
      <c r="AM111" s="66" t="str">
        <f>IFERROR(VLOOKUP(TableHandbook[[#This Row],[UDC]],TableMJRUTHTRA[],7,FALSE),"")</f>
        <v/>
      </c>
      <c r="AN111" s="66" t="str">
        <f>IFERROR(VLOOKUP(TableHandbook[[#This Row],[UDC]],TableMJRUTRHOS[],7,FALSE),"")</f>
        <v/>
      </c>
    </row>
    <row r="112" spans="1:40" x14ac:dyDescent="0.25">
      <c r="A112" s="8" t="s">
        <v>634</v>
      </c>
      <c r="B112" s="9">
        <v>1</v>
      </c>
      <c r="C112" s="8"/>
      <c r="D112" s="8" t="s">
        <v>635</v>
      </c>
      <c r="E112" s="9">
        <v>25</v>
      </c>
      <c r="F112" s="49" t="s">
        <v>526</v>
      </c>
      <c r="G112" s="67" t="str">
        <f>IFERROR(IF(VLOOKUP(TableHandbook[[#This Row],[UDC]],TableAvailabilities[],2,FALSE)&gt;0,"Y",""),"")</f>
        <v/>
      </c>
      <c r="H112" s="68" t="str">
        <f>IFERROR(IF(VLOOKUP(TableHandbook[[#This Row],[UDC]],TableAvailabilities[],3,FALSE)&gt;0,"Y",""),"")</f>
        <v/>
      </c>
      <c r="I112" s="69" t="str">
        <f>IFERROR(IF(VLOOKUP(TableHandbook[[#This Row],[UDC]],TableAvailabilities[],4,FALSE)&gt;0,"Y",""),"")</f>
        <v/>
      </c>
      <c r="J112" s="70" t="str">
        <f>IFERROR(IF(VLOOKUP(TableHandbook[[#This Row],[UDC]],TableAvailabilities[],5,FALSE)&gt;0,"Y",""),"")</f>
        <v/>
      </c>
      <c r="K112" s="163" t="s">
        <v>535</v>
      </c>
      <c r="L112" s="64" t="str">
        <f>IFERROR(VLOOKUP(TableHandbook[[#This Row],[UDC]],TableBARTS[],7,FALSE),"")</f>
        <v/>
      </c>
      <c r="M112" s="65" t="str">
        <f>IFERROR(VLOOKUP(TableHandbook[[#This Row],[UDC]],TableMJRUANTSO[],7,FALSE),"")</f>
        <v/>
      </c>
      <c r="N112" s="65" t="str">
        <f>IFERROR(VLOOKUP(TableHandbook[[#This Row],[UDC]],TableMJRUCHNSE[],7,FALSE),"")</f>
        <v/>
      </c>
      <c r="O112" s="65" t="str">
        <f>IFERROR(VLOOKUP(TableHandbook[[#This Row],[UDC]],TableMJRUCRWRI[],7,FALSE),"")</f>
        <v/>
      </c>
      <c r="P112" s="65" t="str">
        <f>IFERROR(VLOOKUP(TableHandbook[[#This Row],[UDC]],TableMJRUGEOGR[],7,FALSE),"")</f>
        <v/>
      </c>
      <c r="Q112" s="65" t="str">
        <f>IFERROR(VLOOKUP(TableHandbook[[#This Row],[UDC]],TableMJRUHISTR[],7,FALSE),"")</f>
        <v/>
      </c>
      <c r="R112" s="65" t="str">
        <f>IFERROR(VLOOKUP(TableHandbook[[#This Row],[UDC]],TableMJRUINAUC[],7,FALSE),"")</f>
        <v/>
      </c>
      <c r="S112" s="65" t="str">
        <f>IFERROR(VLOOKUP(TableHandbook[[#This Row],[UDC]],TableMJRUINTRL[],7,FALSE),"")</f>
        <v/>
      </c>
      <c r="T112" s="65" t="str">
        <f>IFERROR(VLOOKUP(TableHandbook[[#This Row],[UDC]],TableMJRUJAPAN[],7,FALSE),"")</f>
        <v/>
      </c>
      <c r="U112" s="65" t="str">
        <f>IFERROR(VLOOKUP(TableHandbook[[#This Row],[UDC]],TableMJRUJOURN[],7,FALSE),"")</f>
        <v/>
      </c>
      <c r="V112" s="65" t="str">
        <f>IFERROR(VLOOKUP(TableHandbook[[#This Row],[UDC]],TableMJRUKORES[],7,FALSE),"")</f>
        <v/>
      </c>
      <c r="W112" s="65" t="str">
        <f>IFERROR(VLOOKUP(TableHandbook[[#This Row],[UDC]],TableMJRULITCU[],7,FALSE),"")</f>
        <v/>
      </c>
      <c r="X112" s="65" t="str">
        <f>IFERROR(VLOOKUP(TableHandbook[[#This Row],[UDC]],TableMJRUNETCM[],7,FALSE),"")</f>
        <v/>
      </c>
      <c r="Y112" s="65" t="str">
        <f>IFERROR(VLOOKUP(TableHandbook[[#This Row],[UDC]],TableMJRUPRWRP[],7,FALSE),"")</f>
        <v/>
      </c>
      <c r="Z112" s="66" t="str">
        <f>IFERROR(VLOOKUP(TableHandbook[[#This Row],[UDC]],TableMJRUSCSTR[],7,FALSE),"")</f>
        <v/>
      </c>
      <c r="AA112" s="74"/>
      <c r="AB112" s="66" t="str">
        <f>IFERROR(VLOOKUP(TableHandbook[[#This Row],[UDC]],TableMJRUBSLAW[],7,FALSE),"")</f>
        <v/>
      </c>
      <c r="AC112" s="66" t="str">
        <f>IFERROR(VLOOKUP(TableHandbook[[#This Row],[UDC]],TableMJRUECONS[],7,FALSE),"")</f>
        <v/>
      </c>
      <c r="AD112" s="66" t="str">
        <f>IFERROR(VLOOKUP(TableHandbook[[#This Row],[UDC]],TableMJRUFINAR[],7,FALSE),"")</f>
        <v/>
      </c>
      <c r="AE112" s="66" t="str">
        <f>IFERROR(VLOOKUP(TableHandbook[[#This Row],[UDC]],TableMJRUFINCE[],7,FALSE),"")</f>
        <v/>
      </c>
      <c r="AF112" s="66" t="str">
        <f>IFERROR(VLOOKUP(TableHandbook[[#This Row],[UDC]],TableMJRUHRMGM[],7,FALSE),"")</f>
        <v/>
      </c>
      <c r="AG112" s="66" t="str">
        <f>IFERROR(VLOOKUP(TableHandbook[[#This Row],[UDC]],TableMJRUINTBU[],7,FALSE),"")</f>
        <v/>
      </c>
      <c r="AH112" s="66" t="str">
        <f>IFERROR(VLOOKUP(TableHandbook[[#This Row],[UDC]],TableMJRULGSCM[],7,FALSE),"")</f>
        <v/>
      </c>
      <c r="AI112" s="66" t="str">
        <f>IFERROR(VLOOKUP(TableHandbook[[#This Row],[UDC]],TableMJRUMNGMT[],7,FALSE),"")</f>
        <v/>
      </c>
      <c r="AJ112" s="66" t="str">
        <f>IFERROR(VLOOKUP(TableHandbook[[#This Row],[UDC]],TableMJRUMRKTG[],7,FALSE),"")</f>
        <v/>
      </c>
      <c r="AK112" s="66" t="str">
        <f>IFERROR(VLOOKUP(TableHandbook[[#This Row],[UDC]],TableMJRUPRPTY[],7,FALSE),"")</f>
        <v/>
      </c>
      <c r="AL112" s="66" t="str">
        <f>IFERROR(VLOOKUP(TableHandbook[[#This Row],[UDC]],TableMJRUSCRAR[],7,FALSE),"")</f>
        <v/>
      </c>
      <c r="AM112" s="66" t="str">
        <f>IFERROR(VLOOKUP(TableHandbook[[#This Row],[UDC]],TableMJRUTHTRA[],7,FALSE),"")</f>
        <v/>
      </c>
      <c r="AN112" s="66" t="str">
        <f>IFERROR(VLOOKUP(TableHandbook[[#This Row],[UDC]],TableMJRUTRHOS[],7,FALSE),"")</f>
        <v/>
      </c>
    </row>
    <row r="113" spans="1:40" x14ac:dyDescent="0.25">
      <c r="A113" s="8" t="s">
        <v>230</v>
      </c>
      <c r="B113" s="9">
        <v>1</v>
      </c>
      <c r="C113" s="8"/>
      <c r="D113" s="8" t="s">
        <v>636</v>
      </c>
      <c r="E113" s="9">
        <v>25</v>
      </c>
      <c r="F113" s="174" t="s">
        <v>526</v>
      </c>
      <c r="G113" s="67" t="str">
        <f>IFERROR(IF(VLOOKUP(TableHandbook[[#This Row],[UDC]],TableAvailabilities[],2,FALSE)&gt;0,"Y",""),"")</f>
        <v/>
      </c>
      <c r="H113" s="68" t="str">
        <f>IFERROR(IF(VLOOKUP(TableHandbook[[#This Row],[UDC]],TableAvailabilities[],3,FALSE)&gt;0,"Y",""),"")</f>
        <v/>
      </c>
      <c r="I113" s="69" t="str">
        <f>IFERROR(IF(VLOOKUP(TableHandbook[[#This Row],[UDC]],TableAvailabilities[],4,FALSE)&gt;0,"Y",""),"")</f>
        <v>Y</v>
      </c>
      <c r="J113" s="70" t="str">
        <f>IFERROR(IF(VLOOKUP(TableHandbook[[#This Row],[UDC]],TableAvailabilities[],5,FALSE)&gt;0,"Y",""),"")</f>
        <v>Y</v>
      </c>
      <c r="K113" s="163"/>
      <c r="L113" s="64" t="str">
        <f>IFERROR(VLOOKUP(TableHandbook[[#This Row],[UDC]],TableBARTS[],7,FALSE),"")</f>
        <v/>
      </c>
      <c r="M113" s="65" t="str">
        <f>IFERROR(VLOOKUP(TableHandbook[[#This Row],[UDC]],TableMJRUANTSO[],7,FALSE),"")</f>
        <v/>
      </c>
      <c r="N113" s="65" t="str">
        <f>IFERROR(VLOOKUP(TableHandbook[[#This Row],[UDC]],TableMJRUCHNSE[],7,FALSE),"")</f>
        <v/>
      </c>
      <c r="O113" s="65" t="str">
        <f>IFERROR(VLOOKUP(TableHandbook[[#This Row],[UDC]],TableMJRUCRWRI[],7,FALSE),"")</f>
        <v/>
      </c>
      <c r="P113" s="65" t="str">
        <f>IFERROR(VLOOKUP(TableHandbook[[#This Row],[UDC]],TableMJRUGEOGR[],7,FALSE),"")</f>
        <v/>
      </c>
      <c r="Q113" s="65" t="str">
        <f>IFERROR(VLOOKUP(TableHandbook[[#This Row],[UDC]],TableMJRUHISTR[],7,FALSE),"")</f>
        <v/>
      </c>
      <c r="R113" s="65" t="str">
        <f>IFERROR(VLOOKUP(TableHandbook[[#This Row],[UDC]],TableMJRUINAUC[],7,FALSE),"")</f>
        <v/>
      </c>
      <c r="S113" s="65" t="str">
        <f>IFERROR(VLOOKUP(TableHandbook[[#This Row],[UDC]],TableMJRUINTRL[],7,FALSE),"")</f>
        <v>Core</v>
      </c>
      <c r="T113" s="65" t="str">
        <f>IFERROR(VLOOKUP(TableHandbook[[#This Row],[UDC]],TableMJRUJAPAN[],7,FALSE),"")</f>
        <v/>
      </c>
      <c r="U113" s="65" t="str">
        <f>IFERROR(VLOOKUP(TableHandbook[[#This Row],[UDC]],TableMJRUJOURN[],7,FALSE),"")</f>
        <v/>
      </c>
      <c r="V113" s="65" t="str">
        <f>IFERROR(VLOOKUP(TableHandbook[[#This Row],[UDC]],TableMJRUKORES[],7,FALSE),"")</f>
        <v/>
      </c>
      <c r="W113" s="65" t="str">
        <f>IFERROR(VLOOKUP(TableHandbook[[#This Row],[UDC]],TableMJRULITCU[],7,FALSE),"")</f>
        <v/>
      </c>
      <c r="X113" s="65" t="str">
        <f>IFERROR(VLOOKUP(TableHandbook[[#This Row],[UDC]],TableMJRUNETCM[],7,FALSE),"")</f>
        <v/>
      </c>
      <c r="Y113" s="65" t="str">
        <f>IFERROR(VLOOKUP(TableHandbook[[#This Row],[UDC]],TableMJRUPRWRP[],7,FALSE),"")</f>
        <v/>
      </c>
      <c r="Z113" s="66" t="str">
        <f>IFERROR(VLOOKUP(TableHandbook[[#This Row],[UDC]],TableMJRUSCSTR[],7,FALSE),"")</f>
        <v/>
      </c>
      <c r="AA113" s="74"/>
      <c r="AB113" s="66" t="str">
        <f>IFERROR(VLOOKUP(TableHandbook[[#This Row],[UDC]],TableMJRUBSLAW[],7,FALSE),"")</f>
        <v/>
      </c>
      <c r="AC113" s="66" t="str">
        <f>IFERROR(VLOOKUP(TableHandbook[[#This Row],[UDC]],TableMJRUECONS[],7,FALSE),"")</f>
        <v/>
      </c>
      <c r="AD113" s="66" t="str">
        <f>IFERROR(VLOOKUP(TableHandbook[[#This Row],[UDC]],TableMJRUFINAR[],7,FALSE),"")</f>
        <v/>
      </c>
      <c r="AE113" s="66" t="str">
        <f>IFERROR(VLOOKUP(TableHandbook[[#This Row],[UDC]],TableMJRUFINCE[],7,FALSE),"")</f>
        <v/>
      </c>
      <c r="AF113" s="66" t="str">
        <f>IFERROR(VLOOKUP(TableHandbook[[#This Row],[UDC]],TableMJRUHRMGM[],7,FALSE),"")</f>
        <v/>
      </c>
      <c r="AG113" s="66" t="str">
        <f>IFERROR(VLOOKUP(TableHandbook[[#This Row],[UDC]],TableMJRUINTBU[],7,FALSE),"")</f>
        <v/>
      </c>
      <c r="AH113" s="66" t="str">
        <f>IFERROR(VLOOKUP(TableHandbook[[#This Row],[UDC]],TableMJRULGSCM[],7,FALSE),"")</f>
        <v/>
      </c>
      <c r="AI113" s="66" t="str">
        <f>IFERROR(VLOOKUP(TableHandbook[[#This Row],[UDC]],TableMJRUMNGMT[],7,FALSE),"")</f>
        <v/>
      </c>
      <c r="AJ113" s="66" t="str">
        <f>IFERROR(VLOOKUP(TableHandbook[[#This Row],[UDC]],TableMJRUMRKTG[],7,FALSE),"")</f>
        <v/>
      </c>
      <c r="AK113" s="66" t="str">
        <f>IFERROR(VLOOKUP(TableHandbook[[#This Row],[UDC]],TableMJRUPRPTY[],7,FALSE),"")</f>
        <v/>
      </c>
      <c r="AL113" s="66" t="str">
        <f>IFERROR(VLOOKUP(TableHandbook[[#This Row],[UDC]],TableMJRUSCRAR[],7,FALSE),"")</f>
        <v/>
      </c>
      <c r="AM113" s="66" t="str">
        <f>IFERROR(VLOOKUP(TableHandbook[[#This Row],[UDC]],TableMJRUTHTRA[],7,FALSE),"")</f>
        <v/>
      </c>
      <c r="AN113" s="66" t="str">
        <f>IFERROR(VLOOKUP(TableHandbook[[#This Row],[UDC]],TableMJRUTRHOS[],7,FALSE),"")</f>
        <v/>
      </c>
    </row>
    <row r="114" spans="1:40" x14ac:dyDescent="0.25">
      <c r="A114" s="8" t="s">
        <v>282</v>
      </c>
      <c r="B114" s="9">
        <v>1</v>
      </c>
      <c r="C114" s="8"/>
      <c r="D114" s="8" t="s">
        <v>637</v>
      </c>
      <c r="E114" s="9">
        <v>25</v>
      </c>
      <c r="F114" s="174" t="s">
        <v>526</v>
      </c>
      <c r="G114" s="67" t="str">
        <f>IFERROR(IF(VLOOKUP(TableHandbook[[#This Row],[UDC]],TableAvailabilities[],2,FALSE)&gt;0,"Y",""),"")</f>
        <v>Y</v>
      </c>
      <c r="H114" s="68" t="str">
        <f>IFERROR(IF(VLOOKUP(TableHandbook[[#This Row],[UDC]],TableAvailabilities[],3,FALSE)&gt;0,"Y",""),"")</f>
        <v>Y</v>
      </c>
      <c r="I114" s="69" t="str">
        <f>IFERROR(IF(VLOOKUP(TableHandbook[[#This Row],[UDC]],TableAvailabilities[],4,FALSE)&gt;0,"Y",""),"")</f>
        <v/>
      </c>
      <c r="J114" s="70" t="str">
        <f>IFERROR(IF(VLOOKUP(TableHandbook[[#This Row],[UDC]],TableAvailabilities[],5,FALSE)&gt;0,"Y",""),"")</f>
        <v/>
      </c>
      <c r="K114" s="163"/>
      <c r="L114" s="64" t="str">
        <f>IFERROR(VLOOKUP(TableHandbook[[#This Row],[UDC]],TableBARTS[],7,FALSE),"")</f>
        <v/>
      </c>
      <c r="M114" s="65" t="str">
        <f>IFERROR(VLOOKUP(TableHandbook[[#This Row],[UDC]],TableMJRUANTSO[],7,FALSE),"")</f>
        <v/>
      </c>
      <c r="N114" s="65" t="str">
        <f>IFERROR(VLOOKUP(TableHandbook[[#This Row],[UDC]],TableMJRUCHNSE[],7,FALSE),"")</f>
        <v/>
      </c>
      <c r="O114" s="65" t="str">
        <f>IFERROR(VLOOKUP(TableHandbook[[#This Row],[UDC]],TableMJRUCRWRI[],7,FALSE),"")</f>
        <v/>
      </c>
      <c r="P114" s="65" t="str">
        <f>IFERROR(VLOOKUP(TableHandbook[[#This Row],[UDC]],TableMJRUGEOGR[],7,FALSE),"")</f>
        <v/>
      </c>
      <c r="Q114" s="65" t="str">
        <f>IFERROR(VLOOKUP(TableHandbook[[#This Row],[UDC]],TableMJRUHISTR[],7,FALSE),"")</f>
        <v/>
      </c>
      <c r="R114" s="65" t="str">
        <f>IFERROR(VLOOKUP(TableHandbook[[#This Row],[UDC]],TableMJRUINAUC[],7,FALSE),"")</f>
        <v/>
      </c>
      <c r="S114" s="65" t="str">
        <f>IFERROR(VLOOKUP(TableHandbook[[#This Row],[UDC]],TableMJRUINTRL[],7,FALSE),"")</f>
        <v>Core</v>
      </c>
      <c r="T114" s="65" t="str">
        <f>IFERROR(VLOOKUP(TableHandbook[[#This Row],[UDC]],TableMJRUJAPAN[],7,FALSE),"")</f>
        <v/>
      </c>
      <c r="U114" s="65" t="str">
        <f>IFERROR(VLOOKUP(TableHandbook[[#This Row],[UDC]],TableMJRUJOURN[],7,FALSE),"")</f>
        <v/>
      </c>
      <c r="V114" s="65" t="str">
        <f>IFERROR(VLOOKUP(TableHandbook[[#This Row],[UDC]],TableMJRUKORES[],7,FALSE),"")</f>
        <v/>
      </c>
      <c r="W114" s="65" t="str">
        <f>IFERROR(VLOOKUP(TableHandbook[[#This Row],[UDC]],TableMJRULITCU[],7,FALSE),"")</f>
        <v/>
      </c>
      <c r="X114" s="65" t="str">
        <f>IFERROR(VLOOKUP(TableHandbook[[#This Row],[UDC]],TableMJRUNETCM[],7,FALSE),"")</f>
        <v/>
      </c>
      <c r="Y114" s="65" t="str">
        <f>IFERROR(VLOOKUP(TableHandbook[[#This Row],[UDC]],TableMJRUPRWRP[],7,FALSE),"")</f>
        <v/>
      </c>
      <c r="Z114" s="66" t="str">
        <f>IFERROR(VLOOKUP(TableHandbook[[#This Row],[UDC]],TableMJRUSCSTR[],7,FALSE),"")</f>
        <v/>
      </c>
      <c r="AA114" s="74"/>
      <c r="AB114" s="66" t="str">
        <f>IFERROR(VLOOKUP(TableHandbook[[#This Row],[UDC]],TableMJRUBSLAW[],7,FALSE),"")</f>
        <v/>
      </c>
      <c r="AC114" s="66" t="str">
        <f>IFERROR(VLOOKUP(TableHandbook[[#This Row],[UDC]],TableMJRUECONS[],7,FALSE),"")</f>
        <v/>
      </c>
      <c r="AD114" s="66" t="str">
        <f>IFERROR(VLOOKUP(TableHandbook[[#This Row],[UDC]],TableMJRUFINAR[],7,FALSE),"")</f>
        <v/>
      </c>
      <c r="AE114" s="66" t="str">
        <f>IFERROR(VLOOKUP(TableHandbook[[#This Row],[UDC]],TableMJRUFINCE[],7,FALSE),"")</f>
        <v/>
      </c>
      <c r="AF114" s="66" t="str">
        <f>IFERROR(VLOOKUP(TableHandbook[[#This Row],[UDC]],TableMJRUHRMGM[],7,FALSE),"")</f>
        <v/>
      </c>
      <c r="AG114" s="66" t="str">
        <f>IFERROR(VLOOKUP(TableHandbook[[#This Row],[UDC]],TableMJRUINTBU[],7,FALSE),"")</f>
        <v/>
      </c>
      <c r="AH114" s="66" t="str">
        <f>IFERROR(VLOOKUP(TableHandbook[[#This Row],[UDC]],TableMJRULGSCM[],7,FALSE),"")</f>
        <v/>
      </c>
      <c r="AI114" s="66" t="str">
        <f>IFERROR(VLOOKUP(TableHandbook[[#This Row],[UDC]],TableMJRUMNGMT[],7,FALSE),"")</f>
        <v/>
      </c>
      <c r="AJ114" s="66" t="str">
        <f>IFERROR(VLOOKUP(TableHandbook[[#This Row],[UDC]],TableMJRUMRKTG[],7,FALSE),"")</f>
        <v/>
      </c>
      <c r="AK114" s="66" t="str">
        <f>IFERROR(VLOOKUP(TableHandbook[[#This Row],[UDC]],TableMJRUPRPTY[],7,FALSE),"")</f>
        <v/>
      </c>
      <c r="AL114" s="66" t="str">
        <f>IFERROR(VLOOKUP(TableHandbook[[#This Row],[UDC]],TableMJRUSCRAR[],7,FALSE),"")</f>
        <v/>
      </c>
      <c r="AM114" s="66" t="str">
        <f>IFERROR(VLOOKUP(TableHandbook[[#This Row],[UDC]],TableMJRUTHTRA[],7,FALSE),"")</f>
        <v/>
      </c>
      <c r="AN114" s="66" t="str">
        <f>IFERROR(VLOOKUP(TableHandbook[[#This Row],[UDC]],TableMJRUTRHOS[],7,FALSE),"")</f>
        <v/>
      </c>
    </row>
    <row r="115" spans="1:40" x14ac:dyDescent="0.25">
      <c r="A115" s="8" t="s">
        <v>258</v>
      </c>
      <c r="B115" s="9">
        <v>1</v>
      </c>
      <c r="C115" s="8"/>
      <c r="D115" s="8" t="s">
        <v>638</v>
      </c>
      <c r="E115" s="9">
        <v>25</v>
      </c>
      <c r="F115" s="174" t="s">
        <v>526</v>
      </c>
      <c r="G115" s="67" t="str">
        <f>IFERROR(IF(VLOOKUP(TableHandbook[[#This Row],[UDC]],TableAvailabilities[],2,FALSE)&gt;0,"Y",""),"")</f>
        <v>Y</v>
      </c>
      <c r="H115" s="68" t="str">
        <f>IFERROR(IF(VLOOKUP(TableHandbook[[#This Row],[UDC]],TableAvailabilities[],3,FALSE)&gt;0,"Y",""),"")</f>
        <v>Y</v>
      </c>
      <c r="I115" s="69" t="str">
        <f>IFERROR(IF(VLOOKUP(TableHandbook[[#This Row],[UDC]],TableAvailabilities[],4,FALSE)&gt;0,"Y",""),"")</f>
        <v/>
      </c>
      <c r="J115" s="70" t="str">
        <f>IFERROR(IF(VLOOKUP(TableHandbook[[#This Row],[UDC]],TableAvailabilities[],5,FALSE)&gt;0,"Y",""),"")</f>
        <v/>
      </c>
      <c r="K115" s="163"/>
      <c r="L115" s="64" t="str">
        <f>IFERROR(VLOOKUP(TableHandbook[[#This Row],[UDC]],TableBARTS[],7,FALSE),"")</f>
        <v/>
      </c>
      <c r="M115" s="65" t="str">
        <f>IFERROR(VLOOKUP(TableHandbook[[#This Row],[UDC]],TableMJRUANTSO[],7,FALSE),"")</f>
        <v/>
      </c>
      <c r="N115" s="65" t="str">
        <f>IFERROR(VLOOKUP(TableHandbook[[#This Row],[UDC]],TableMJRUCHNSE[],7,FALSE),"")</f>
        <v/>
      </c>
      <c r="O115" s="65" t="str">
        <f>IFERROR(VLOOKUP(TableHandbook[[#This Row],[UDC]],TableMJRUCRWRI[],7,FALSE),"")</f>
        <v/>
      </c>
      <c r="P115" s="65" t="str">
        <f>IFERROR(VLOOKUP(TableHandbook[[#This Row],[UDC]],TableMJRUGEOGR[],7,FALSE),"")</f>
        <v/>
      </c>
      <c r="Q115" s="65" t="str">
        <f>IFERROR(VLOOKUP(TableHandbook[[#This Row],[UDC]],TableMJRUHISTR[],7,FALSE),"")</f>
        <v/>
      </c>
      <c r="R115" s="65" t="str">
        <f>IFERROR(VLOOKUP(TableHandbook[[#This Row],[UDC]],TableMJRUINAUC[],7,FALSE),"")</f>
        <v/>
      </c>
      <c r="S115" s="65" t="str">
        <f>IFERROR(VLOOKUP(TableHandbook[[#This Row],[UDC]],TableMJRUINTRL[],7,FALSE),"")</f>
        <v>Core</v>
      </c>
      <c r="T115" s="65" t="str">
        <f>IFERROR(VLOOKUP(TableHandbook[[#This Row],[UDC]],TableMJRUJAPAN[],7,FALSE),"")</f>
        <v/>
      </c>
      <c r="U115" s="65" t="str">
        <f>IFERROR(VLOOKUP(TableHandbook[[#This Row],[UDC]],TableMJRUJOURN[],7,FALSE),"")</f>
        <v/>
      </c>
      <c r="V115" s="65" t="str">
        <f>IFERROR(VLOOKUP(TableHandbook[[#This Row],[UDC]],TableMJRUKORES[],7,FALSE),"")</f>
        <v/>
      </c>
      <c r="W115" s="65" t="str">
        <f>IFERROR(VLOOKUP(TableHandbook[[#This Row],[UDC]],TableMJRULITCU[],7,FALSE),"")</f>
        <v/>
      </c>
      <c r="X115" s="65" t="str">
        <f>IFERROR(VLOOKUP(TableHandbook[[#This Row],[UDC]],TableMJRUNETCM[],7,FALSE),"")</f>
        <v/>
      </c>
      <c r="Y115" s="65" t="str">
        <f>IFERROR(VLOOKUP(TableHandbook[[#This Row],[UDC]],TableMJRUPRWRP[],7,FALSE),"")</f>
        <v/>
      </c>
      <c r="Z115" s="66" t="str">
        <f>IFERROR(VLOOKUP(TableHandbook[[#This Row],[UDC]],TableMJRUSCSTR[],7,FALSE),"")</f>
        <v/>
      </c>
      <c r="AA115" s="74"/>
      <c r="AB115" s="66" t="str">
        <f>IFERROR(VLOOKUP(TableHandbook[[#This Row],[UDC]],TableMJRUBSLAW[],7,FALSE),"")</f>
        <v/>
      </c>
      <c r="AC115" s="66" t="str">
        <f>IFERROR(VLOOKUP(TableHandbook[[#This Row],[UDC]],TableMJRUECONS[],7,FALSE),"")</f>
        <v/>
      </c>
      <c r="AD115" s="66" t="str">
        <f>IFERROR(VLOOKUP(TableHandbook[[#This Row],[UDC]],TableMJRUFINAR[],7,FALSE),"")</f>
        <v/>
      </c>
      <c r="AE115" s="66" t="str">
        <f>IFERROR(VLOOKUP(TableHandbook[[#This Row],[UDC]],TableMJRUFINCE[],7,FALSE),"")</f>
        <v/>
      </c>
      <c r="AF115" s="66" t="str">
        <f>IFERROR(VLOOKUP(TableHandbook[[#This Row],[UDC]],TableMJRUHRMGM[],7,FALSE),"")</f>
        <v/>
      </c>
      <c r="AG115" s="66" t="str">
        <f>IFERROR(VLOOKUP(TableHandbook[[#This Row],[UDC]],TableMJRUINTBU[],7,FALSE),"")</f>
        <v/>
      </c>
      <c r="AH115" s="66" t="str">
        <f>IFERROR(VLOOKUP(TableHandbook[[#This Row],[UDC]],TableMJRULGSCM[],7,FALSE),"")</f>
        <v/>
      </c>
      <c r="AI115" s="66" t="str">
        <f>IFERROR(VLOOKUP(TableHandbook[[#This Row],[UDC]],TableMJRUMNGMT[],7,FALSE),"")</f>
        <v/>
      </c>
      <c r="AJ115" s="66" t="str">
        <f>IFERROR(VLOOKUP(TableHandbook[[#This Row],[UDC]],TableMJRUMRKTG[],7,FALSE),"")</f>
        <v/>
      </c>
      <c r="AK115" s="66" t="str">
        <f>IFERROR(VLOOKUP(TableHandbook[[#This Row],[UDC]],TableMJRUPRPTY[],7,FALSE),"")</f>
        <v/>
      </c>
      <c r="AL115" s="66" t="str">
        <f>IFERROR(VLOOKUP(TableHandbook[[#This Row],[UDC]],TableMJRUSCRAR[],7,FALSE),"")</f>
        <v/>
      </c>
      <c r="AM115" s="66" t="str">
        <f>IFERROR(VLOOKUP(TableHandbook[[#This Row],[UDC]],TableMJRUTHTRA[],7,FALSE),"")</f>
        <v/>
      </c>
      <c r="AN115" s="66" t="str">
        <f>IFERROR(VLOOKUP(TableHandbook[[#This Row],[UDC]],TableMJRUTRHOS[],7,FALSE),"")</f>
        <v/>
      </c>
    </row>
    <row r="116" spans="1:40" ht="26.25" x14ac:dyDescent="0.25">
      <c r="A116" s="8" t="s">
        <v>475</v>
      </c>
      <c r="B116" s="9">
        <v>1</v>
      </c>
      <c r="C116" s="8"/>
      <c r="D116" s="8" t="s">
        <v>639</v>
      </c>
      <c r="E116" s="9">
        <v>25</v>
      </c>
      <c r="F116" s="49" t="s">
        <v>640</v>
      </c>
      <c r="G116" s="67" t="str">
        <f>IFERROR(IF(VLOOKUP(TableHandbook[[#This Row],[UDC]],TableAvailabilities[],2,FALSE)&gt;0,"Y",""),"")</f>
        <v>Y</v>
      </c>
      <c r="H116" s="68" t="str">
        <f>IFERROR(IF(VLOOKUP(TableHandbook[[#This Row],[UDC]],TableAvailabilities[],3,FALSE)&gt;0,"Y",""),"")</f>
        <v>Y</v>
      </c>
      <c r="I116" s="69" t="str">
        <f>IFERROR(IF(VLOOKUP(TableHandbook[[#This Row],[UDC]],TableAvailabilities[],4,FALSE)&gt;0,"Y",""),"")</f>
        <v>Y</v>
      </c>
      <c r="J116" s="70" t="str">
        <f>IFERROR(IF(VLOOKUP(TableHandbook[[#This Row],[UDC]],TableAvailabilities[],5,FALSE)&gt;0,"Y",""),"")</f>
        <v>Y</v>
      </c>
      <c r="K116" s="163"/>
      <c r="L116" s="64" t="str">
        <f>IFERROR(VLOOKUP(TableHandbook[[#This Row],[UDC]],TableBARTS[],7,FALSE),"")</f>
        <v/>
      </c>
      <c r="M116" s="65" t="str">
        <f>IFERROR(VLOOKUP(TableHandbook[[#This Row],[UDC]],TableMJRUANTSO[],7,FALSE),"")</f>
        <v/>
      </c>
      <c r="N116" s="65" t="str">
        <f>IFERROR(VLOOKUP(TableHandbook[[#This Row],[UDC]],TableMJRUCHNSE[],7,FALSE),"")</f>
        <v/>
      </c>
      <c r="O116" s="65" t="str">
        <f>IFERROR(VLOOKUP(TableHandbook[[#This Row],[UDC]],TableMJRUCRWRI[],7,FALSE),"")</f>
        <v/>
      </c>
      <c r="P116" s="65" t="str">
        <f>IFERROR(VLOOKUP(TableHandbook[[#This Row],[UDC]],TableMJRUGEOGR[],7,FALSE),"")</f>
        <v/>
      </c>
      <c r="Q116" s="65" t="str">
        <f>IFERROR(VLOOKUP(TableHandbook[[#This Row],[UDC]],TableMJRUHISTR[],7,FALSE),"")</f>
        <v/>
      </c>
      <c r="R116" s="65" t="str">
        <f>IFERROR(VLOOKUP(TableHandbook[[#This Row],[UDC]],TableMJRUINAUC[],7,FALSE),"")</f>
        <v/>
      </c>
      <c r="S116" s="65" t="str">
        <f>IFERROR(VLOOKUP(TableHandbook[[#This Row],[UDC]],TableMJRUINTRL[],7,FALSE),"")</f>
        <v/>
      </c>
      <c r="T116" s="65" t="str">
        <f>IFERROR(VLOOKUP(TableHandbook[[#This Row],[UDC]],TableMJRUJAPAN[],7,FALSE),"")</f>
        <v/>
      </c>
      <c r="U116" s="65" t="str">
        <f>IFERROR(VLOOKUP(TableHandbook[[#This Row],[UDC]],TableMJRUJOURN[],7,FALSE),"")</f>
        <v/>
      </c>
      <c r="V116" s="65" t="str">
        <f>IFERROR(VLOOKUP(TableHandbook[[#This Row],[UDC]],TableMJRUKORES[],7,FALSE),"")</f>
        <v/>
      </c>
      <c r="W116" s="65" t="str">
        <f>IFERROR(VLOOKUP(TableHandbook[[#This Row],[UDC]],TableMJRULITCU[],7,FALSE),"")</f>
        <v/>
      </c>
      <c r="X116" s="65" t="str">
        <f>IFERROR(VLOOKUP(TableHandbook[[#This Row],[UDC]],TableMJRUNETCM[],7,FALSE),"")</f>
        <v/>
      </c>
      <c r="Y116" s="65" t="str">
        <f>IFERROR(VLOOKUP(TableHandbook[[#This Row],[UDC]],TableMJRUPRWRP[],7,FALSE),"")</f>
        <v/>
      </c>
      <c r="Z116" s="66" t="str">
        <f>IFERROR(VLOOKUP(TableHandbook[[#This Row],[UDC]],TableMJRUSCSTR[],7,FALSE),"")</f>
        <v/>
      </c>
      <c r="AA116" s="74"/>
      <c r="AB116" s="66" t="str">
        <f>IFERROR(VLOOKUP(TableHandbook[[#This Row],[UDC]],TableMJRUBSLAW[],7,FALSE),"")</f>
        <v/>
      </c>
      <c r="AC116" s="66" t="str">
        <f>IFERROR(VLOOKUP(TableHandbook[[#This Row],[UDC]],TableMJRUECONS[],7,FALSE),"")</f>
        <v/>
      </c>
      <c r="AD116" s="66" t="str">
        <f>IFERROR(VLOOKUP(TableHandbook[[#This Row],[UDC]],TableMJRUFINAR[],7,FALSE),"")</f>
        <v/>
      </c>
      <c r="AE116" s="66" t="str">
        <f>IFERROR(VLOOKUP(TableHandbook[[#This Row],[UDC]],TableMJRUFINCE[],7,FALSE),"")</f>
        <v>Core</v>
      </c>
      <c r="AF116" s="66" t="str">
        <f>IFERROR(VLOOKUP(TableHandbook[[#This Row],[UDC]],TableMJRUHRMGM[],7,FALSE),"")</f>
        <v/>
      </c>
      <c r="AG116" s="66" t="str">
        <f>IFERROR(VLOOKUP(TableHandbook[[#This Row],[UDC]],TableMJRUINTBU[],7,FALSE),"")</f>
        <v/>
      </c>
      <c r="AH116" s="66" t="str">
        <f>IFERROR(VLOOKUP(TableHandbook[[#This Row],[UDC]],TableMJRULGSCM[],7,FALSE),"")</f>
        <v/>
      </c>
      <c r="AI116" s="66" t="str">
        <f>IFERROR(VLOOKUP(TableHandbook[[#This Row],[UDC]],TableMJRUMNGMT[],7,FALSE),"")</f>
        <v/>
      </c>
      <c r="AJ116" s="66" t="str">
        <f>IFERROR(VLOOKUP(TableHandbook[[#This Row],[UDC]],TableMJRUMRKTG[],7,FALSE),"")</f>
        <v/>
      </c>
      <c r="AK116" s="66" t="str">
        <f>IFERROR(VLOOKUP(TableHandbook[[#This Row],[UDC]],TableMJRUPRPTY[],7,FALSE),"")</f>
        <v/>
      </c>
      <c r="AL116" s="66" t="str">
        <f>IFERROR(VLOOKUP(TableHandbook[[#This Row],[UDC]],TableMJRUSCRAR[],7,FALSE),"")</f>
        <v/>
      </c>
      <c r="AM116" s="66" t="str">
        <f>IFERROR(VLOOKUP(TableHandbook[[#This Row],[UDC]],TableMJRUTHTRA[],7,FALSE),"")</f>
        <v/>
      </c>
      <c r="AN116" s="66" t="str">
        <f>IFERROR(VLOOKUP(TableHandbook[[#This Row],[UDC]],TableMJRUTRHOS[],7,FALSE),"")</f>
        <v/>
      </c>
    </row>
    <row r="117" spans="1:40" ht="26.25" x14ac:dyDescent="0.25">
      <c r="A117" s="8" t="s">
        <v>463</v>
      </c>
      <c r="B117" s="9">
        <v>2</v>
      </c>
      <c r="C117" s="8"/>
      <c r="D117" s="8" t="s">
        <v>641</v>
      </c>
      <c r="E117" s="9">
        <v>25</v>
      </c>
      <c r="F117" s="174" t="s">
        <v>640</v>
      </c>
      <c r="G117" s="67" t="str">
        <f>IFERROR(IF(VLOOKUP(TableHandbook[[#This Row],[UDC]],TableAvailabilities[],2,FALSE)&gt;0,"Y",""),"")</f>
        <v>Y</v>
      </c>
      <c r="H117" s="68" t="str">
        <f>IFERROR(IF(VLOOKUP(TableHandbook[[#This Row],[UDC]],TableAvailabilities[],3,FALSE)&gt;0,"Y",""),"")</f>
        <v>Y</v>
      </c>
      <c r="I117" s="69" t="str">
        <f>IFERROR(IF(VLOOKUP(TableHandbook[[#This Row],[UDC]],TableAvailabilities[],4,FALSE)&gt;0,"Y",""),"")</f>
        <v>Y</v>
      </c>
      <c r="J117" s="70" t="str">
        <f>IFERROR(IF(VLOOKUP(TableHandbook[[#This Row],[UDC]],TableAvailabilities[],5,FALSE)&gt;0,"Y",""),"")</f>
        <v>Y</v>
      </c>
      <c r="K117" s="163" t="s">
        <v>533</v>
      </c>
      <c r="L117" s="64" t="str">
        <f>IFERROR(VLOOKUP(TableHandbook[[#This Row],[UDC]],TableBARTS[],7,FALSE),"")</f>
        <v/>
      </c>
      <c r="M117" s="65" t="str">
        <f>IFERROR(VLOOKUP(TableHandbook[[#This Row],[UDC]],TableMJRUANTSO[],7,FALSE),"")</f>
        <v/>
      </c>
      <c r="N117" s="65" t="str">
        <f>IFERROR(VLOOKUP(TableHandbook[[#This Row],[UDC]],TableMJRUCHNSE[],7,FALSE),"")</f>
        <v/>
      </c>
      <c r="O117" s="65" t="str">
        <f>IFERROR(VLOOKUP(TableHandbook[[#This Row],[UDC]],TableMJRUCRWRI[],7,FALSE),"")</f>
        <v/>
      </c>
      <c r="P117" s="65" t="str">
        <f>IFERROR(VLOOKUP(TableHandbook[[#This Row],[UDC]],TableMJRUGEOGR[],7,FALSE),"")</f>
        <v/>
      </c>
      <c r="Q117" s="65" t="str">
        <f>IFERROR(VLOOKUP(TableHandbook[[#This Row],[UDC]],TableMJRUHISTR[],7,FALSE),"")</f>
        <v/>
      </c>
      <c r="R117" s="65" t="str">
        <f>IFERROR(VLOOKUP(TableHandbook[[#This Row],[UDC]],TableMJRUINAUC[],7,FALSE),"")</f>
        <v/>
      </c>
      <c r="S117" s="65" t="str">
        <f>IFERROR(VLOOKUP(TableHandbook[[#This Row],[UDC]],TableMJRUINTRL[],7,FALSE),"")</f>
        <v/>
      </c>
      <c r="T117" s="65" t="str">
        <f>IFERROR(VLOOKUP(TableHandbook[[#This Row],[UDC]],TableMJRUJAPAN[],7,FALSE),"")</f>
        <v/>
      </c>
      <c r="U117" s="65" t="str">
        <f>IFERROR(VLOOKUP(TableHandbook[[#This Row],[UDC]],TableMJRUJOURN[],7,FALSE),"")</f>
        <v/>
      </c>
      <c r="V117" s="65" t="str">
        <f>IFERROR(VLOOKUP(TableHandbook[[#This Row],[UDC]],TableMJRUKORES[],7,FALSE),"")</f>
        <v/>
      </c>
      <c r="W117" s="65" t="str">
        <f>IFERROR(VLOOKUP(TableHandbook[[#This Row],[UDC]],TableMJRULITCU[],7,FALSE),"")</f>
        <v/>
      </c>
      <c r="X117" s="65" t="str">
        <f>IFERROR(VLOOKUP(TableHandbook[[#This Row],[UDC]],TableMJRUNETCM[],7,FALSE),"")</f>
        <v/>
      </c>
      <c r="Y117" s="65" t="str">
        <f>IFERROR(VLOOKUP(TableHandbook[[#This Row],[UDC]],TableMJRUPRWRP[],7,FALSE),"")</f>
        <v/>
      </c>
      <c r="Z117" s="66" t="str">
        <f>IFERROR(VLOOKUP(TableHandbook[[#This Row],[UDC]],TableMJRUSCSTR[],7,FALSE),"")</f>
        <v/>
      </c>
      <c r="AA117" s="74"/>
      <c r="AB117" s="66" t="str">
        <f>IFERROR(VLOOKUP(TableHandbook[[#This Row],[UDC]],TableMJRUBSLAW[],7,FALSE),"")</f>
        <v/>
      </c>
      <c r="AC117" s="66" t="str">
        <f>IFERROR(VLOOKUP(TableHandbook[[#This Row],[UDC]],TableMJRUECONS[],7,FALSE),"")</f>
        <v/>
      </c>
      <c r="AD117" s="66" t="str">
        <f>IFERROR(VLOOKUP(TableHandbook[[#This Row],[UDC]],TableMJRUFINAR[],7,FALSE),"")</f>
        <v/>
      </c>
      <c r="AE117" s="66" t="str">
        <f>IFERROR(VLOOKUP(TableHandbook[[#This Row],[UDC]],TableMJRUFINCE[],7,FALSE),"")</f>
        <v>Core</v>
      </c>
      <c r="AF117" s="66" t="str">
        <f>IFERROR(VLOOKUP(TableHandbook[[#This Row],[UDC]],TableMJRUHRMGM[],7,FALSE),"")</f>
        <v/>
      </c>
      <c r="AG117" s="66" t="str">
        <f>IFERROR(VLOOKUP(TableHandbook[[#This Row],[UDC]],TableMJRUINTBU[],7,FALSE),"")</f>
        <v/>
      </c>
      <c r="AH117" s="66" t="str">
        <f>IFERROR(VLOOKUP(TableHandbook[[#This Row],[UDC]],TableMJRULGSCM[],7,FALSE),"")</f>
        <v/>
      </c>
      <c r="AI117" s="66" t="str">
        <f>IFERROR(VLOOKUP(TableHandbook[[#This Row],[UDC]],TableMJRUMNGMT[],7,FALSE),"")</f>
        <v/>
      </c>
      <c r="AJ117" s="66" t="str">
        <f>IFERROR(VLOOKUP(TableHandbook[[#This Row],[UDC]],TableMJRUMRKTG[],7,FALSE),"")</f>
        <v/>
      </c>
      <c r="AK117" s="66" t="str">
        <f>IFERROR(VLOOKUP(TableHandbook[[#This Row],[UDC]],TableMJRUPRPTY[],7,FALSE),"")</f>
        <v/>
      </c>
      <c r="AL117" s="66" t="str">
        <f>IFERROR(VLOOKUP(TableHandbook[[#This Row],[UDC]],TableMJRUSCRAR[],7,FALSE),"")</f>
        <v/>
      </c>
      <c r="AM117" s="66" t="str">
        <f>IFERROR(VLOOKUP(TableHandbook[[#This Row],[UDC]],TableMJRUTHTRA[],7,FALSE),"")</f>
        <v/>
      </c>
      <c r="AN117" s="66" t="str">
        <f>IFERROR(VLOOKUP(TableHandbook[[#This Row],[UDC]],TableMJRUTRHOS[],7,FALSE),"")</f>
        <v/>
      </c>
    </row>
    <row r="118" spans="1:40" ht="26.25" x14ac:dyDescent="0.25">
      <c r="A118" s="8" t="s">
        <v>642</v>
      </c>
      <c r="B118" s="9">
        <v>1</v>
      </c>
      <c r="C118" s="8"/>
      <c r="D118" s="8" t="s">
        <v>641</v>
      </c>
      <c r="E118" s="9">
        <v>25</v>
      </c>
      <c r="F118" s="49" t="s">
        <v>643</v>
      </c>
      <c r="G118" s="67" t="str">
        <f>IFERROR(IF(VLOOKUP(TableHandbook[[#This Row],[UDC]],TableAvailabilities[],2,FALSE)&gt;0,"Y",""),"")</f>
        <v/>
      </c>
      <c r="H118" s="68" t="str">
        <f>IFERROR(IF(VLOOKUP(TableHandbook[[#This Row],[UDC]],TableAvailabilities[],3,FALSE)&gt;0,"Y",""),"")</f>
        <v/>
      </c>
      <c r="I118" s="69" t="str">
        <f>IFERROR(IF(VLOOKUP(TableHandbook[[#This Row],[UDC]],TableAvailabilities[],4,FALSE)&gt;0,"Y",""),"")</f>
        <v/>
      </c>
      <c r="J118" s="70" t="str">
        <f>IFERROR(IF(VLOOKUP(TableHandbook[[#This Row],[UDC]],TableAvailabilities[],5,FALSE)&gt;0,"Y",""),"")</f>
        <v/>
      </c>
      <c r="K118" s="163" t="s">
        <v>535</v>
      </c>
      <c r="L118" s="64" t="str">
        <f>IFERROR(VLOOKUP(TableHandbook[[#This Row],[UDC]],TableBARTS[],7,FALSE),"")</f>
        <v/>
      </c>
      <c r="M118" s="65" t="str">
        <f>IFERROR(VLOOKUP(TableHandbook[[#This Row],[UDC]],TableMJRUANTSO[],7,FALSE),"")</f>
        <v/>
      </c>
      <c r="N118" s="65" t="str">
        <f>IFERROR(VLOOKUP(TableHandbook[[#This Row],[UDC]],TableMJRUCHNSE[],7,FALSE),"")</f>
        <v/>
      </c>
      <c r="O118" s="65" t="str">
        <f>IFERROR(VLOOKUP(TableHandbook[[#This Row],[UDC]],TableMJRUCRWRI[],7,FALSE),"")</f>
        <v/>
      </c>
      <c r="P118" s="65" t="str">
        <f>IFERROR(VLOOKUP(TableHandbook[[#This Row],[UDC]],TableMJRUGEOGR[],7,FALSE),"")</f>
        <v/>
      </c>
      <c r="Q118" s="65" t="str">
        <f>IFERROR(VLOOKUP(TableHandbook[[#This Row],[UDC]],TableMJRUHISTR[],7,FALSE),"")</f>
        <v/>
      </c>
      <c r="R118" s="65" t="str">
        <f>IFERROR(VLOOKUP(TableHandbook[[#This Row],[UDC]],TableMJRUINAUC[],7,FALSE),"")</f>
        <v/>
      </c>
      <c r="S118" s="65" t="str">
        <f>IFERROR(VLOOKUP(TableHandbook[[#This Row],[UDC]],TableMJRUINTRL[],7,FALSE),"")</f>
        <v/>
      </c>
      <c r="T118" s="65" t="str">
        <f>IFERROR(VLOOKUP(TableHandbook[[#This Row],[UDC]],TableMJRUJAPAN[],7,FALSE),"")</f>
        <v/>
      </c>
      <c r="U118" s="65" t="str">
        <f>IFERROR(VLOOKUP(TableHandbook[[#This Row],[UDC]],TableMJRUJOURN[],7,FALSE),"")</f>
        <v/>
      </c>
      <c r="V118" s="65" t="str">
        <f>IFERROR(VLOOKUP(TableHandbook[[#This Row],[UDC]],TableMJRUKORES[],7,FALSE),"")</f>
        <v/>
      </c>
      <c r="W118" s="65" t="str">
        <f>IFERROR(VLOOKUP(TableHandbook[[#This Row],[UDC]],TableMJRULITCU[],7,FALSE),"")</f>
        <v/>
      </c>
      <c r="X118" s="65" t="str">
        <f>IFERROR(VLOOKUP(TableHandbook[[#This Row],[UDC]],TableMJRUNETCM[],7,FALSE),"")</f>
        <v/>
      </c>
      <c r="Y118" s="65" t="str">
        <f>IFERROR(VLOOKUP(TableHandbook[[#This Row],[UDC]],TableMJRUPRWRP[],7,FALSE),"")</f>
        <v/>
      </c>
      <c r="Z118" s="66" t="str">
        <f>IFERROR(VLOOKUP(TableHandbook[[#This Row],[UDC]],TableMJRUSCSTR[],7,FALSE),"")</f>
        <v/>
      </c>
      <c r="AA118" s="74"/>
      <c r="AB118" s="66" t="str">
        <f>IFERROR(VLOOKUP(TableHandbook[[#This Row],[UDC]],TableMJRUBSLAW[],7,FALSE),"")</f>
        <v/>
      </c>
      <c r="AC118" s="66" t="str">
        <f>IFERROR(VLOOKUP(TableHandbook[[#This Row],[UDC]],TableMJRUECONS[],7,FALSE),"")</f>
        <v/>
      </c>
      <c r="AD118" s="66" t="str">
        <f>IFERROR(VLOOKUP(TableHandbook[[#This Row],[UDC]],TableMJRUFINAR[],7,FALSE),"")</f>
        <v/>
      </c>
      <c r="AE118" s="66" t="str">
        <f>IFERROR(VLOOKUP(TableHandbook[[#This Row],[UDC]],TableMJRUFINCE[],7,FALSE),"")</f>
        <v/>
      </c>
      <c r="AF118" s="66" t="str">
        <f>IFERROR(VLOOKUP(TableHandbook[[#This Row],[UDC]],TableMJRUHRMGM[],7,FALSE),"")</f>
        <v/>
      </c>
      <c r="AG118" s="66" t="str">
        <f>IFERROR(VLOOKUP(TableHandbook[[#This Row],[UDC]],TableMJRUINTBU[],7,FALSE),"")</f>
        <v/>
      </c>
      <c r="AH118" s="66" t="str">
        <f>IFERROR(VLOOKUP(TableHandbook[[#This Row],[UDC]],TableMJRULGSCM[],7,FALSE),"")</f>
        <v/>
      </c>
      <c r="AI118" s="66" t="str">
        <f>IFERROR(VLOOKUP(TableHandbook[[#This Row],[UDC]],TableMJRUMNGMT[],7,FALSE),"")</f>
        <v/>
      </c>
      <c r="AJ118" s="66" t="str">
        <f>IFERROR(VLOOKUP(TableHandbook[[#This Row],[UDC]],TableMJRUMRKTG[],7,FALSE),"")</f>
        <v/>
      </c>
      <c r="AK118" s="66" t="str">
        <f>IFERROR(VLOOKUP(TableHandbook[[#This Row],[UDC]],TableMJRUPRPTY[],7,FALSE),"")</f>
        <v/>
      </c>
      <c r="AL118" s="66" t="str">
        <f>IFERROR(VLOOKUP(TableHandbook[[#This Row],[UDC]],TableMJRUSCRAR[],7,FALSE),"")</f>
        <v/>
      </c>
      <c r="AM118" s="66" t="str">
        <f>IFERROR(VLOOKUP(TableHandbook[[#This Row],[UDC]],TableMJRUTHTRA[],7,FALSE),"")</f>
        <v/>
      </c>
      <c r="AN118" s="66" t="str">
        <f>IFERROR(VLOOKUP(TableHandbook[[#This Row],[UDC]],TableMJRUTRHOS[],7,FALSE),"")</f>
        <v/>
      </c>
    </row>
    <row r="119" spans="1:40" x14ac:dyDescent="0.25">
      <c r="A119" s="8" t="s">
        <v>398</v>
      </c>
      <c r="B119" s="9">
        <v>2</v>
      </c>
      <c r="C119" s="8"/>
      <c r="D119" s="8" t="s">
        <v>644</v>
      </c>
      <c r="E119" s="9">
        <v>25</v>
      </c>
      <c r="F119" s="49" t="s">
        <v>526</v>
      </c>
      <c r="G119" s="67" t="str">
        <f>IFERROR(IF(VLOOKUP(TableHandbook[[#This Row],[UDC]],TableAvailabilities[],2,FALSE)&gt;0,"Y",""),"")</f>
        <v>Y</v>
      </c>
      <c r="H119" s="68" t="str">
        <f>IFERROR(IF(VLOOKUP(TableHandbook[[#This Row],[UDC]],TableAvailabilities[],3,FALSE)&gt;0,"Y",""),"")</f>
        <v>Y</v>
      </c>
      <c r="I119" s="69" t="str">
        <f>IFERROR(IF(VLOOKUP(TableHandbook[[#This Row],[UDC]],TableAvailabilities[],4,FALSE)&gt;0,"Y",""),"")</f>
        <v>Y</v>
      </c>
      <c r="J119" s="70" t="str">
        <f>IFERROR(IF(VLOOKUP(TableHandbook[[#This Row],[UDC]],TableAvailabilities[],5,FALSE)&gt;0,"Y",""),"")</f>
        <v/>
      </c>
      <c r="K119" s="163"/>
      <c r="L119" s="64" t="str">
        <f>IFERROR(VLOOKUP(TableHandbook[[#This Row],[UDC]],TableBARTS[],7,FALSE),"")</f>
        <v/>
      </c>
      <c r="M119" s="65" t="str">
        <f>IFERROR(VLOOKUP(TableHandbook[[#This Row],[UDC]],TableMJRUANTSO[],7,FALSE),"")</f>
        <v/>
      </c>
      <c r="N119" s="65" t="str">
        <f>IFERROR(VLOOKUP(TableHandbook[[#This Row],[UDC]],TableMJRUCHNSE[],7,FALSE),"")</f>
        <v/>
      </c>
      <c r="O119" s="65" t="str">
        <f>IFERROR(VLOOKUP(TableHandbook[[#This Row],[UDC]],TableMJRUCRWRI[],7,FALSE),"")</f>
        <v/>
      </c>
      <c r="P119" s="65" t="str">
        <f>IFERROR(VLOOKUP(TableHandbook[[#This Row],[UDC]],TableMJRUGEOGR[],7,FALSE),"")</f>
        <v/>
      </c>
      <c r="Q119" s="65" t="str">
        <f>IFERROR(VLOOKUP(TableHandbook[[#This Row],[UDC]],TableMJRUHISTR[],7,FALSE),"")</f>
        <v/>
      </c>
      <c r="R119" s="65" t="str">
        <f>IFERROR(VLOOKUP(TableHandbook[[#This Row],[UDC]],TableMJRUINAUC[],7,FALSE),"")</f>
        <v/>
      </c>
      <c r="S119" s="65" t="str">
        <f>IFERROR(VLOOKUP(TableHandbook[[#This Row],[UDC]],TableMJRUINTRL[],7,FALSE),"")</f>
        <v/>
      </c>
      <c r="T119" s="65" t="str">
        <f>IFERROR(VLOOKUP(TableHandbook[[#This Row],[UDC]],TableMJRUJAPAN[],7,FALSE),"")</f>
        <v/>
      </c>
      <c r="U119" s="65" t="str">
        <f>IFERROR(VLOOKUP(TableHandbook[[#This Row],[UDC]],TableMJRUJOURN[],7,FALSE),"")</f>
        <v/>
      </c>
      <c r="V119" s="65" t="str">
        <f>IFERROR(VLOOKUP(TableHandbook[[#This Row],[UDC]],TableMJRUKORES[],7,FALSE),"")</f>
        <v/>
      </c>
      <c r="W119" s="65" t="str">
        <f>IFERROR(VLOOKUP(TableHandbook[[#This Row],[UDC]],TableMJRULITCU[],7,FALSE),"")</f>
        <v/>
      </c>
      <c r="X119" s="65" t="str">
        <f>IFERROR(VLOOKUP(TableHandbook[[#This Row],[UDC]],TableMJRUNETCM[],7,FALSE),"")</f>
        <v/>
      </c>
      <c r="Y119" s="65" t="str">
        <f>IFERROR(VLOOKUP(TableHandbook[[#This Row],[UDC]],TableMJRUPRWRP[],7,FALSE),"")</f>
        <v/>
      </c>
      <c r="Z119" s="66" t="str">
        <f>IFERROR(VLOOKUP(TableHandbook[[#This Row],[UDC]],TableMJRUSCSTR[],7,FALSE),"")</f>
        <v/>
      </c>
      <c r="AA119" s="74"/>
      <c r="AB119" s="66" t="str">
        <f>IFERROR(VLOOKUP(TableHandbook[[#This Row],[UDC]],TableMJRUBSLAW[],7,FALSE),"")</f>
        <v/>
      </c>
      <c r="AC119" s="66" t="str">
        <f>IFERROR(VLOOKUP(TableHandbook[[#This Row],[UDC]],TableMJRUECONS[],7,FALSE),"")</f>
        <v/>
      </c>
      <c r="AD119" s="66" t="str">
        <f>IFERROR(VLOOKUP(TableHandbook[[#This Row],[UDC]],TableMJRUFINAR[],7,FALSE),"")</f>
        <v/>
      </c>
      <c r="AE119" s="66" t="str">
        <f>IFERROR(VLOOKUP(TableHandbook[[#This Row],[UDC]],TableMJRUFINCE[],7,FALSE),"")</f>
        <v/>
      </c>
      <c r="AF119" s="66" t="str">
        <f>IFERROR(VLOOKUP(TableHandbook[[#This Row],[UDC]],TableMJRUHRMGM[],7,FALSE),"")</f>
        <v>Core</v>
      </c>
      <c r="AG119" s="66" t="str">
        <f>IFERROR(VLOOKUP(TableHandbook[[#This Row],[UDC]],TableMJRUINTBU[],7,FALSE),"")</f>
        <v>AltCore</v>
      </c>
      <c r="AH119" s="66" t="str">
        <f>IFERROR(VLOOKUP(TableHandbook[[#This Row],[UDC]],TableMJRULGSCM[],7,FALSE),"")</f>
        <v>Core</v>
      </c>
      <c r="AI119" s="66" t="str">
        <f>IFERROR(VLOOKUP(TableHandbook[[#This Row],[UDC]],TableMJRUMNGMT[],7,FALSE),"")</f>
        <v/>
      </c>
      <c r="AJ119" s="66" t="str">
        <f>IFERROR(VLOOKUP(TableHandbook[[#This Row],[UDC]],TableMJRUMRKTG[],7,FALSE),"")</f>
        <v/>
      </c>
      <c r="AK119" s="66" t="str">
        <f>IFERROR(VLOOKUP(TableHandbook[[#This Row],[UDC]],TableMJRUPRPTY[],7,FALSE),"")</f>
        <v/>
      </c>
      <c r="AL119" s="66" t="str">
        <f>IFERROR(VLOOKUP(TableHandbook[[#This Row],[UDC]],TableMJRUSCRAR[],7,FALSE),"")</f>
        <v/>
      </c>
      <c r="AM119" s="66" t="str">
        <f>IFERROR(VLOOKUP(TableHandbook[[#This Row],[UDC]],TableMJRUTHTRA[],7,FALSE),"")</f>
        <v/>
      </c>
      <c r="AN119" s="66" t="str">
        <f>IFERROR(VLOOKUP(TableHandbook[[#This Row],[UDC]],TableMJRUTRHOS[],7,FALSE),"")</f>
        <v/>
      </c>
    </row>
    <row r="120" spans="1:40" x14ac:dyDescent="0.25">
      <c r="A120" s="8" t="s">
        <v>54</v>
      </c>
      <c r="B120" s="9">
        <v>2</v>
      </c>
      <c r="C120" s="8"/>
      <c r="D120" s="8" t="s">
        <v>645</v>
      </c>
      <c r="E120" s="9">
        <v>25</v>
      </c>
      <c r="F120" s="49" t="s">
        <v>526</v>
      </c>
      <c r="G120" s="67" t="str">
        <f>IFERROR(IF(VLOOKUP(TableHandbook[[#This Row],[UDC]],TableAvailabilities[],2,FALSE)&gt;0,"Y",""),"")</f>
        <v>Y</v>
      </c>
      <c r="H120" s="68" t="str">
        <f>IFERROR(IF(VLOOKUP(TableHandbook[[#This Row],[UDC]],TableAvailabilities[],3,FALSE)&gt;0,"Y",""),"")</f>
        <v>Y</v>
      </c>
      <c r="I120" s="69" t="str">
        <f>IFERROR(IF(VLOOKUP(TableHandbook[[#This Row],[UDC]],TableAvailabilities[],4,FALSE)&gt;0,"Y",""),"")</f>
        <v>Y</v>
      </c>
      <c r="J120" s="70" t="str">
        <f>IFERROR(IF(VLOOKUP(TableHandbook[[#This Row],[UDC]],TableAvailabilities[],5,FALSE)&gt;0,"Y",""),"")</f>
        <v>Y</v>
      </c>
      <c r="K120" s="163" t="s">
        <v>551</v>
      </c>
      <c r="L120" s="64" t="str">
        <f>IFERROR(VLOOKUP(TableHandbook[[#This Row],[UDC]],TableBARTS[],7,FALSE),"")</f>
        <v>Option</v>
      </c>
      <c r="M120" s="65" t="str">
        <f>IFERROR(VLOOKUP(TableHandbook[[#This Row],[UDC]],TableMJRUANTSO[],7,FALSE),"")</f>
        <v/>
      </c>
      <c r="N120" s="65" t="str">
        <f>IFERROR(VLOOKUP(TableHandbook[[#This Row],[UDC]],TableMJRUCHNSE[],7,FALSE),"")</f>
        <v/>
      </c>
      <c r="O120" s="65" t="str">
        <f>IFERROR(VLOOKUP(TableHandbook[[#This Row],[UDC]],TableMJRUCRWRI[],7,FALSE),"")</f>
        <v/>
      </c>
      <c r="P120" s="65" t="str">
        <f>IFERROR(VLOOKUP(TableHandbook[[#This Row],[UDC]],TableMJRUGEOGR[],7,FALSE),"")</f>
        <v/>
      </c>
      <c r="Q120" s="65" t="str">
        <f>IFERROR(VLOOKUP(TableHandbook[[#This Row],[UDC]],TableMJRUHISTR[],7,FALSE),"")</f>
        <v/>
      </c>
      <c r="R120" s="65" t="str">
        <f>IFERROR(VLOOKUP(TableHandbook[[#This Row],[UDC]],TableMJRUINAUC[],7,FALSE),"")</f>
        <v/>
      </c>
      <c r="S120" s="65" t="str">
        <f>IFERROR(VLOOKUP(TableHandbook[[#This Row],[UDC]],TableMJRUINTRL[],7,FALSE),"")</f>
        <v/>
      </c>
      <c r="T120" s="65" t="str">
        <f>IFERROR(VLOOKUP(TableHandbook[[#This Row],[UDC]],TableMJRUJAPAN[],7,FALSE),"")</f>
        <v/>
      </c>
      <c r="U120" s="65" t="str">
        <f>IFERROR(VLOOKUP(TableHandbook[[#This Row],[UDC]],TableMJRUJOURN[],7,FALSE),"")</f>
        <v/>
      </c>
      <c r="V120" s="65" t="str">
        <f>IFERROR(VLOOKUP(TableHandbook[[#This Row],[UDC]],TableMJRUKORES[],7,FALSE),"")</f>
        <v/>
      </c>
      <c r="W120" s="65" t="str">
        <f>IFERROR(VLOOKUP(TableHandbook[[#This Row],[UDC]],TableMJRULITCU[],7,FALSE),"")</f>
        <v/>
      </c>
      <c r="X120" s="65" t="str">
        <f>IFERROR(VLOOKUP(TableHandbook[[#This Row],[UDC]],TableMJRUNETCM[],7,FALSE),"")</f>
        <v/>
      </c>
      <c r="Y120" s="65" t="str">
        <f>IFERROR(VLOOKUP(TableHandbook[[#This Row],[UDC]],TableMJRUPRWRP[],7,FALSE),"")</f>
        <v/>
      </c>
      <c r="Z120" s="66" t="str">
        <f>IFERROR(VLOOKUP(TableHandbook[[#This Row],[UDC]],TableMJRUSCSTR[],7,FALSE),"")</f>
        <v/>
      </c>
      <c r="AA120" s="74"/>
      <c r="AB120" s="66" t="str">
        <f>IFERROR(VLOOKUP(TableHandbook[[#This Row],[UDC]],TableMJRUBSLAW[],7,FALSE),"")</f>
        <v/>
      </c>
      <c r="AC120" s="66" t="str">
        <f>IFERROR(VLOOKUP(TableHandbook[[#This Row],[UDC]],TableMJRUECONS[],7,FALSE),"")</f>
        <v/>
      </c>
      <c r="AD120" s="66" t="str">
        <f>IFERROR(VLOOKUP(TableHandbook[[#This Row],[UDC]],TableMJRUFINAR[],7,FALSE),"")</f>
        <v/>
      </c>
      <c r="AE120" s="66" t="str">
        <f>IFERROR(VLOOKUP(TableHandbook[[#This Row],[UDC]],TableMJRUFINCE[],7,FALSE),"")</f>
        <v/>
      </c>
      <c r="AF120" s="66" t="str">
        <f>IFERROR(VLOOKUP(TableHandbook[[#This Row],[UDC]],TableMJRUHRMGM[],7,FALSE),"")</f>
        <v/>
      </c>
      <c r="AG120" s="66" t="str">
        <f>IFERROR(VLOOKUP(TableHandbook[[#This Row],[UDC]],TableMJRUINTBU[],7,FALSE),"")</f>
        <v/>
      </c>
      <c r="AH120" s="66" t="str">
        <f>IFERROR(VLOOKUP(TableHandbook[[#This Row],[UDC]],TableMJRULGSCM[],7,FALSE),"")</f>
        <v/>
      </c>
      <c r="AI120" s="66" t="str">
        <f>IFERROR(VLOOKUP(TableHandbook[[#This Row],[UDC]],TableMJRUMNGMT[],7,FALSE),"")</f>
        <v/>
      </c>
      <c r="AJ120" s="66" t="str">
        <f>IFERROR(VLOOKUP(TableHandbook[[#This Row],[UDC]],TableMJRUMRKTG[],7,FALSE),"")</f>
        <v/>
      </c>
      <c r="AK120" s="66" t="str">
        <f>IFERROR(VLOOKUP(TableHandbook[[#This Row],[UDC]],TableMJRUPRPTY[],7,FALSE),"")</f>
        <v/>
      </c>
      <c r="AL120" s="66" t="str">
        <f>IFERROR(VLOOKUP(TableHandbook[[#This Row],[UDC]],TableMJRUSCRAR[],7,FALSE),"")</f>
        <v/>
      </c>
      <c r="AM120" s="66" t="str">
        <f>IFERROR(VLOOKUP(TableHandbook[[#This Row],[UDC]],TableMJRUTHTRA[],7,FALSE),"")</f>
        <v/>
      </c>
      <c r="AN120" s="66" t="str">
        <f>IFERROR(VLOOKUP(TableHandbook[[#This Row],[UDC]],TableMJRUTRHOS[],7,FALSE),"")</f>
        <v/>
      </c>
    </row>
    <row r="121" spans="1:40" x14ac:dyDescent="0.25">
      <c r="A121" s="8" t="s">
        <v>55</v>
      </c>
      <c r="B121" s="9">
        <v>2</v>
      </c>
      <c r="C121" s="8"/>
      <c r="D121" s="8" t="s">
        <v>646</v>
      </c>
      <c r="E121" s="9">
        <v>25</v>
      </c>
      <c r="F121" s="49" t="s">
        <v>526</v>
      </c>
      <c r="G121" s="67" t="str">
        <f>IFERROR(IF(VLOOKUP(TableHandbook[[#This Row],[UDC]],TableAvailabilities[],2,FALSE)&gt;0,"Y",""),"")</f>
        <v/>
      </c>
      <c r="H121" s="68" t="str">
        <f>IFERROR(IF(VLOOKUP(TableHandbook[[#This Row],[UDC]],TableAvailabilities[],3,FALSE)&gt;0,"Y",""),"")</f>
        <v/>
      </c>
      <c r="I121" s="69" t="str">
        <f>IFERROR(IF(VLOOKUP(TableHandbook[[#This Row],[UDC]],TableAvailabilities[],4,FALSE)&gt;0,"Y",""),"")</f>
        <v>Y</v>
      </c>
      <c r="J121" s="70" t="str">
        <f>IFERROR(IF(VLOOKUP(TableHandbook[[#This Row],[UDC]],TableAvailabilities[],5,FALSE)&gt;0,"Y",""),"")</f>
        <v>Y</v>
      </c>
      <c r="K121" s="163" t="s">
        <v>551</v>
      </c>
      <c r="L121" s="64" t="str">
        <f>IFERROR(VLOOKUP(TableHandbook[[#This Row],[UDC]],TableBARTS[],7,FALSE),"")</f>
        <v>Option</v>
      </c>
      <c r="M121" s="65" t="str">
        <f>IFERROR(VLOOKUP(TableHandbook[[#This Row],[UDC]],TableMJRUANTSO[],7,FALSE),"")</f>
        <v/>
      </c>
      <c r="N121" s="65" t="str">
        <f>IFERROR(VLOOKUP(TableHandbook[[#This Row],[UDC]],TableMJRUCHNSE[],7,FALSE),"")</f>
        <v/>
      </c>
      <c r="O121" s="65" t="str">
        <f>IFERROR(VLOOKUP(TableHandbook[[#This Row],[UDC]],TableMJRUCRWRI[],7,FALSE),"")</f>
        <v/>
      </c>
      <c r="P121" s="65" t="str">
        <f>IFERROR(VLOOKUP(TableHandbook[[#This Row],[UDC]],TableMJRUGEOGR[],7,FALSE),"")</f>
        <v/>
      </c>
      <c r="Q121" s="65" t="str">
        <f>IFERROR(VLOOKUP(TableHandbook[[#This Row],[UDC]],TableMJRUHISTR[],7,FALSE),"")</f>
        <v/>
      </c>
      <c r="R121" s="65" t="str">
        <f>IFERROR(VLOOKUP(TableHandbook[[#This Row],[UDC]],TableMJRUINAUC[],7,FALSE),"")</f>
        <v/>
      </c>
      <c r="S121" s="65" t="str">
        <f>IFERROR(VLOOKUP(TableHandbook[[#This Row],[UDC]],TableMJRUINTRL[],7,FALSE),"")</f>
        <v/>
      </c>
      <c r="T121" s="65" t="str">
        <f>IFERROR(VLOOKUP(TableHandbook[[#This Row],[UDC]],TableMJRUJAPAN[],7,FALSE),"")</f>
        <v/>
      </c>
      <c r="U121" s="65" t="str">
        <f>IFERROR(VLOOKUP(TableHandbook[[#This Row],[UDC]],TableMJRUJOURN[],7,FALSE),"")</f>
        <v/>
      </c>
      <c r="V121" s="65" t="str">
        <f>IFERROR(VLOOKUP(TableHandbook[[#This Row],[UDC]],TableMJRUKORES[],7,FALSE),"")</f>
        <v/>
      </c>
      <c r="W121" s="65" t="str">
        <f>IFERROR(VLOOKUP(TableHandbook[[#This Row],[UDC]],TableMJRULITCU[],7,FALSE),"")</f>
        <v/>
      </c>
      <c r="X121" s="65" t="str">
        <f>IFERROR(VLOOKUP(TableHandbook[[#This Row],[UDC]],TableMJRUNETCM[],7,FALSE),"")</f>
        <v/>
      </c>
      <c r="Y121" s="65" t="str">
        <f>IFERROR(VLOOKUP(TableHandbook[[#This Row],[UDC]],TableMJRUPRWRP[],7,FALSE),"")</f>
        <v/>
      </c>
      <c r="Z121" s="66" t="str">
        <f>IFERROR(VLOOKUP(TableHandbook[[#This Row],[UDC]],TableMJRUSCSTR[],7,FALSE),"")</f>
        <v/>
      </c>
      <c r="AA121" s="74"/>
      <c r="AB121" s="66" t="str">
        <f>IFERROR(VLOOKUP(TableHandbook[[#This Row],[UDC]],TableMJRUBSLAW[],7,FALSE),"")</f>
        <v/>
      </c>
      <c r="AC121" s="66" t="str">
        <f>IFERROR(VLOOKUP(TableHandbook[[#This Row],[UDC]],TableMJRUECONS[],7,FALSE),"")</f>
        <v/>
      </c>
      <c r="AD121" s="66" t="str">
        <f>IFERROR(VLOOKUP(TableHandbook[[#This Row],[UDC]],TableMJRUFINAR[],7,FALSE),"")</f>
        <v/>
      </c>
      <c r="AE121" s="66" t="str">
        <f>IFERROR(VLOOKUP(TableHandbook[[#This Row],[UDC]],TableMJRUFINCE[],7,FALSE),"")</f>
        <v/>
      </c>
      <c r="AF121" s="66" t="str">
        <f>IFERROR(VLOOKUP(TableHandbook[[#This Row],[UDC]],TableMJRUHRMGM[],7,FALSE),"")</f>
        <v/>
      </c>
      <c r="AG121" s="66" t="str">
        <f>IFERROR(VLOOKUP(TableHandbook[[#This Row],[UDC]],TableMJRUINTBU[],7,FALSE),"")</f>
        <v/>
      </c>
      <c r="AH121" s="66" t="str">
        <f>IFERROR(VLOOKUP(TableHandbook[[#This Row],[UDC]],TableMJRULGSCM[],7,FALSE),"")</f>
        <v/>
      </c>
      <c r="AI121" s="66" t="str">
        <f>IFERROR(VLOOKUP(TableHandbook[[#This Row],[UDC]],TableMJRUMNGMT[],7,FALSE),"")</f>
        <v/>
      </c>
      <c r="AJ121" s="66" t="str">
        <f>IFERROR(VLOOKUP(TableHandbook[[#This Row],[UDC]],TableMJRUMRKTG[],7,FALSE),"")</f>
        <v/>
      </c>
      <c r="AK121" s="66" t="str">
        <f>IFERROR(VLOOKUP(TableHandbook[[#This Row],[UDC]],TableMJRUPRPTY[],7,FALSE),"")</f>
        <v/>
      </c>
      <c r="AL121" s="66" t="str">
        <f>IFERROR(VLOOKUP(TableHandbook[[#This Row],[UDC]],TableMJRUSCRAR[],7,FALSE),"")</f>
        <v/>
      </c>
      <c r="AM121" s="66" t="str">
        <f>IFERROR(VLOOKUP(TableHandbook[[#This Row],[UDC]],TableMJRUTHTRA[],7,FALSE),"")</f>
        <v/>
      </c>
      <c r="AN121" s="66" t="str">
        <f>IFERROR(VLOOKUP(TableHandbook[[#This Row],[UDC]],TableMJRUTRHOS[],7,FALSE),"")</f>
        <v/>
      </c>
    </row>
    <row r="122" spans="1:40" x14ac:dyDescent="0.25">
      <c r="A122" s="8" t="s">
        <v>206</v>
      </c>
      <c r="B122" s="9">
        <v>1</v>
      </c>
      <c r="C122" s="8"/>
      <c r="D122" s="8" t="s">
        <v>647</v>
      </c>
      <c r="E122" s="9">
        <v>25</v>
      </c>
      <c r="F122" s="49" t="s">
        <v>526</v>
      </c>
      <c r="G122" s="67" t="str">
        <f>IFERROR(IF(VLOOKUP(TableHandbook[[#This Row],[UDC]],TableAvailabilities[],2,FALSE)&gt;0,"Y",""),"")</f>
        <v>Y</v>
      </c>
      <c r="H122" s="68" t="str">
        <f>IFERROR(IF(VLOOKUP(TableHandbook[[#This Row],[UDC]],TableAvailabilities[],3,FALSE)&gt;0,"Y",""),"")</f>
        <v>Y</v>
      </c>
      <c r="I122" s="69" t="str">
        <f>IFERROR(IF(VLOOKUP(TableHandbook[[#This Row],[UDC]],TableAvailabilities[],4,FALSE)&gt;0,"Y",""),"")</f>
        <v/>
      </c>
      <c r="J122" s="70" t="str">
        <f>IFERROR(IF(VLOOKUP(TableHandbook[[#This Row],[UDC]],TableAvailabilities[],5,FALSE)&gt;0,"Y",""),"")</f>
        <v/>
      </c>
      <c r="K122" s="163" t="s">
        <v>551</v>
      </c>
      <c r="L122" s="64" t="str">
        <f>IFERROR(VLOOKUP(TableHandbook[[#This Row],[UDC]],TableBARTS[],7,FALSE),"")</f>
        <v/>
      </c>
      <c r="M122" s="65" t="str">
        <f>IFERROR(VLOOKUP(TableHandbook[[#This Row],[UDC]],TableMJRUANTSO[],7,FALSE),"")</f>
        <v/>
      </c>
      <c r="N122" s="65" t="str">
        <f>IFERROR(VLOOKUP(TableHandbook[[#This Row],[UDC]],TableMJRUCHNSE[],7,FALSE),"")</f>
        <v/>
      </c>
      <c r="O122" s="65" t="str">
        <f>IFERROR(VLOOKUP(TableHandbook[[#This Row],[UDC]],TableMJRUCRWRI[],7,FALSE),"")</f>
        <v/>
      </c>
      <c r="P122" s="65" t="str">
        <f>IFERROR(VLOOKUP(TableHandbook[[#This Row],[UDC]],TableMJRUGEOGR[],7,FALSE),"")</f>
        <v/>
      </c>
      <c r="Q122" s="65" t="str">
        <f>IFERROR(VLOOKUP(TableHandbook[[#This Row],[UDC]],TableMJRUHISTR[],7,FALSE),"")</f>
        <v/>
      </c>
      <c r="R122" s="65" t="str">
        <f>IFERROR(VLOOKUP(TableHandbook[[#This Row],[UDC]],TableMJRUINAUC[],7,FALSE),"")</f>
        <v/>
      </c>
      <c r="S122" s="65" t="str">
        <f>IFERROR(VLOOKUP(TableHandbook[[#This Row],[UDC]],TableMJRUINTRL[],7,FALSE),"")</f>
        <v/>
      </c>
      <c r="T122" s="65" t="str">
        <f>IFERROR(VLOOKUP(TableHandbook[[#This Row],[UDC]],TableMJRUJAPAN[],7,FALSE),"")</f>
        <v>Core</v>
      </c>
      <c r="U122" s="65" t="str">
        <f>IFERROR(VLOOKUP(TableHandbook[[#This Row],[UDC]],TableMJRUJOURN[],7,FALSE),"")</f>
        <v/>
      </c>
      <c r="V122" s="65" t="str">
        <f>IFERROR(VLOOKUP(TableHandbook[[#This Row],[UDC]],TableMJRUKORES[],7,FALSE),"")</f>
        <v/>
      </c>
      <c r="W122" s="65" t="str">
        <f>IFERROR(VLOOKUP(TableHandbook[[#This Row],[UDC]],TableMJRULITCU[],7,FALSE),"")</f>
        <v/>
      </c>
      <c r="X122" s="65" t="str">
        <f>IFERROR(VLOOKUP(TableHandbook[[#This Row],[UDC]],TableMJRUNETCM[],7,FALSE),"")</f>
        <v/>
      </c>
      <c r="Y122" s="65" t="str">
        <f>IFERROR(VLOOKUP(TableHandbook[[#This Row],[UDC]],TableMJRUPRWRP[],7,FALSE),"")</f>
        <v/>
      </c>
      <c r="Z122" s="66" t="str">
        <f>IFERROR(VLOOKUP(TableHandbook[[#This Row],[UDC]],TableMJRUSCSTR[],7,FALSE),"")</f>
        <v/>
      </c>
      <c r="AA122" s="74"/>
      <c r="AB122" s="66" t="str">
        <f>IFERROR(VLOOKUP(TableHandbook[[#This Row],[UDC]],TableMJRUBSLAW[],7,FALSE),"")</f>
        <v/>
      </c>
      <c r="AC122" s="66" t="str">
        <f>IFERROR(VLOOKUP(TableHandbook[[#This Row],[UDC]],TableMJRUECONS[],7,FALSE),"")</f>
        <v/>
      </c>
      <c r="AD122" s="66" t="str">
        <f>IFERROR(VLOOKUP(TableHandbook[[#This Row],[UDC]],TableMJRUFINAR[],7,FALSE),"")</f>
        <v/>
      </c>
      <c r="AE122" s="66" t="str">
        <f>IFERROR(VLOOKUP(TableHandbook[[#This Row],[UDC]],TableMJRUFINCE[],7,FALSE),"")</f>
        <v/>
      </c>
      <c r="AF122" s="66" t="str">
        <f>IFERROR(VLOOKUP(TableHandbook[[#This Row],[UDC]],TableMJRUHRMGM[],7,FALSE),"")</f>
        <v/>
      </c>
      <c r="AG122" s="66" t="str">
        <f>IFERROR(VLOOKUP(TableHandbook[[#This Row],[UDC]],TableMJRUINTBU[],7,FALSE),"")</f>
        <v/>
      </c>
      <c r="AH122" s="66" t="str">
        <f>IFERROR(VLOOKUP(TableHandbook[[#This Row],[UDC]],TableMJRULGSCM[],7,FALSE),"")</f>
        <v/>
      </c>
      <c r="AI122" s="66" t="str">
        <f>IFERROR(VLOOKUP(TableHandbook[[#This Row],[UDC]],TableMJRUMNGMT[],7,FALSE),"")</f>
        <v/>
      </c>
      <c r="AJ122" s="66" t="str">
        <f>IFERROR(VLOOKUP(TableHandbook[[#This Row],[UDC]],TableMJRUMRKTG[],7,FALSE),"")</f>
        <v/>
      </c>
      <c r="AK122" s="66" t="str">
        <f>IFERROR(VLOOKUP(TableHandbook[[#This Row],[UDC]],TableMJRUPRPTY[],7,FALSE),"")</f>
        <v/>
      </c>
      <c r="AL122" s="66" t="str">
        <f>IFERROR(VLOOKUP(TableHandbook[[#This Row],[UDC]],TableMJRUSCRAR[],7,FALSE),"")</f>
        <v/>
      </c>
      <c r="AM122" s="66" t="str">
        <f>IFERROR(VLOOKUP(TableHandbook[[#This Row],[UDC]],TableMJRUTHTRA[],7,FALSE),"")</f>
        <v/>
      </c>
      <c r="AN122" s="66" t="str">
        <f>IFERROR(VLOOKUP(TableHandbook[[#This Row],[UDC]],TableMJRUTRHOS[],7,FALSE),"")</f>
        <v/>
      </c>
    </row>
    <row r="123" spans="1:40" x14ac:dyDescent="0.25">
      <c r="A123" s="8" t="s">
        <v>56</v>
      </c>
      <c r="B123" s="9">
        <v>2</v>
      </c>
      <c r="C123" s="8"/>
      <c r="D123" s="8" t="s">
        <v>648</v>
      </c>
      <c r="E123" s="9">
        <v>25</v>
      </c>
      <c r="F123" s="49" t="s">
        <v>526</v>
      </c>
      <c r="G123" s="67" t="str">
        <f>IFERROR(IF(VLOOKUP(TableHandbook[[#This Row],[UDC]],TableAvailabilities[],2,FALSE)&gt;0,"Y",""),"")</f>
        <v>Y</v>
      </c>
      <c r="H123" s="68" t="str">
        <f>IFERROR(IF(VLOOKUP(TableHandbook[[#This Row],[UDC]],TableAvailabilities[],3,FALSE)&gt;0,"Y",""),"")</f>
        <v>Y</v>
      </c>
      <c r="I123" s="69" t="str">
        <f>IFERROR(IF(VLOOKUP(TableHandbook[[#This Row],[UDC]],TableAvailabilities[],4,FALSE)&gt;0,"Y",""),"")</f>
        <v/>
      </c>
      <c r="J123" s="70" t="str">
        <f>IFERROR(IF(VLOOKUP(TableHandbook[[#This Row],[UDC]],TableAvailabilities[],5,FALSE)&gt;0,"Y",""),"")</f>
        <v/>
      </c>
      <c r="K123" s="163" t="s">
        <v>551</v>
      </c>
      <c r="L123" s="64" t="str">
        <f>IFERROR(VLOOKUP(TableHandbook[[#This Row],[UDC]],TableBARTS[],7,FALSE),"")</f>
        <v>Option</v>
      </c>
      <c r="M123" s="65" t="str">
        <f>IFERROR(VLOOKUP(TableHandbook[[#This Row],[UDC]],TableMJRUANTSO[],7,FALSE),"")</f>
        <v/>
      </c>
      <c r="N123" s="65" t="str">
        <f>IFERROR(VLOOKUP(TableHandbook[[#This Row],[UDC]],TableMJRUCHNSE[],7,FALSE),"")</f>
        <v/>
      </c>
      <c r="O123" s="65" t="str">
        <f>IFERROR(VLOOKUP(TableHandbook[[#This Row],[UDC]],TableMJRUCRWRI[],7,FALSE),"")</f>
        <v/>
      </c>
      <c r="P123" s="65" t="str">
        <f>IFERROR(VLOOKUP(TableHandbook[[#This Row],[UDC]],TableMJRUGEOGR[],7,FALSE),"")</f>
        <v/>
      </c>
      <c r="Q123" s="65" t="str">
        <f>IFERROR(VLOOKUP(TableHandbook[[#This Row],[UDC]],TableMJRUHISTR[],7,FALSE),"")</f>
        <v/>
      </c>
      <c r="R123" s="65" t="str">
        <f>IFERROR(VLOOKUP(TableHandbook[[#This Row],[UDC]],TableMJRUINAUC[],7,FALSE),"")</f>
        <v/>
      </c>
      <c r="S123" s="65" t="str">
        <f>IFERROR(VLOOKUP(TableHandbook[[#This Row],[UDC]],TableMJRUINTRL[],7,FALSE),"")</f>
        <v/>
      </c>
      <c r="T123" s="65" t="str">
        <f>IFERROR(VLOOKUP(TableHandbook[[#This Row],[UDC]],TableMJRUJAPAN[],7,FALSE),"")</f>
        <v>Core</v>
      </c>
      <c r="U123" s="65" t="str">
        <f>IFERROR(VLOOKUP(TableHandbook[[#This Row],[UDC]],TableMJRUJOURN[],7,FALSE),"")</f>
        <v/>
      </c>
      <c r="V123" s="65" t="str">
        <f>IFERROR(VLOOKUP(TableHandbook[[#This Row],[UDC]],TableMJRUKORES[],7,FALSE),"")</f>
        <v/>
      </c>
      <c r="W123" s="65" t="str">
        <f>IFERROR(VLOOKUP(TableHandbook[[#This Row],[UDC]],TableMJRULITCU[],7,FALSE),"")</f>
        <v/>
      </c>
      <c r="X123" s="65" t="str">
        <f>IFERROR(VLOOKUP(TableHandbook[[#This Row],[UDC]],TableMJRUNETCM[],7,FALSE),"")</f>
        <v/>
      </c>
      <c r="Y123" s="65" t="str">
        <f>IFERROR(VLOOKUP(TableHandbook[[#This Row],[UDC]],TableMJRUPRWRP[],7,FALSE),"")</f>
        <v/>
      </c>
      <c r="Z123" s="66" t="str">
        <f>IFERROR(VLOOKUP(TableHandbook[[#This Row],[UDC]],TableMJRUSCSTR[],7,FALSE),"")</f>
        <v/>
      </c>
      <c r="AA123" s="74"/>
      <c r="AB123" s="66" t="str">
        <f>IFERROR(VLOOKUP(TableHandbook[[#This Row],[UDC]],TableMJRUBSLAW[],7,FALSE),"")</f>
        <v/>
      </c>
      <c r="AC123" s="66" t="str">
        <f>IFERROR(VLOOKUP(TableHandbook[[#This Row],[UDC]],TableMJRUECONS[],7,FALSE),"")</f>
        <v/>
      </c>
      <c r="AD123" s="66" t="str">
        <f>IFERROR(VLOOKUP(TableHandbook[[#This Row],[UDC]],TableMJRUFINAR[],7,FALSE),"")</f>
        <v/>
      </c>
      <c r="AE123" s="66" t="str">
        <f>IFERROR(VLOOKUP(TableHandbook[[#This Row],[UDC]],TableMJRUFINCE[],7,FALSE),"")</f>
        <v/>
      </c>
      <c r="AF123" s="66" t="str">
        <f>IFERROR(VLOOKUP(TableHandbook[[#This Row],[UDC]],TableMJRUHRMGM[],7,FALSE),"")</f>
        <v/>
      </c>
      <c r="AG123" s="66" t="str">
        <f>IFERROR(VLOOKUP(TableHandbook[[#This Row],[UDC]],TableMJRUINTBU[],7,FALSE),"")</f>
        <v/>
      </c>
      <c r="AH123" s="66" t="str">
        <f>IFERROR(VLOOKUP(TableHandbook[[#This Row],[UDC]],TableMJRULGSCM[],7,FALSE),"")</f>
        <v/>
      </c>
      <c r="AI123" s="66" t="str">
        <f>IFERROR(VLOOKUP(TableHandbook[[#This Row],[UDC]],TableMJRUMNGMT[],7,FALSE),"")</f>
        <v/>
      </c>
      <c r="AJ123" s="66" t="str">
        <f>IFERROR(VLOOKUP(TableHandbook[[#This Row],[UDC]],TableMJRUMRKTG[],7,FALSE),"")</f>
        <v/>
      </c>
      <c r="AK123" s="66" t="str">
        <f>IFERROR(VLOOKUP(TableHandbook[[#This Row],[UDC]],TableMJRUPRPTY[],7,FALSE),"")</f>
        <v/>
      </c>
      <c r="AL123" s="66" t="str">
        <f>IFERROR(VLOOKUP(TableHandbook[[#This Row],[UDC]],TableMJRUSCRAR[],7,FALSE),"")</f>
        <v/>
      </c>
      <c r="AM123" s="66" t="str">
        <f>IFERROR(VLOOKUP(TableHandbook[[#This Row],[UDC]],TableMJRUTHTRA[],7,FALSE),"")</f>
        <v/>
      </c>
      <c r="AN123" s="66" t="str">
        <f>IFERROR(VLOOKUP(TableHandbook[[#This Row],[UDC]],TableMJRUTRHOS[],7,FALSE),"")</f>
        <v/>
      </c>
    </row>
    <row r="124" spans="1:40" x14ac:dyDescent="0.25">
      <c r="A124" s="8" t="s">
        <v>57</v>
      </c>
      <c r="B124" s="9">
        <v>2</v>
      </c>
      <c r="C124" s="8"/>
      <c r="D124" s="8" t="s">
        <v>649</v>
      </c>
      <c r="E124" s="9">
        <v>25</v>
      </c>
      <c r="F124" s="49" t="s">
        <v>526</v>
      </c>
      <c r="G124" s="67" t="str">
        <f>IFERROR(IF(VLOOKUP(TableHandbook[[#This Row],[UDC]],TableAvailabilities[],2,FALSE)&gt;0,"Y",""),"")</f>
        <v/>
      </c>
      <c r="H124" s="68" t="str">
        <f>IFERROR(IF(VLOOKUP(TableHandbook[[#This Row],[UDC]],TableAvailabilities[],3,FALSE)&gt;0,"Y",""),"")</f>
        <v/>
      </c>
      <c r="I124" s="69" t="str">
        <f>IFERROR(IF(VLOOKUP(TableHandbook[[#This Row],[UDC]],TableAvailabilities[],4,FALSE)&gt;0,"Y",""),"")</f>
        <v>Y</v>
      </c>
      <c r="J124" s="70" t="str">
        <f>IFERROR(IF(VLOOKUP(TableHandbook[[#This Row],[UDC]],TableAvailabilities[],5,FALSE)&gt;0,"Y",""),"")</f>
        <v>Y</v>
      </c>
      <c r="K124" s="163" t="s">
        <v>551</v>
      </c>
      <c r="L124" s="64" t="str">
        <f>IFERROR(VLOOKUP(TableHandbook[[#This Row],[UDC]],TableBARTS[],7,FALSE),"")</f>
        <v>Option</v>
      </c>
      <c r="M124" s="65" t="str">
        <f>IFERROR(VLOOKUP(TableHandbook[[#This Row],[UDC]],TableMJRUANTSO[],7,FALSE),"")</f>
        <v/>
      </c>
      <c r="N124" s="65" t="str">
        <f>IFERROR(VLOOKUP(TableHandbook[[#This Row],[UDC]],TableMJRUCHNSE[],7,FALSE),"")</f>
        <v/>
      </c>
      <c r="O124" s="65" t="str">
        <f>IFERROR(VLOOKUP(TableHandbook[[#This Row],[UDC]],TableMJRUCRWRI[],7,FALSE),"")</f>
        <v/>
      </c>
      <c r="P124" s="65" t="str">
        <f>IFERROR(VLOOKUP(TableHandbook[[#This Row],[UDC]],TableMJRUGEOGR[],7,FALSE),"")</f>
        <v/>
      </c>
      <c r="Q124" s="65" t="str">
        <f>IFERROR(VLOOKUP(TableHandbook[[#This Row],[UDC]],TableMJRUHISTR[],7,FALSE),"")</f>
        <v/>
      </c>
      <c r="R124" s="65" t="str">
        <f>IFERROR(VLOOKUP(TableHandbook[[#This Row],[UDC]],TableMJRUINAUC[],7,FALSE),"")</f>
        <v/>
      </c>
      <c r="S124" s="65" t="str">
        <f>IFERROR(VLOOKUP(TableHandbook[[#This Row],[UDC]],TableMJRUINTRL[],7,FALSE),"")</f>
        <v/>
      </c>
      <c r="T124" s="65" t="str">
        <f>IFERROR(VLOOKUP(TableHandbook[[#This Row],[UDC]],TableMJRUJAPAN[],7,FALSE),"")</f>
        <v>Core</v>
      </c>
      <c r="U124" s="65" t="str">
        <f>IFERROR(VLOOKUP(TableHandbook[[#This Row],[UDC]],TableMJRUJOURN[],7,FALSE),"")</f>
        <v/>
      </c>
      <c r="V124" s="65" t="str">
        <f>IFERROR(VLOOKUP(TableHandbook[[#This Row],[UDC]],TableMJRUKORES[],7,FALSE),"")</f>
        <v/>
      </c>
      <c r="W124" s="65" t="str">
        <f>IFERROR(VLOOKUP(TableHandbook[[#This Row],[UDC]],TableMJRULITCU[],7,FALSE),"")</f>
        <v/>
      </c>
      <c r="X124" s="65" t="str">
        <f>IFERROR(VLOOKUP(TableHandbook[[#This Row],[UDC]],TableMJRUNETCM[],7,FALSE),"")</f>
        <v/>
      </c>
      <c r="Y124" s="65" t="str">
        <f>IFERROR(VLOOKUP(TableHandbook[[#This Row],[UDC]],TableMJRUPRWRP[],7,FALSE),"")</f>
        <v/>
      </c>
      <c r="Z124" s="66" t="str">
        <f>IFERROR(VLOOKUP(TableHandbook[[#This Row],[UDC]],TableMJRUSCSTR[],7,FALSE),"")</f>
        <v/>
      </c>
      <c r="AA124" s="74"/>
      <c r="AB124" s="66" t="str">
        <f>IFERROR(VLOOKUP(TableHandbook[[#This Row],[UDC]],TableMJRUBSLAW[],7,FALSE),"")</f>
        <v/>
      </c>
      <c r="AC124" s="66" t="str">
        <f>IFERROR(VLOOKUP(TableHandbook[[#This Row],[UDC]],TableMJRUECONS[],7,FALSE),"")</f>
        <v/>
      </c>
      <c r="AD124" s="66" t="str">
        <f>IFERROR(VLOOKUP(TableHandbook[[#This Row],[UDC]],TableMJRUFINAR[],7,FALSE),"")</f>
        <v/>
      </c>
      <c r="AE124" s="66" t="str">
        <f>IFERROR(VLOOKUP(TableHandbook[[#This Row],[UDC]],TableMJRUFINCE[],7,FALSE),"")</f>
        <v/>
      </c>
      <c r="AF124" s="66" t="str">
        <f>IFERROR(VLOOKUP(TableHandbook[[#This Row],[UDC]],TableMJRUHRMGM[],7,FALSE),"")</f>
        <v/>
      </c>
      <c r="AG124" s="66" t="str">
        <f>IFERROR(VLOOKUP(TableHandbook[[#This Row],[UDC]],TableMJRUINTBU[],7,FALSE),"")</f>
        <v/>
      </c>
      <c r="AH124" s="66" t="str">
        <f>IFERROR(VLOOKUP(TableHandbook[[#This Row],[UDC]],TableMJRULGSCM[],7,FALSE),"")</f>
        <v/>
      </c>
      <c r="AI124" s="66" t="str">
        <f>IFERROR(VLOOKUP(TableHandbook[[#This Row],[UDC]],TableMJRUMNGMT[],7,FALSE),"")</f>
        <v/>
      </c>
      <c r="AJ124" s="66" t="str">
        <f>IFERROR(VLOOKUP(TableHandbook[[#This Row],[UDC]],TableMJRUMRKTG[],7,FALSE),"")</f>
        <v/>
      </c>
      <c r="AK124" s="66" t="str">
        <f>IFERROR(VLOOKUP(TableHandbook[[#This Row],[UDC]],TableMJRUPRPTY[],7,FALSE),"")</f>
        <v/>
      </c>
      <c r="AL124" s="66" t="str">
        <f>IFERROR(VLOOKUP(TableHandbook[[#This Row],[UDC]],TableMJRUSCRAR[],7,FALSE),"")</f>
        <v/>
      </c>
      <c r="AM124" s="66" t="str">
        <f>IFERROR(VLOOKUP(TableHandbook[[#This Row],[UDC]],TableMJRUTHTRA[],7,FALSE),"")</f>
        <v/>
      </c>
      <c r="AN124" s="66" t="str">
        <f>IFERROR(VLOOKUP(TableHandbook[[#This Row],[UDC]],TableMJRUTRHOS[],7,FALSE),"")</f>
        <v/>
      </c>
    </row>
    <row r="125" spans="1:40" x14ac:dyDescent="0.25">
      <c r="A125" s="8" t="s">
        <v>231</v>
      </c>
      <c r="B125" s="9">
        <v>1</v>
      </c>
      <c r="C125" s="8"/>
      <c r="D125" s="8" t="s">
        <v>650</v>
      </c>
      <c r="E125" s="9">
        <v>25</v>
      </c>
      <c r="F125" s="49" t="s">
        <v>526</v>
      </c>
      <c r="G125" s="67" t="str">
        <f>IFERROR(IF(VLOOKUP(TableHandbook[[#This Row],[UDC]],TableAvailabilities[],2,FALSE)&gt;0,"Y",""),"")</f>
        <v/>
      </c>
      <c r="H125" s="68" t="str">
        <f>IFERROR(IF(VLOOKUP(TableHandbook[[#This Row],[UDC]],TableAvailabilities[],3,FALSE)&gt;0,"Y",""),"")</f>
        <v/>
      </c>
      <c r="I125" s="69" t="str">
        <f>IFERROR(IF(VLOOKUP(TableHandbook[[#This Row],[UDC]],TableAvailabilities[],4,FALSE)&gt;0,"Y",""),"")</f>
        <v>Y</v>
      </c>
      <c r="J125" s="70" t="str">
        <f>IFERROR(IF(VLOOKUP(TableHandbook[[#This Row],[UDC]],TableAvailabilities[],5,FALSE)&gt;0,"Y",""),"")</f>
        <v>Y</v>
      </c>
      <c r="K125" s="163" t="s">
        <v>551</v>
      </c>
      <c r="L125" s="64" t="str">
        <f>IFERROR(VLOOKUP(TableHandbook[[#This Row],[UDC]],TableBARTS[],7,FALSE),"")</f>
        <v/>
      </c>
      <c r="M125" s="65" t="str">
        <f>IFERROR(VLOOKUP(TableHandbook[[#This Row],[UDC]],TableMJRUANTSO[],7,FALSE),"")</f>
        <v/>
      </c>
      <c r="N125" s="65" t="str">
        <f>IFERROR(VLOOKUP(TableHandbook[[#This Row],[UDC]],TableMJRUCHNSE[],7,FALSE),"")</f>
        <v/>
      </c>
      <c r="O125" s="65" t="str">
        <f>IFERROR(VLOOKUP(TableHandbook[[#This Row],[UDC]],TableMJRUCRWRI[],7,FALSE),"")</f>
        <v/>
      </c>
      <c r="P125" s="65" t="str">
        <f>IFERROR(VLOOKUP(TableHandbook[[#This Row],[UDC]],TableMJRUGEOGR[],7,FALSE),"")</f>
        <v/>
      </c>
      <c r="Q125" s="65" t="str">
        <f>IFERROR(VLOOKUP(TableHandbook[[#This Row],[UDC]],TableMJRUHISTR[],7,FALSE),"")</f>
        <v/>
      </c>
      <c r="R125" s="65" t="str">
        <f>IFERROR(VLOOKUP(TableHandbook[[#This Row],[UDC]],TableMJRUINAUC[],7,FALSE),"")</f>
        <v/>
      </c>
      <c r="S125" s="65" t="str">
        <f>IFERROR(VLOOKUP(TableHandbook[[#This Row],[UDC]],TableMJRUINTRL[],7,FALSE),"")</f>
        <v/>
      </c>
      <c r="T125" s="65" t="str">
        <f>IFERROR(VLOOKUP(TableHandbook[[#This Row],[UDC]],TableMJRUJAPAN[],7,FALSE),"")</f>
        <v>Core</v>
      </c>
      <c r="U125" s="65" t="str">
        <f>IFERROR(VLOOKUP(TableHandbook[[#This Row],[UDC]],TableMJRUJOURN[],7,FALSE),"")</f>
        <v/>
      </c>
      <c r="V125" s="65" t="str">
        <f>IFERROR(VLOOKUP(TableHandbook[[#This Row],[UDC]],TableMJRUKORES[],7,FALSE),"")</f>
        <v/>
      </c>
      <c r="W125" s="65" t="str">
        <f>IFERROR(VLOOKUP(TableHandbook[[#This Row],[UDC]],TableMJRULITCU[],7,FALSE),"")</f>
        <v/>
      </c>
      <c r="X125" s="65" t="str">
        <f>IFERROR(VLOOKUP(TableHandbook[[#This Row],[UDC]],TableMJRUNETCM[],7,FALSE),"")</f>
        <v/>
      </c>
      <c r="Y125" s="65" t="str">
        <f>IFERROR(VLOOKUP(TableHandbook[[#This Row],[UDC]],TableMJRUPRWRP[],7,FALSE),"")</f>
        <v/>
      </c>
      <c r="Z125" s="66" t="str">
        <f>IFERROR(VLOOKUP(TableHandbook[[#This Row],[UDC]],TableMJRUSCSTR[],7,FALSE),"")</f>
        <v/>
      </c>
      <c r="AA125" s="74"/>
      <c r="AB125" s="66" t="str">
        <f>IFERROR(VLOOKUP(TableHandbook[[#This Row],[UDC]],TableMJRUBSLAW[],7,FALSE),"")</f>
        <v/>
      </c>
      <c r="AC125" s="66" t="str">
        <f>IFERROR(VLOOKUP(TableHandbook[[#This Row],[UDC]],TableMJRUECONS[],7,FALSE),"")</f>
        <v/>
      </c>
      <c r="AD125" s="66" t="str">
        <f>IFERROR(VLOOKUP(TableHandbook[[#This Row],[UDC]],TableMJRUFINAR[],7,FALSE),"")</f>
        <v/>
      </c>
      <c r="AE125" s="66" t="str">
        <f>IFERROR(VLOOKUP(TableHandbook[[#This Row],[UDC]],TableMJRUFINCE[],7,FALSE),"")</f>
        <v/>
      </c>
      <c r="AF125" s="66" t="str">
        <f>IFERROR(VLOOKUP(TableHandbook[[#This Row],[UDC]],TableMJRUHRMGM[],7,FALSE),"")</f>
        <v/>
      </c>
      <c r="AG125" s="66" t="str">
        <f>IFERROR(VLOOKUP(TableHandbook[[#This Row],[UDC]],TableMJRUINTBU[],7,FALSE),"")</f>
        <v/>
      </c>
      <c r="AH125" s="66" t="str">
        <f>IFERROR(VLOOKUP(TableHandbook[[#This Row],[UDC]],TableMJRULGSCM[],7,FALSE),"")</f>
        <v/>
      </c>
      <c r="AI125" s="66" t="str">
        <f>IFERROR(VLOOKUP(TableHandbook[[#This Row],[UDC]],TableMJRUMNGMT[],7,FALSE),"")</f>
        <v/>
      </c>
      <c r="AJ125" s="66" t="str">
        <f>IFERROR(VLOOKUP(TableHandbook[[#This Row],[UDC]],TableMJRUMRKTG[],7,FALSE),"")</f>
        <v/>
      </c>
      <c r="AK125" s="66" t="str">
        <f>IFERROR(VLOOKUP(TableHandbook[[#This Row],[UDC]],TableMJRUPRPTY[],7,FALSE),"")</f>
        <v/>
      </c>
      <c r="AL125" s="66" t="str">
        <f>IFERROR(VLOOKUP(TableHandbook[[#This Row],[UDC]],TableMJRUSCRAR[],7,FALSE),"")</f>
        <v/>
      </c>
      <c r="AM125" s="66" t="str">
        <f>IFERROR(VLOOKUP(TableHandbook[[#This Row],[UDC]],TableMJRUTHTRA[],7,FALSE),"")</f>
        <v/>
      </c>
      <c r="AN125" s="66" t="str">
        <f>IFERROR(VLOOKUP(TableHandbook[[#This Row],[UDC]],TableMJRUTRHOS[],7,FALSE),"")</f>
        <v/>
      </c>
    </row>
    <row r="126" spans="1:40" x14ac:dyDescent="0.25">
      <c r="A126" s="8" t="s">
        <v>260</v>
      </c>
      <c r="B126" s="9">
        <v>2</v>
      </c>
      <c r="C126" s="8"/>
      <c r="D126" s="8" t="s">
        <v>651</v>
      </c>
      <c r="E126" s="9">
        <v>25</v>
      </c>
      <c r="F126" s="49" t="s">
        <v>526</v>
      </c>
      <c r="G126" s="67" t="str">
        <f>IFERROR(IF(VLOOKUP(TableHandbook[[#This Row],[UDC]],TableAvailabilities[],2,FALSE)&gt;0,"Y",""),"")</f>
        <v>Y</v>
      </c>
      <c r="H126" s="68" t="str">
        <f>IFERROR(IF(VLOOKUP(TableHandbook[[#This Row],[UDC]],TableAvailabilities[],3,FALSE)&gt;0,"Y",""),"")</f>
        <v>Y</v>
      </c>
      <c r="I126" s="69" t="str">
        <f>IFERROR(IF(VLOOKUP(TableHandbook[[#This Row],[UDC]],TableAvailabilities[],4,FALSE)&gt;0,"Y",""),"")</f>
        <v/>
      </c>
      <c r="J126" s="70" t="str">
        <f>IFERROR(IF(VLOOKUP(TableHandbook[[#This Row],[UDC]],TableAvailabilities[],5,FALSE)&gt;0,"Y",""),"")</f>
        <v/>
      </c>
      <c r="K126" s="163" t="s">
        <v>551</v>
      </c>
      <c r="L126" s="64" t="str">
        <f>IFERROR(VLOOKUP(TableHandbook[[#This Row],[UDC]],TableBARTS[],7,FALSE),"")</f>
        <v/>
      </c>
      <c r="M126" s="65" t="str">
        <f>IFERROR(VLOOKUP(TableHandbook[[#This Row],[UDC]],TableMJRUANTSO[],7,FALSE),"")</f>
        <v/>
      </c>
      <c r="N126" s="65" t="str">
        <f>IFERROR(VLOOKUP(TableHandbook[[#This Row],[UDC]],TableMJRUCHNSE[],7,FALSE),"")</f>
        <v/>
      </c>
      <c r="O126" s="65" t="str">
        <f>IFERROR(VLOOKUP(TableHandbook[[#This Row],[UDC]],TableMJRUCRWRI[],7,FALSE),"")</f>
        <v/>
      </c>
      <c r="P126" s="65" t="str">
        <f>IFERROR(VLOOKUP(TableHandbook[[#This Row],[UDC]],TableMJRUGEOGR[],7,FALSE),"")</f>
        <v/>
      </c>
      <c r="Q126" s="65" t="str">
        <f>IFERROR(VLOOKUP(TableHandbook[[#This Row],[UDC]],TableMJRUHISTR[],7,FALSE),"")</f>
        <v/>
      </c>
      <c r="R126" s="65" t="str">
        <f>IFERROR(VLOOKUP(TableHandbook[[#This Row],[UDC]],TableMJRUINAUC[],7,FALSE),"")</f>
        <v/>
      </c>
      <c r="S126" s="65" t="str">
        <f>IFERROR(VLOOKUP(TableHandbook[[#This Row],[UDC]],TableMJRUINTRL[],7,FALSE),"")</f>
        <v/>
      </c>
      <c r="T126" s="65" t="str">
        <f>IFERROR(VLOOKUP(TableHandbook[[#This Row],[UDC]],TableMJRUJAPAN[],7,FALSE),"")</f>
        <v>Core</v>
      </c>
      <c r="U126" s="65" t="str">
        <f>IFERROR(VLOOKUP(TableHandbook[[#This Row],[UDC]],TableMJRUJOURN[],7,FALSE),"")</f>
        <v/>
      </c>
      <c r="V126" s="65" t="str">
        <f>IFERROR(VLOOKUP(TableHandbook[[#This Row],[UDC]],TableMJRUKORES[],7,FALSE),"")</f>
        <v/>
      </c>
      <c r="W126" s="65" t="str">
        <f>IFERROR(VLOOKUP(TableHandbook[[#This Row],[UDC]],TableMJRULITCU[],7,FALSE),"")</f>
        <v/>
      </c>
      <c r="X126" s="65" t="str">
        <f>IFERROR(VLOOKUP(TableHandbook[[#This Row],[UDC]],TableMJRUNETCM[],7,FALSE),"")</f>
        <v/>
      </c>
      <c r="Y126" s="65" t="str">
        <f>IFERROR(VLOOKUP(TableHandbook[[#This Row],[UDC]],TableMJRUPRWRP[],7,FALSE),"")</f>
        <v/>
      </c>
      <c r="Z126" s="66" t="str">
        <f>IFERROR(VLOOKUP(TableHandbook[[#This Row],[UDC]],TableMJRUSCSTR[],7,FALSE),"")</f>
        <v/>
      </c>
      <c r="AA126" s="74"/>
      <c r="AB126" s="66" t="str">
        <f>IFERROR(VLOOKUP(TableHandbook[[#This Row],[UDC]],TableMJRUBSLAW[],7,FALSE),"")</f>
        <v/>
      </c>
      <c r="AC126" s="66" t="str">
        <f>IFERROR(VLOOKUP(TableHandbook[[#This Row],[UDC]],TableMJRUECONS[],7,FALSE),"")</f>
        <v/>
      </c>
      <c r="AD126" s="66" t="str">
        <f>IFERROR(VLOOKUP(TableHandbook[[#This Row],[UDC]],TableMJRUFINAR[],7,FALSE),"")</f>
        <v/>
      </c>
      <c r="AE126" s="66" t="str">
        <f>IFERROR(VLOOKUP(TableHandbook[[#This Row],[UDC]],TableMJRUFINCE[],7,FALSE),"")</f>
        <v/>
      </c>
      <c r="AF126" s="66" t="str">
        <f>IFERROR(VLOOKUP(TableHandbook[[#This Row],[UDC]],TableMJRUHRMGM[],7,FALSE),"")</f>
        <v/>
      </c>
      <c r="AG126" s="66" t="str">
        <f>IFERROR(VLOOKUP(TableHandbook[[#This Row],[UDC]],TableMJRUINTBU[],7,FALSE),"")</f>
        <v/>
      </c>
      <c r="AH126" s="66" t="str">
        <f>IFERROR(VLOOKUP(TableHandbook[[#This Row],[UDC]],TableMJRULGSCM[],7,FALSE),"")</f>
        <v/>
      </c>
      <c r="AI126" s="66" t="str">
        <f>IFERROR(VLOOKUP(TableHandbook[[#This Row],[UDC]],TableMJRUMNGMT[],7,FALSE),"")</f>
        <v/>
      </c>
      <c r="AJ126" s="66" t="str">
        <f>IFERROR(VLOOKUP(TableHandbook[[#This Row],[UDC]],TableMJRUMRKTG[],7,FALSE),"")</f>
        <v/>
      </c>
      <c r="AK126" s="66" t="str">
        <f>IFERROR(VLOOKUP(TableHandbook[[#This Row],[UDC]],TableMJRUPRPTY[],7,FALSE),"")</f>
        <v/>
      </c>
      <c r="AL126" s="66" t="str">
        <f>IFERROR(VLOOKUP(TableHandbook[[#This Row],[UDC]],TableMJRUSCRAR[],7,FALSE),"")</f>
        <v/>
      </c>
      <c r="AM126" s="66" t="str">
        <f>IFERROR(VLOOKUP(TableHandbook[[#This Row],[UDC]],TableMJRUTHTRA[],7,FALSE),"")</f>
        <v/>
      </c>
      <c r="AN126" s="66" t="str">
        <f>IFERROR(VLOOKUP(TableHandbook[[#This Row],[UDC]],TableMJRUTRHOS[],7,FALSE),"")</f>
        <v/>
      </c>
    </row>
    <row r="127" spans="1:40" x14ac:dyDescent="0.25">
      <c r="A127" s="8" t="s">
        <v>261</v>
      </c>
      <c r="B127" s="9">
        <v>2</v>
      </c>
      <c r="C127" s="8"/>
      <c r="D127" s="8" t="s">
        <v>652</v>
      </c>
      <c r="E127" s="9">
        <v>25</v>
      </c>
      <c r="F127" s="49" t="s">
        <v>526</v>
      </c>
      <c r="G127" s="67" t="str">
        <f>IFERROR(IF(VLOOKUP(TableHandbook[[#This Row],[UDC]],TableAvailabilities[],2,FALSE)&gt;0,"Y",""),"")</f>
        <v/>
      </c>
      <c r="H127" s="68" t="str">
        <f>IFERROR(IF(VLOOKUP(TableHandbook[[#This Row],[UDC]],TableAvailabilities[],3,FALSE)&gt;0,"Y",""),"")</f>
        <v/>
      </c>
      <c r="I127" s="69" t="str">
        <f>IFERROR(IF(VLOOKUP(TableHandbook[[#This Row],[UDC]],TableAvailabilities[],4,FALSE)&gt;0,"Y",""),"")</f>
        <v>Y</v>
      </c>
      <c r="J127" s="70" t="str">
        <f>IFERROR(IF(VLOOKUP(TableHandbook[[#This Row],[UDC]],TableAvailabilities[],5,FALSE)&gt;0,"Y",""),"")</f>
        <v>Y</v>
      </c>
      <c r="K127" s="163" t="s">
        <v>551</v>
      </c>
      <c r="L127" s="64" t="str">
        <f>IFERROR(VLOOKUP(TableHandbook[[#This Row],[UDC]],TableBARTS[],7,FALSE),"")</f>
        <v/>
      </c>
      <c r="M127" s="65" t="str">
        <f>IFERROR(VLOOKUP(TableHandbook[[#This Row],[UDC]],TableMJRUANTSO[],7,FALSE),"")</f>
        <v/>
      </c>
      <c r="N127" s="65" t="str">
        <f>IFERROR(VLOOKUP(TableHandbook[[#This Row],[UDC]],TableMJRUCHNSE[],7,FALSE),"")</f>
        <v/>
      </c>
      <c r="O127" s="65" t="str">
        <f>IFERROR(VLOOKUP(TableHandbook[[#This Row],[UDC]],TableMJRUCRWRI[],7,FALSE),"")</f>
        <v/>
      </c>
      <c r="P127" s="65" t="str">
        <f>IFERROR(VLOOKUP(TableHandbook[[#This Row],[UDC]],TableMJRUGEOGR[],7,FALSE),"")</f>
        <v/>
      </c>
      <c r="Q127" s="65" t="str">
        <f>IFERROR(VLOOKUP(TableHandbook[[#This Row],[UDC]],TableMJRUHISTR[],7,FALSE),"")</f>
        <v/>
      </c>
      <c r="R127" s="65" t="str">
        <f>IFERROR(VLOOKUP(TableHandbook[[#This Row],[UDC]],TableMJRUINAUC[],7,FALSE),"")</f>
        <v/>
      </c>
      <c r="S127" s="65" t="str">
        <f>IFERROR(VLOOKUP(TableHandbook[[#This Row],[UDC]],TableMJRUINTRL[],7,FALSE),"")</f>
        <v/>
      </c>
      <c r="T127" s="65" t="str">
        <f>IFERROR(VLOOKUP(TableHandbook[[#This Row],[UDC]],TableMJRUJAPAN[],7,FALSE),"")</f>
        <v>Core</v>
      </c>
      <c r="U127" s="65" t="str">
        <f>IFERROR(VLOOKUP(TableHandbook[[#This Row],[UDC]],TableMJRUJOURN[],7,FALSE),"")</f>
        <v/>
      </c>
      <c r="V127" s="65" t="str">
        <f>IFERROR(VLOOKUP(TableHandbook[[#This Row],[UDC]],TableMJRUKORES[],7,FALSE),"")</f>
        <v/>
      </c>
      <c r="W127" s="65" t="str">
        <f>IFERROR(VLOOKUP(TableHandbook[[#This Row],[UDC]],TableMJRULITCU[],7,FALSE),"")</f>
        <v/>
      </c>
      <c r="X127" s="65" t="str">
        <f>IFERROR(VLOOKUP(TableHandbook[[#This Row],[UDC]],TableMJRUNETCM[],7,FALSE),"")</f>
        <v/>
      </c>
      <c r="Y127" s="65" t="str">
        <f>IFERROR(VLOOKUP(TableHandbook[[#This Row],[UDC]],TableMJRUPRWRP[],7,FALSE),"")</f>
        <v/>
      </c>
      <c r="Z127" s="66" t="str">
        <f>IFERROR(VLOOKUP(TableHandbook[[#This Row],[UDC]],TableMJRUSCSTR[],7,FALSE),"")</f>
        <v/>
      </c>
      <c r="AA127" s="74"/>
      <c r="AB127" s="66" t="str">
        <f>IFERROR(VLOOKUP(TableHandbook[[#This Row],[UDC]],TableMJRUBSLAW[],7,FALSE),"")</f>
        <v/>
      </c>
      <c r="AC127" s="66" t="str">
        <f>IFERROR(VLOOKUP(TableHandbook[[#This Row],[UDC]],TableMJRUECONS[],7,FALSE),"")</f>
        <v/>
      </c>
      <c r="AD127" s="66" t="str">
        <f>IFERROR(VLOOKUP(TableHandbook[[#This Row],[UDC]],TableMJRUFINAR[],7,FALSE),"")</f>
        <v/>
      </c>
      <c r="AE127" s="66" t="str">
        <f>IFERROR(VLOOKUP(TableHandbook[[#This Row],[UDC]],TableMJRUFINCE[],7,FALSE),"")</f>
        <v/>
      </c>
      <c r="AF127" s="66" t="str">
        <f>IFERROR(VLOOKUP(TableHandbook[[#This Row],[UDC]],TableMJRUHRMGM[],7,FALSE),"")</f>
        <v/>
      </c>
      <c r="AG127" s="66" t="str">
        <f>IFERROR(VLOOKUP(TableHandbook[[#This Row],[UDC]],TableMJRUINTBU[],7,FALSE),"")</f>
        <v/>
      </c>
      <c r="AH127" s="66" t="str">
        <f>IFERROR(VLOOKUP(TableHandbook[[#This Row],[UDC]],TableMJRULGSCM[],7,FALSE),"")</f>
        <v/>
      </c>
      <c r="AI127" s="66" t="str">
        <f>IFERROR(VLOOKUP(TableHandbook[[#This Row],[UDC]],TableMJRUMNGMT[],7,FALSE),"")</f>
        <v/>
      </c>
      <c r="AJ127" s="66" t="str">
        <f>IFERROR(VLOOKUP(TableHandbook[[#This Row],[UDC]],TableMJRUMRKTG[],7,FALSE),"")</f>
        <v/>
      </c>
      <c r="AK127" s="66" t="str">
        <f>IFERROR(VLOOKUP(TableHandbook[[#This Row],[UDC]],TableMJRUPRPTY[],7,FALSE),"")</f>
        <v/>
      </c>
      <c r="AL127" s="66" t="str">
        <f>IFERROR(VLOOKUP(TableHandbook[[#This Row],[UDC]],TableMJRUSCRAR[],7,FALSE),"")</f>
        <v/>
      </c>
      <c r="AM127" s="66" t="str">
        <f>IFERROR(VLOOKUP(TableHandbook[[#This Row],[UDC]],TableMJRUTHTRA[],7,FALSE),"")</f>
        <v/>
      </c>
      <c r="AN127" s="66" t="str">
        <f>IFERROR(VLOOKUP(TableHandbook[[#This Row],[UDC]],TableMJRUTRHOS[],7,FALSE),"")</f>
        <v/>
      </c>
    </row>
    <row r="128" spans="1:40" x14ac:dyDescent="0.25">
      <c r="A128" s="8" t="s">
        <v>284</v>
      </c>
      <c r="B128" s="9">
        <v>2</v>
      </c>
      <c r="C128" s="8"/>
      <c r="D128" s="8" t="s">
        <v>653</v>
      </c>
      <c r="E128" s="9">
        <v>25</v>
      </c>
      <c r="F128" s="49" t="s">
        <v>526</v>
      </c>
      <c r="G128" s="67" t="str">
        <f>IFERROR(IF(VLOOKUP(TableHandbook[[#This Row],[UDC]],TableAvailabilities[],2,FALSE)&gt;0,"Y",""),"")</f>
        <v>Y</v>
      </c>
      <c r="H128" s="68" t="str">
        <f>IFERROR(IF(VLOOKUP(TableHandbook[[#This Row],[UDC]],TableAvailabilities[],3,FALSE)&gt;0,"Y",""),"")</f>
        <v>Y</v>
      </c>
      <c r="I128" s="69" t="str">
        <f>IFERROR(IF(VLOOKUP(TableHandbook[[#This Row],[UDC]],TableAvailabilities[],4,FALSE)&gt;0,"Y",""),"")</f>
        <v/>
      </c>
      <c r="J128" s="70" t="str">
        <f>IFERROR(IF(VLOOKUP(TableHandbook[[#This Row],[UDC]],TableAvailabilities[],5,FALSE)&gt;0,"Y",""),"")</f>
        <v/>
      </c>
      <c r="K128" s="163" t="s">
        <v>551</v>
      </c>
      <c r="L128" s="64" t="str">
        <f>IFERROR(VLOOKUP(TableHandbook[[#This Row],[UDC]],TableBARTS[],7,FALSE),"")</f>
        <v/>
      </c>
      <c r="M128" s="65" t="str">
        <f>IFERROR(VLOOKUP(TableHandbook[[#This Row],[UDC]],TableMJRUANTSO[],7,FALSE),"")</f>
        <v/>
      </c>
      <c r="N128" s="65" t="str">
        <f>IFERROR(VLOOKUP(TableHandbook[[#This Row],[UDC]],TableMJRUCHNSE[],7,FALSE),"")</f>
        <v/>
      </c>
      <c r="O128" s="65" t="str">
        <f>IFERROR(VLOOKUP(TableHandbook[[#This Row],[UDC]],TableMJRUCRWRI[],7,FALSE),"")</f>
        <v/>
      </c>
      <c r="P128" s="65" t="str">
        <f>IFERROR(VLOOKUP(TableHandbook[[#This Row],[UDC]],TableMJRUGEOGR[],7,FALSE),"")</f>
        <v/>
      </c>
      <c r="Q128" s="65" t="str">
        <f>IFERROR(VLOOKUP(TableHandbook[[#This Row],[UDC]],TableMJRUHISTR[],7,FALSE),"")</f>
        <v/>
      </c>
      <c r="R128" s="65" t="str">
        <f>IFERROR(VLOOKUP(TableHandbook[[#This Row],[UDC]],TableMJRUINAUC[],7,FALSE),"")</f>
        <v/>
      </c>
      <c r="S128" s="65" t="str">
        <f>IFERROR(VLOOKUP(TableHandbook[[#This Row],[UDC]],TableMJRUINTRL[],7,FALSE),"")</f>
        <v/>
      </c>
      <c r="T128" s="65" t="str">
        <f>IFERROR(VLOOKUP(TableHandbook[[#This Row],[UDC]],TableMJRUJAPAN[],7,FALSE),"")</f>
        <v>Core</v>
      </c>
      <c r="U128" s="65" t="str">
        <f>IFERROR(VLOOKUP(TableHandbook[[#This Row],[UDC]],TableMJRUJOURN[],7,FALSE),"")</f>
        <v/>
      </c>
      <c r="V128" s="65" t="str">
        <f>IFERROR(VLOOKUP(TableHandbook[[#This Row],[UDC]],TableMJRUKORES[],7,FALSE),"")</f>
        <v/>
      </c>
      <c r="W128" s="65" t="str">
        <f>IFERROR(VLOOKUP(TableHandbook[[#This Row],[UDC]],TableMJRULITCU[],7,FALSE),"")</f>
        <v/>
      </c>
      <c r="X128" s="65" t="str">
        <f>IFERROR(VLOOKUP(TableHandbook[[#This Row],[UDC]],TableMJRUNETCM[],7,FALSE),"")</f>
        <v/>
      </c>
      <c r="Y128" s="65" t="str">
        <f>IFERROR(VLOOKUP(TableHandbook[[#This Row],[UDC]],TableMJRUPRWRP[],7,FALSE),"")</f>
        <v/>
      </c>
      <c r="Z128" s="66" t="str">
        <f>IFERROR(VLOOKUP(TableHandbook[[#This Row],[UDC]],TableMJRUSCSTR[],7,FALSE),"")</f>
        <v/>
      </c>
      <c r="AA128" s="74"/>
      <c r="AB128" s="66" t="str">
        <f>IFERROR(VLOOKUP(TableHandbook[[#This Row],[UDC]],TableMJRUBSLAW[],7,FALSE),"")</f>
        <v/>
      </c>
      <c r="AC128" s="66" t="str">
        <f>IFERROR(VLOOKUP(TableHandbook[[#This Row],[UDC]],TableMJRUECONS[],7,FALSE),"")</f>
        <v/>
      </c>
      <c r="AD128" s="66" t="str">
        <f>IFERROR(VLOOKUP(TableHandbook[[#This Row],[UDC]],TableMJRUFINAR[],7,FALSE),"")</f>
        <v/>
      </c>
      <c r="AE128" s="66" t="str">
        <f>IFERROR(VLOOKUP(TableHandbook[[#This Row],[UDC]],TableMJRUFINCE[],7,FALSE),"")</f>
        <v/>
      </c>
      <c r="AF128" s="66" t="str">
        <f>IFERROR(VLOOKUP(TableHandbook[[#This Row],[UDC]],TableMJRUHRMGM[],7,FALSE),"")</f>
        <v/>
      </c>
      <c r="AG128" s="66" t="str">
        <f>IFERROR(VLOOKUP(TableHandbook[[#This Row],[UDC]],TableMJRUINTBU[],7,FALSE),"")</f>
        <v/>
      </c>
      <c r="AH128" s="66" t="str">
        <f>IFERROR(VLOOKUP(TableHandbook[[#This Row],[UDC]],TableMJRULGSCM[],7,FALSE),"")</f>
        <v/>
      </c>
      <c r="AI128" s="66" t="str">
        <f>IFERROR(VLOOKUP(TableHandbook[[#This Row],[UDC]],TableMJRUMNGMT[],7,FALSE),"")</f>
        <v/>
      </c>
      <c r="AJ128" s="66" t="str">
        <f>IFERROR(VLOOKUP(TableHandbook[[#This Row],[UDC]],TableMJRUMRKTG[],7,FALSE),"")</f>
        <v/>
      </c>
      <c r="AK128" s="66" t="str">
        <f>IFERROR(VLOOKUP(TableHandbook[[#This Row],[UDC]],TableMJRUPRPTY[],7,FALSE),"")</f>
        <v/>
      </c>
      <c r="AL128" s="66" t="str">
        <f>IFERROR(VLOOKUP(TableHandbook[[#This Row],[UDC]],TableMJRUSCRAR[],7,FALSE),"")</f>
        <v/>
      </c>
      <c r="AM128" s="66" t="str">
        <f>IFERROR(VLOOKUP(TableHandbook[[#This Row],[UDC]],TableMJRUTHTRA[],7,FALSE),"")</f>
        <v/>
      </c>
      <c r="AN128" s="66" t="str">
        <f>IFERROR(VLOOKUP(TableHandbook[[#This Row],[UDC]],TableMJRUTRHOS[],7,FALSE),"")</f>
        <v/>
      </c>
    </row>
    <row r="129" spans="1:40" x14ac:dyDescent="0.25">
      <c r="A129" s="8" t="s">
        <v>285</v>
      </c>
      <c r="B129" s="9">
        <v>2</v>
      </c>
      <c r="C129" s="8"/>
      <c r="D129" s="8" t="s">
        <v>654</v>
      </c>
      <c r="E129" s="9">
        <v>25</v>
      </c>
      <c r="F129" s="49" t="s">
        <v>526</v>
      </c>
      <c r="G129" s="67" t="str">
        <f>IFERROR(IF(VLOOKUP(TableHandbook[[#This Row],[UDC]],TableAvailabilities[],2,FALSE)&gt;0,"Y",""),"")</f>
        <v/>
      </c>
      <c r="H129" s="68" t="str">
        <f>IFERROR(IF(VLOOKUP(TableHandbook[[#This Row],[UDC]],TableAvailabilities[],3,FALSE)&gt;0,"Y",""),"")</f>
        <v/>
      </c>
      <c r="I129" s="69" t="str">
        <f>IFERROR(IF(VLOOKUP(TableHandbook[[#This Row],[UDC]],TableAvailabilities[],4,FALSE)&gt;0,"Y",""),"")</f>
        <v>Y</v>
      </c>
      <c r="J129" s="70" t="str">
        <f>IFERROR(IF(VLOOKUP(TableHandbook[[#This Row],[UDC]],TableAvailabilities[],5,FALSE)&gt;0,"Y",""),"")</f>
        <v>Y</v>
      </c>
      <c r="K129" s="163" t="s">
        <v>551</v>
      </c>
      <c r="L129" s="64" t="str">
        <f>IFERROR(VLOOKUP(TableHandbook[[#This Row],[UDC]],TableBARTS[],7,FALSE),"")</f>
        <v/>
      </c>
      <c r="M129" s="65" t="str">
        <f>IFERROR(VLOOKUP(TableHandbook[[#This Row],[UDC]],TableMJRUANTSO[],7,FALSE),"")</f>
        <v/>
      </c>
      <c r="N129" s="65" t="str">
        <f>IFERROR(VLOOKUP(TableHandbook[[#This Row],[UDC]],TableMJRUCHNSE[],7,FALSE),"")</f>
        <v/>
      </c>
      <c r="O129" s="65" t="str">
        <f>IFERROR(VLOOKUP(TableHandbook[[#This Row],[UDC]],TableMJRUCRWRI[],7,FALSE),"")</f>
        <v/>
      </c>
      <c r="P129" s="65" t="str">
        <f>IFERROR(VLOOKUP(TableHandbook[[#This Row],[UDC]],TableMJRUGEOGR[],7,FALSE),"")</f>
        <v/>
      </c>
      <c r="Q129" s="65" t="str">
        <f>IFERROR(VLOOKUP(TableHandbook[[#This Row],[UDC]],TableMJRUHISTR[],7,FALSE),"")</f>
        <v/>
      </c>
      <c r="R129" s="65" t="str">
        <f>IFERROR(VLOOKUP(TableHandbook[[#This Row],[UDC]],TableMJRUINAUC[],7,FALSE),"")</f>
        <v/>
      </c>
      <c r="S129" s="65" t="str">
        <f>IFERROR(VLOOKUP(TableHandbook[[#This Row],[UDC]],TableMJRUINTRL[],7,FALSE),"")</f>
        <v/>
      </c>
      <c r="T129" s="65" t="str">
        <f>IFERROR(VLOOKUP(TableHandbook[[#This Row],[UDC]],TableMJRUJAPAN[],7,FALSE),"")</f>
        <v>Core</v>
      </c>
      <c r="U129" s="65" t="str">
        <f>IFERROR(VLOOKUP(TableHandbook[[#This Row],[UDC]],TableMJRUJOURN[],7,FALSE),"")</f>
        <v/>
      </c>
      <c r="V129" s="65" t="str">
        <f>IFERROR(VLOOKUP(TableHandbook[[#This Row],[UDC]],TableMJRUKORES[],7,FALSE),"")</f>
        <v/>
      </c>
      <c r="W129" s="65" t="str">
        <f>IFERROR(VLOOKUP(TableHandbook[[#This Row],[UDC]],TableMJRULITCU[],7,FALSE),"")</f>
        <v/>
      </c>
      <c r="X129" s="65" t="str">
        <f>IFERROR(VLOOKUP(TableHandbook[[#This Row],[UDC]],TableMJRUNETCM[],7,FALSE),"")</f>
        <v/>
      </c>
      <c r="Y129" s="65" t="str">
        <f>IFERROR(VLOOKUP(TableHandbook[[#This Row],[UDC]],TableMJRUPRWRP[],7,FALSE),"")</f>
        <v/>
      </c>
      <c r="Z129" s="66" t="str">
        <f>IFERROR(VLOOKUP(TableHandbook[[#This Row],[UDC]],TableMJRUSCSTR[],7,FALSE),"")</f>
        <v/>
      </c>
      <c r="AA129" s="74"/>
      <c r="AB129" s="66" t="str">
        <f>IFERROR(VLOOKUP(TableHandbook[[#This Row],[UDC]],TableMJRUBSLAW[],7,FALSE),"")</f>
        <v/>
      </c>
      <c r="AC129" s="66" t="str">
        <f>IFERROR(VLOOKUP(TableHandbook[[#This Row],[UDC]],TableMJRUECONS[],7,FALSE),"")</f>
        <v/>
      </c>
      <c r="AD129" s="66" t="str">
        <f>IFERROR(VLOOKUP(TableHandbook[[#This Row],[UDC]],TableMJRUFINAR[],7,FALSE),"")</f>
        <v/>
      </c>
      <c r="AE129" s="66" t="str">
        <f>IFERROR(VLOOKUP(TableHandbook[[#This Row],[UDC]],TableMJRUFINCE[],7,FALSE),"")</f>
        <v/>
      </c>
      <c r="AF129" s="66" t="str">
        <f>IFERROR(VLOOKUP(TableHandbook[[#This Row],[UDC]],TableMJRUHRMGM[],7,FALSE),"")</f>
        <v/>
      </c>
      <c r="AG129" s="66" t="str">
        <f>IFERROR(VLOOKUP(TableHandbook[[#This Row],[UDC]],TableMJRUINTBU[],7,FALSE),"")</f>
        <v/>
      </c>
      <c r="AH129" s="66" t="str">
        <f>IFERROR(VLOOKUP(TableHandbook[[#This Row],[UDC]],TableMJRULGSCM[],7,FALSE),"")</f>
        <v/>
      </c>
      <c r="AI129" s="66" t="str">
        <f>IFERROR(VLOOKUP(TableHandbook[[#This Row],[UDC]],TableMJRUMNGMT[],7,FALSE),"")</f>
        <v/>
      </c>
      <c r="AJ129" s="66" t="str">
        <f>IFERROR(VLOOKUP(TableHandbook[[#This Row],[UDC]],TableMJRUMRKTG[],7,FALSE),"")</f>
        <v/>
      </c>
      <c r="AK129" s="66" t="str">
        <f>IFERROR(VLOOKUP(TableHandbook[[#This Row],[UDC]],TableMJRUPRPTY[],7,FALSE),"")</f>
        <v/>
      </c>
      <c r="AL129" s="66" t="str">
        <f>IFERROR(VLOOKUP(TableHandbook[[#This Row],[UDC]],TableMJRUSCRAR[],7,FALSE),"")</f>
        <v/>
      </c>
      <c r="AM129" s="66" t="str">
        <f>IFERROR(VLOOKUP(TableHandbook[[#This Row],[UDC]],TableMJRUTHTRA[],7,FALSE),"")</f>
        <v/>
      </c>
      <c r="AN129" s="66" t="str">
        <f>IFERROR(VLOOKUP(TableHandbook[[#This Row],[UDC]],TableMJRUTRHOS[],7,FALSE),"")</f>
        <v/>
      </c>
    </row>
    <row r="130" spans="1:40" x14ac:dyDescent="0.25">
      <c r="A130" s="8" t="s">
        <v>58</v>
      </c>
      <c r="B130" s="9">
        <v>2</v>
      </c>
      <c r="C130" s="8"/>
      <c r="D130" s="8" t="s">
        <v>655</v>
      </c>
      <c r="E130" s="9">
        <v>25</v>
      </c>
      <c r="F130" s="49" t="s">
        <v>526</v>
      </c>
      <c r="G130" s="67" t="str">
        <f>IFERROR(IF(VLOOKUP(TableHandbook[[#This Row],[UDC]],TableAvailabilities[],2,FALSE)&gt;0,"Y",""),"")</f>
        <v>Y</v>
      </c>
      <c r="H130" s="68" t="str">
        <f>IFERROR(IF(VLOOKUP(TableHandbook[[#This Row],[UDC]],TableAvailabilities[],3,FALSE)&gt;0,"Y",""),"")</f>
        <v/>
      </c>
      <c r="I130" s="69" t="str">
        <f>IFERROR(IF(VLOOKUP(TableHandbook[[#This Row],[UDC]],TableAvailabilities[],4,FALSE)&gt;0,"Y",""),"")</f>
        <v>Y</v>
      </c>
      <c r="J130" s="70" t="str">
        <f>IFERROR(IF(VLOOKUP(TableHandbook[[#This Row],[UDC]],TableAvailabilities[],5,FALSE)&gt;0,"Y",""),"")</f>
        <v/>
      </c>
      <c r="K130" s="163"/>
      <c r="L130" s="64" t="str">
        <f>IFERROR(VLOOKUP(TableHandbook[[#This Row],[UDC]],TableBARTS[],7,FALSE),"")</f>
        <v>Option</v>
      </c>
      <c r="M130" s="65" t="str">
        <f>IFERROR(VLOOKUP(TableHandbook[[#This Row],[UDC]],TableMJRUANTSO[],7,FALSE),"")</f>
        <v/>
      </c>
      <c r="N130" s="65" t="str">
        <f>IFERROR(VLOOKUP(TableHandbook[[#This Row],[UDC]],TableMJRUCHNSE[],7,FALSE),"")</f>
        <v/>
      </c>
      <c r="O130" s="65" t="str">
        <f>IFERROR(VLOOKUP(TableHandbook[[#This Row],[UDC]],TableMJRUCRWRI[],7,FALSE),"")</f>
        <v/>
      </c>
      <c r="P130" s="65" t="str">
        <f>IFERROR(VLOOKUP(TableHandbook[[#This Row],[UDC]],TableMJRUGEOGR[],7,FALSE),"")</f>
        <v/>
      </c>
      <c r="Q130" s="65" t="str">
        <f>IFERROR(VLOOKUP(TableHandbook[[#This Row],[UDC]],TableMJRUHISTR[],7,FALSE),"")</f>
        <v/>
      </c>
      <c r="R130" s="65" t="str">
        <f>IFERROR(VLOOKUP(TableHandbook[[#This Row],[UDC]],TableMJRUINAUC[],7,FALSE),"")</f>
        <v/>
      </c>
      <c r="S130" s="65" t="str">
        <f>IFERROR(VLOOKUP(TableHandbook[[#This Row],[UDC]],TableMJRUINTRL[],7,FALSE),"")</f>
        <v/>
      </c>
      <c r="T130" s="65" t="str">
        <f>IFERROR(VLOOKUP(TableHandbook[[#This Row],[UDC]],TableMJRUJAPAN[],7,FALSE),"")</f>
        <v/>
      </c>
      <c r="U130" s="65" t="str">
        <f>IFERROR(VLOOKUP(TableHandbook[[#This Row],[UDC]],TableMJRUJOURN[],7,FALSE),"")</f>
        <v/>
      </c>
      <c r="V130" s="65" t="str">
        <f>IFERROR(VLOOKUP(TableHandbook[[#This Row],[UDC]],TableMJRUKORES[],7,FALSE),"")</f>
        <v/>
      </c>
      <c r="W130" s="65" t="str">
        <f>IFERROR(VLOOKUP(TableHandbook[[#This Row],[UDC]],TableMJRULITCU[],7,FALSE),"")</f>
        <v/>
      </c>
      <c r="X130" s="65" t="str">
        <f>IFERROR(VLOOKUP(TableHandbook[[#This Row],[UDC]],TableMJRUNETCM[],7,FALSE),"")</f>
        <v/>
      </c>
      <c r="Y130" s="65" t="str">
        <f>IFERROR(VLOOKUP(TableHandbook[[#This Row],[UDC]],TableMJRUPRWRP[],7,FALSE),"")</f>
        <v/>
      </c>
      <c r="Z130" s="66" t="str">
        <f>IFERROR(VLOOKUP(TableHandbook[[#This Row],[UDC]],TableMJRUSCSTR[],7,FALSE),"")</f>
        <v/>
      </c>
      <c r="AA130" s="74"/>
      <c r="AB130" s="66" t="str">
        <f>IFERROR(VLOOKUP(TableHandbook[[#This Row],[UDC]],TableMJRUBSLAW[],7,FALSE),"")</f>
        <v/>
      </c>
      <c r="AC130" s="66" t="str">
        <f>IFERROR(VLOOKUP(TableHandbook[[#This Row],[UDC]],TableMJRUECONS[],7,FALSE),"")</f>
        <v/>
      </c>
      <c r="AD130" s="66" t="str">
        <f>IFERROR(VLOOKUP(TableHandbook[[#This Row],[UDC]],TableMJRUFINAR[],7,FALSE),"")</f>
        <v/>
      </c>
      <c r="AE130" s="66" t="str">
        <f>IFERROR(VLOOKUP(TableHandbook[[#This Row],[UDC]],TableMJRUFINCE[],7,FALSE),"")</f>
        <v/>
      </c>
      <c r="AF130" s="66" t="str">
        <f>IFERROR(VLOOKUP(TableHandbook[[#This Row],[UDC]],TableMJRUHRMGM[],7,FALSE),"")</f>
        <v/>
      </c>
      <c r="AG130" s="66" t="str">
        <f>IFERROR(VLOOKUP(TableHandbook[[#This Row],[UDC]],TableMJRUINTBU[],7,FALSE),"")</f>
        <v/>
      </c>
      <c r="AH130" s="66" t="str">
        <f>IFERROR(VLOOKUP(TableHandbook[[#This Row],[UDC]],TableMJRULGSCM[],7,FALSE),"")</f>
        <v/>
      </c>
      <c r="AI130" s="66" t="str">
        <f>IFERROR(VLOOKUP(TableHandbook[[#This Row],[UDC]],TableMJRUMNGMT[],7,FALSE),"")</f>
        <v/>
      </c>
      <c r="AJ130" s="66" t="str">
        <f>IFERROR(VLOOKUP(TableHandbook[[#This Row],[UDC]],TableMJRUMRKTG[],7,FALSE),"")</f>
        <v/>
      </c>
      <c r="AK130" s="66" t="str">
        <f>IFERROR(VLOOKUP(TableHandbook[[#This Row],[UDC]],TableMJRUPRPTY[],7,FALSE),"")</f>
        <v/>
      </c>
      <c r="AL130" s="66" t="str">
        <f>IFERROR(VLOOKUP(TableHandbook[[#This Row],[UDC]],TableMJRUSCRAR[],7,FALSE),"")</f>
        <v/>
      </c>
      <c r="AM130" s="66" t="str">
        <f>IFERROR(VLOOKUP(TableHandbook[[#This Row],[UDC]],TableMJRUTHTRA[],7,FALSE),"")</f>
        <v/>
      </c>
      <c r="AN130" s="66" t="str">
        <f>IFERROR(VLOOKUP(TableHandbook[[#This Row],[UDC]],TableMJRUTRHOS[],7,FALSE),"")</f>
        <v/>
      </c>
    </row>
    <row r="131" spans="1:40" x14ac:dyDescent="0.25">
      <c r="A131" s="8" t="s">
        <v>59</v>
      </c>
      <c r="B131" s="9">
        <v>2</v>
      </c>
      <c r="C131" s="8"/>
      <c r="D131" s="8" t="s">
        <v>656</v>
      </c>
      <c r="E131" s="9">
        <v>25</v>
      </c>
      <c r="F131" s="49" t="s">
        <v>526</v>
      </c>
      <c r="G131" s="67" t="str">
        <f>IFERROR(IF(VLOOKUP(TableHandbook[[#This Row],[UDC]],TableAvailabilities[],2,FALSE)&gt;0,"Y",""),"")</f>
        <v>Y</v>
      </c>
      <c r="H131" s="68" t="str">
        <f>IFERROR(IF(VLOOKUP(TableHandbook[[#This Row],[UDC]],TableAvailabilities[],3,FALSE)&gt;0,"Y",""),"")</f>
        <v/>
      </c>
      <c r="I131" s="69" t="str">
        <f>IFERROR(IF(VLOOKUP(TableHandbook[[#This Row],[UDC]],TableAvailabilities[],4,FALSE)&gt;0,"Y",""),"")</f>
        <v>Y</v>
      </c>
      <c r="J131" s="70" t="str">
        <f>IFERROR(IF(VLOOKUP(TableHandbook[[#This Row],[UDC]],TableAvailabilities[],5,FALSE)&gt;0,"Y",""),"")</f>
        <v/>
      </c>
      <c r="K131" s="163"/>
      <c r="L131" s="64" t="str">
        <f>IFERROR(VLOOKUP(TableHandbook[[#This Row],[UDC]],TableBARTS[],7,FALSE),"")</f>
        <v>Option</v>
      </c>
      <c r="M131" s="65" t="str">
        <f>IFERROR(VLOOKUP(TableHandbook[[#This Row],[UDC]],TableMJRUANTSO[],7,FALSE),"")</f>
        <v/>
      </c>
      <c r="N131" s="65" t="str">
        <f>IFERROR(VLOOKUP(TableHandbook[[#This Row],[UDC]],TableMJRUCHNSE[],7,FALSE),"")</f>
        <v/>
      </c>
      <c r="O131" s="65" t="str">
        <f>IFERROR(VLOOKUP(TableHandbook[[#This Row],[UDC]],TableMJRUCRWRI[],7,FALSE),"")</f>
        <v/>
      </c>
      <c r="P131" s="65" t="str">
        <f>IFERROR(VLOOKUP(TableHandbook[[#This Row],[UDC]],TableMJRUGEOGR[],7,FALSE),"")</f>
        <v/>
      </c>
      <c r="Q131" s="65" t="str">
        <f>IFERROR(VLOOKUP(TableHandbook[[#This Row],[UDC]],TableMJRUHISTR[],7,FALSE),"")</f>
        <v/>
      </c>
      <c r="R131" s="65" t="str">
        <f>IFERROR(VLOOKUP(TableHandbook[[#This Row],[UDC]],TableMJRUINAUC[],7,FALSE),"")</f>
        <v/>
      </c>
      <c r="S131" s="65" t="str">
        <f>IFERROR(VLOOKUP(TableHandbook[[#This Row],[UDC]],TableMJRUINTRL[],7,FALSE),"")</f>
        <v/>
      </c>
      <c r="T131" s="65" t="str">
        <f>IFERROR(VLOOKUP(TableHandbook[[#This Row],[UDC]],TableMJRUJAPAN[],7,FALSE),"")</f>
        <v/>
      </c>
      <c r="U131" s="65" t="str">
        <f>IFERROR(VLOOKUP(TableHandbook[[#This Row],[UDC]],TableMJRUJOURN[],7,FALSE),"")</f>
        <v/>
      </c>
      <c r="V131" s="65" t="str">
        <f>IFERROR(VLOOKUP(TableHandbook[[#This Row],[UDC]],TableMJRUKORES[],7,FALSE),"")</f>
        <v/>
      </c>
      <c r="W131" s="65" t="str">
        <f>IFERROR(VLOOKUP(TableHandbook[[#This Row],[UDC]],TableMJRULITCU[],7,FALSE),"")</f>
        <v/>
      </c>
      <c r="X131" s="65" t="str">
        <f>IFERROR(VLOOKUP(TableHandbook[[#This Row],[UDC]],TableMJRUNETCM[],7,FALSE),"")</f>
        <v/>
      </c>
      <c r="Y131" s="65" t="str">
        <f>IFERROR(VLOOKUP(TableHandbook[[#This Row],[UDC]],TableMJRUPRWRP[],7,FALSE),"")</f>
        <v/>
      </c>
      <c r="Z131" s="66" t="str">
        <f>IFERROR(VLOOKUP(TableHandbook[[#This Row],[UDC]],TableMJRUSCSTR[],7,FALSE),"")</f>
        <v/>
      </c>
      <c r="AA131" s="74"/>
      <c r="AB131" s="66" t="str">
        <f>IFERROR(VLOOKUP(TableHandbook[[#This Row],[UDC]],TableMJRUBSLAW[],7,FALSE),"")</f>
        <v/>
      </c>
      <c r="AC131" s="66" t="str">
        <f>IFERROR(VLOOKUP(TableHandbook[[#This Row],[UDC]],TableMJRUECONS[],7,FALSE),"")</f>
        <v/>
      </c>
      <c r="AD131" s="66" t="str">
        <f>IFERROR(VLOOKUP(TableHandbook[[#This Row],[UDC]],TableMJRUFINAR[],7,FALSE),"")</f>
        <v/>
      </c>
      <c r="AE131" s="66" t="str">
        <f>IFERROR(VLOOKUP(TableHandbook[[#This Row],[UDC]],TableMJRUFINCE[],7,FALSE),"")</f>
        <v/>
      </c>
      <c r="AF131" s="66" t="str">
        <f>IFERROR(VLOOKUP(TableHandbook[[#This Row],[UDC]],TableMJRUHRMGM[],7,FALSE),"")</f>
        <v/>
      </c>
      <c r="AG131" s="66" t="str">
        <f>IFERROR(VLOOKUP(TableHandbook[[#This Row],[UDC]],TableMJRUINTBU[],7,FALSE),"")</f>
        <v/>
      </c>
      <c r="AH131" s="66" t="str">
        <f>IFERROR(VLOOKUP(TableHandbook[[#This Row],[UDC]],TableMJRULGSCM[],7,FALSE),"")</f>
        <v/>
      </c>
      <c r="AI131" s="66" t="str">
        <f>IFERROR(VLOOKUP(TableHandbook[[#This Row],[UDC]],TableMJRUMNGMT[],7,FALSE),"")</f>
        <v/>
      </c>
      <c r="AJ131" s="66" t="str">
        <f>IFERROR(VLOOKUP(TableHandbook[[#This Row],[UDC]],TableMJRUMRKTG[],7,FALSE),"")</f>
        <v/>
      </c>
      <c r="AK131" s="66" t="str">
        <f>IFERROR(VLOOKUP(TableHandbook[[#This Row],[UDC]],TableMJRUPRPTY[],7,FALSE),"")</f>
        <v/>
      </c>
      <c r="AL131" s="66" t="str">
        <f>IFERROR(VLOOKUP(TableHandbook[[#This Row],[UDC]],TableMJRUSCRAR[],7,FALSE),"")</f>
        <v/>
      </c>
      <c r="AM131" s="66" t="str">
        <f>IFERROR(VLOOKUP(TableHandbook[[#This Row],[UDC]],TableMJRUTHTRA[],7,FALSE),"")</f>
        <v/>
      </c>
      <c r="AN131" s="66" t="str">
        <f>IFERROR(VLOOKUP(TableHandbook[[#This Row],[UDC]],TableMJRUTRHOS[],7,FALSE),"")</f>
        <v/>
      </c>
    </row>
    <row r="132" spans="1:40" x14ac:dyDescent="0.25">
      <c r="A132" s="8" t="s">
        <v>232</v>
      </c>
      <c r="B132" s="9">
        <v>1</v>
      </c>
      <c r="C132" s="8"/>
      <c r="D132" s="8" t="s">
        <v>657</v>
      </c>
      <c r="E132" s="9">
        <v>25</v>
      </c>
      <c r="F132" s="49" t="s">
        <v>59</v>
      </c>
      <c r="G132" s="67" t="str">
        <f>IFERROR(IF(VLOOKUP(TableHandbook[[#This Row],[UDC]],TableAvailabilities[],2,FALSE)&gt;0,"Y",""),"")</f>
        <v>Y</v>
      </c>
      <c r="H132" s="68" t="str">
        <f>IFERROR(IF(VLOOKUP(TableHandbook[[#This Row],[UDC]],TableAvailabilities[],3,FALSE)&gt;0,"Y",""),"")</f>
        <v/>
      </c>
      <c r="I132" s="69" t="str">
        <f>IFERROR(IF(VLOOKUP(TableHandbook[[#This Row],[UDC]],TableAvailabilities[],4,FALSE)&gt;0,"Y",""),"")</f>
        <v/>
      </c>
      <c r="J132" s="70" t="str">
        <f>IFERROR(IF(VLOOKUP(TableHandbook[[#This Row],[UDC]],TableAvailabilities[],5,FALSE)&gt;0,"Y",""),"")</f>
        <v/>
      </c>
      <c r="K132" s="163"/>
      <c r="L132" s="64" t="str">
        <f>IFERROR(VLOOKUP(TableHandbook[[#This Row],[UDC]],TableBARTS[],7,FALSE),"")</f>
        <v/>
      </c>
      <c r="M132" s="65" t="str">
        <f>IFERROR(VLOOKUP(TableHandbook[[#This Row],[UDC]],TableMJRUANTSO[],7,FALSE),"")</f>
        <v/>
      </c>
      <c r="N132" s="65" t="str">
        <f>IFERROR(VLOOKUP(TableHandbook[[#This Row],[UDC]],TableMJRUCHNSE[],7,FALSE),"")</f>
        <v/>
      </c>
      <c r="O132" s="65" t="str">
        <f>IFERROR(VLOOKUP(TableHandbook[[#This Row],[UDC]],TableMJRUCRWRI[],7,FALSE),"")</f>
        <v/>
      </c>
      <c r="P132" s="65" t="str">
        <f>IFERROR(VLOOKUP(TableHandbook[[#This Row],[UDC]],TableMJRUGEOGR[],7,FALSE),"")</f>
        <v/>
      </c>
      <c r="Q132" s="65" t="str">
        <f>IFERROR(VLOOKUP(TableHandbook[[#This Row],[UDC]],TableMJRUHISTR[],7,FALSE),"")</f>
        <v/>
      </c>
      <c r="R132" s="65" t="str">
        <f>IFERROR(VLOOKUP(TableHandbook[[#This Row],[UDC]],TableMJRUINAUC[],7,FALSE),"")</f>
        <v/>
      </c>
      <c r="S132" s="65" t="str">
        <f>IFERROR(VLOOKUP(TableHandbook[[#This Row],[UDC]],TableMJRUINTRL[],7,FALSE),"")</f>
        <v/>
      </c>
      <c r="T132" s="65" t="str">
        <f>IFERROR(VLOOKUP(TableHandbook[[#This Row],[UDC]],TableMJRUJAPAN[],7,FALSE),"")</f>
        <v/>
      </c>
      <c r="U132" s="65" t="str">
        <f>IFERROR(VLOOKUP(TableHandbook[[#This Row],[UDC]],TableMJRUJOURN[],7,FALSE),"")</f>
        <v>Core</v>
      </c>
      <c r="V132" s="65" t="str">
        <f>IFERROR(VLOOKUP(TableHandbook[[#This Row],[UDC]],TableMJRUKORES[],7,FALSE),"")</f>
        <v/>
      </c>
      <c r="W132" s="65" t="str">
        <f>IFERROR(VLOOKUP(TableHandbook[[#This Row],[UDC]],TableMJRULITCU[],7,FALSE),"")</f>
        <v/>
      </c>
      <c r="X132" s="65" t="str">
        <f>IFERROR(VLOOKUP(TableHandbook[[#This Row],[UDC]],TableMJRUNETCM[],7,FALSE),"")</f>
        <v/>
      </c>
      <c r="Y132" s="65" t="str">
        <f>IFERROR(VLOOKUP(TableHandbook[[#This Row],[UDC]],TableMJRUPRWRP[],7,FALSE),"")</f>
        <v/>
      </c>
      <c r="Z132" s="66" t="str">
        <f>IFERROR(VLOOKUP(TableHandbook[[#This Row],[UDC]],TableMJRUSCSTR[],7,FALSE),"")</f>
        <v/>
      </c>
      <c r="AA132" s="74"/>
      <c r="AB132" s="66" t="str">
        <f>IFERROR(VLOOKUP(TableHandbook[[#This Row],[UDC]],TableMJRUBSLAW[],7,FALSE),"")</f>
        <v/>
      </c>
      <c r="AC132" s="66" t="str">
        <f>IFERROR(VLOOKUP(TableHandbook[[#This Row],[UDC]],TableMJRUECONS[],7,FALSE),"")</f>
        <v/>
      </c>
      <c r="AD132" s="66" t="str">
        <f>IFERROR(VLOOKUP(TableHandbook[[#This Row],[UDC]],TableMJRUFINAR[],7,FALSE),"")</f>
        <v/>
      </c>
      <c r="AE132" s="66" t="str">
        <f>IFERROR(VLOOKUP(TableHandbook[[#This Row],[UDC]],TableMJRUFINCE[],7,FALSE),"")</f>
        <v/>
      </c>
      <c r="AF132" s="66" t="str">
        <f>IFERROR(VLOOKUP(TableHandbook[[#This Row],[UDC]],TableMJRUHRMGM[],7,FALSE),"")</f>
        <v/>
      </c>
      <c r="AG132" s="66" t="str">
        <f>IFERROR(VLOOKUP(TableHandbook[[#This Row],[UDC]],TableMJRUINTBU[],7,FALSE),"")</f>
        <v/>
      </c>
      <c r="AH132" s="66" t="str">
        <f>IFERROR(VLOOKUP(TableHandbook[[#This Row],[UDC]],TableMJRULGSCM[],7,FALSE),"")</f>
        <v/>
      </c>
      <c r="AI132" s="66" t="str">
        <f>IFERROR(VLOOKUP(TableHandbook[[#This Row],[UDC]],TableMJRUMNGMT[],7,FALSE),"")</f>
        <v/>
      </c>
      <c r="AJ132" s="66" t="str">
        <f>IFERROR(VLOOKUP(TableHandbook[[#This Row],[UDC]],TableMJRUMRKTG[],7,FALSE),"")</f>
        <v/>
      </c>
      <c r="AK132" s="66" t="str">
        <f>IFERROR(VLOOKUP(TableHandbook[[#This Row],[UDC]],TableMJRUPRPTY[],7,FALSE),"")</f>
        <v/>
      </c>
      <c r="AL132" s="66" t="str">
        <f>IFERROR(VLOOKUP(TableHandbook[[#This Row],[UDC]],TableMJRUSCRAR[],7,FALSE),"")</f>
        <v/>
      </c>
      <c r="AM132" s="66" t="str">
        <f>IFERROR(VLOOKUP(TableHandbook[[#This Row],[UDC]],TableMJRUTHTRA[],7,FALSE),"")</f>
        <v/>
      </c>
      <c r="AN132" s="66" t="str">
        <f>IFERROR(VLOOKUP(TableHandbook[[#This Row],[UDC]],TableMJRUTRHOS[],7,FALSE),"")</f>
        <v/>
      </c>
    </row>
    <row r="133" spans="1:40" x14ac:dyDescent="0.25">
      <c r="A133" s="8" t="s">
        <v>233</v>
      </c>
      <c r="B133" s="9">
        <v>2</v>
      </c>
      <c r="C133" s="8"/>
      <c r="D133" s="8" t="s">
        <v>658</v>
      </c>
      <c r="E133" s="9">
        <v>25</v>
      </c>
      <c r="F133" s="49" t="s">
        <v>59</v>
      </c>
      <c r="G133" s="67" t="str">
        <f>IFERROR(IF(VLOOKUP(TableHandbook[[#This Row],[UDC]],TableAvailabilities[],2,FALSE)&gt;0,"Y",""),"")</f>
        <v>Y</v>
      </c>
      <c r="H133" s="68" t="str">
        <f>IFERROR(IF(VLOOKUP(TableHandbook[[#This Row],[UDC]],TableAvailabilities[],3,FALSE)&gt;0,"Y",""),"")</f>
        <v/>
      </c>
      <c r="I133" s="69" t="str">
        <f>IFERROR(IF(VLOOKUP(TableHandbook[[#This Row],[UDC]],TableAvailabilities[],4,FALSE)&gt;0,"Y",""),"")</f>
        <v>Y</v>
      </c>
      <c r="J133" s="70" t="str">
        <f>IFERROR(IF(VLOOKUP(TableHandbook[[#This Row],[UDC]],TableAvailabilities[],5,FALSE)&gt;0,"Y",""),"")</f>
        <v/>
      </c>
      <c r="K133" s="163"/>
      <c r="L133" s="64" t="str">
        <f>IFERROR(VLOOKUP(TableHandbook[[#This Row],[UDC]],TableBARTS[],7,FALSE),"")</f>
        <v/>
      </c>
      <c r="M133" s="65" t="str">
        <f>IFERROR(VLOOKUP(TableHandbook[[#This Row],[UDC]],TableMJRUANTSO[],7,FALSE),"")</f>
        <v/>
      </c>
      <c r="N133" s="65" t="str">
        <f>IFERROR(VLOOKUP(TableHandbook[[#This Row],[UDC]],TableMJRUCHNSE[],7,FALSE),"")</f>
        <v/>
      </c>
      <c r="O133" s="65" t="str">
        <f>IFERROR(VLOOKUP(TableHandbook[[#This Row],[UDC]],TableMJRUCRWRI[],7,FALSE),"")</f>
        <v/>
      </c>
      <c r="P133" s="65" t="str">
        <f>IFERROR(VLOOKUP(TableHandbook[[#This Row],[UDC]],TableMJRUGEOGR[],7,FALSE),"")</f>
        <v/>
      </c>
      <c r="Q133" s="65" t="str">
        <f>IFERROR(VLOOKUP(TableHandbook[[#This Row],[UDC]],TableMJRUHISTR[],7,FALSE),"")</f>
        <v/>
      </c>
      <c r="R133" s="65" t="str">
        <f>IFERROR(VLOOKUP(TableHandbook[[#This Row],[UDC]],TableMJRUINAUC[],7,FALSE),"")</f>
        <v/>
      </c>
      <c r="S133" s="65" t="str">
        <f>IFERROR(VLOOKUP(TableHandbook[[#This Row],[UDC]],TableMJRUINTRL[],7,FALSE),"")</f>
        <v/>
      </c>
      <c r="T133" s="65" t="str">
        <f>IFERROR(VLOOKUP(TableHandbook[[#This Row],[UDC]],TableMJRUJAPAN[],7,FALSE),"")</f>
        <v/>
      </c>
      <c r="U133" s="65" t="str">
        <f>IFERROR(VLOOKUP(TableHandbook[[#This Row],[UDC]],TableMJRUJOURN[],7,FALSE),"")</f>
        <v>Core</v>
      </c>
      <c r="V133" s="65" t="str">
        <f>IFERROR(VLOOKUP(TableHandbook[[#This Row],[UDC]],TableMJRUKORES[],7,FALSE),"")</f>
        <v/>
      </c>
      <c r="W133" s="65" t="str">
        <f>IFERROR(VLOOKUP(TableHandbook[[#This Row],[UDC]],TableMJRULITCU[],7,FALSE),"")</f>
        <v/>
      </c>
      <c r="X133" s="65" t="str">
        <f>IFERROR(VLOOKUP(TableHandbook[[#This Row],[UDC]],TableMJRUNETCM[],7,FALSE),"")</f>
        <v/>
      </c>
      <c r="Y133" s="65" t="str">
        <f>IFERROR(VLOOKUP(TableHandbook[[#This Row],[UDC]],TableMJRUPRWRP[],7,FALSE),"")</f>
        <v/>
      </c>
      <c r="Z133" s="66" t="str">
        <f>IFERROR(VLOOKUP(TableHandbook[[#This Row],[UDC]],TableMJRUSCSTR[],7,FALSE),"")</f>
        <v/>
      </c>
      <c r="AA133" s="74"/>
      <c r="AB133" s="66" t="str">
        <f>IFERROR(VLOOKUP(TableHandbook[[#This Row],[UDC]],TableMJRUBSLAW[],7,FALSE),"")</f>
        <v/>
      </c>
      <c r="AC133" s="66" t="str">
        <f>IFERROR(VLOOKUP(TableHandbook[[#This Row],[UDC]],TableMJRUECONS[],7,FALSE),"")</f>
        <v/>
      </c>
      <c r="AD133" s="66" t="str">
        <f>IFERROR(VLOOKUP(TableHandbook[[#This Row],[UDC]],TableMJRUFINAR[],7,FALSE),"")</f>
        <v/>
      </c>
      <c r="AE133" s="66" t="str">
        <f>IFERROR(VLOOKUP(TableHandbook[[#This Row],[UDC]],TableMJRUFINCE[],7,FALSE),"")</f>
        <v/>
      </c>
      <c r="AF133" s="66" t="str">
        <f>IFERROR(VLOOKUP(TableHandbook[[#This Row],[UDC]],TableMJRUHRMGM[],7,FALSE),"")</f>
        <v/>
      </c>
      <c r="AG133" s="66" t="str">
        <f>IFERROR(VLOOKUP(TableHandbook[[#This Row],[UDC]],TableMJRUINTBU[],7,FALSE),"")</f>
        <v/>
      </c>
      <c r="AH133" s="66" t="str">
        <f>IFERROR(VLOOKUP(TableHandbook[[#This Row],[UDC]],TableMJRULGSCM[],7,FALSE),"")</f>
        <v/>
      </c>
      <c r="AI133" s="66" t="str">
        <f>IFERROR(VLOOKUP(TableHandbook[[#This Row],[UDC]],TableMJRUMNGMT[],7,FALSE),"")</f>
        <v/>
      </c>
      <c r="AJ133" s="66" t="str">
        <f>IFERROR(VLOOKUP(TableHandbook[[#This Row],[UDC]],TableMJRUMRKTG[],7,FALSE),"")</f>
        <v/>
      </c>
      <c r="AK133" s="66" t="str">
        <f>IFERROR(VLOOKUP(TableHandbook[[#This Row],[UDC]],TableMJRUPRPTY[],7,FALSE),"")</f>
        <v/>
      </c>
      <c r="AL133" s="66" t="str">
        <f>IFERROR(VLOOKUP(TableHandbook[[#This Row],[UDC]],TableMJRUSCRAR[],7,FALSE),"")</f>
        <v/>
      </c>
      <c r="AM133" s="66" t="str">
        <f>IFERROR(VLOOKUP(TableHandbook[[#This Row],[UDC]],TableMJRUTHTRA[],7,FALSE),"")</f>
        <v/>
      </c>
      <c r="AN133" s="66" t="str">
        <f>IFERROR(VLOOKUP(TableHandbook[[#This Row],[UDC]],TableMJRUTRHOS[],7,FALSE),"")</f>
        <v/>
      </c>
    </row>
    <row r="134" spans="1:40" x14ac:dyDescent="0.25">
      <c r="A134" s="8" t="s">
        <v>208</v>
      </c>
      <c r="B134" s="9">
        <v>1</v>
      </c>
      <c r="C134" s="8"/>
      <c r="D134" s="8" t="s">
        <v>659</v>
      </c>
      <c r="E134" s="9">
        <v>25</v>
      </c>
      <c r="F134" s="49" t="s">
        <v>59</v>
      </c>
      <c r="G134" s="67" t="str">
        <f>IFERROR(IF(VLOOKUP(TableHandbook[[#This Row],[UDC]],TableAvailabilities[],2,FALSE)&gt;0,"Y",""),"")</f>
        <v/>
      </c>
      <c r="H134" s="68" t="str">
        <f>IFERROR(IF(VLOOKUP(TableHandbook[[#This Row],[UDC]],TableAvailabilities[],3,FALSE)&gt;0,"Y",""),"")</f>
        <v/>
      </c>
      <c r="I134" s="69" t="str">
        <f>IFERROR(IF(VLOOKUP(TableHandbook[[#This Row],[UDC]],TableAvailabilities[],4,FALSE)&gt;0,"Y",""),"")</f>
        <v>Y</v>
      </c>
      <c r="J134" s="70" t="str">
        <f>IFERROR(IF(VLOOKUP(TableHandbook[[#This Row],[UDC]],TableAvailabilities[],5,FALSE)&gt;0,"Y",""),"")</f>
        <v/>
      </c>
      <c r="K134" s="163"/>
      <c r="L134" s="64" t="str">
        <f>IFERROR(VLOOKUP(TableHandbook[[#This Row],[UDC]],TableBARTS[],7,FALSE),"")</f>
        <v/>
      </c>
      <c r="M134" s="65" t="str">
        <f>IFERROR(VLOOKUP(TableHandbook[[#This Row],[UDC]],TableMJRUANTSO[],7,FALSE),"")</f>
        <v/>
      </c>
      <c r="N134" s="65" t="str">
        <f>IFERROR(VLOOKUP(TableHandbook[[#This Row],[UDC]],TableMJRUCHNSE[],7,FALSE),"")</f>
        <v/>
      </c>
      <c r="O134" s="65" t="str">
        <f>IFERROR(VLOOKUP(TableHandbook[[#This Row],[UDC]],TableMJRUCRWRI[],7,FALSE),"")</f>
        <v/>
      </c>
      <c r="P134" s="65" t="str">
        <f>IFERROR(VLOOKUP(TableHandbook[[#This Row],[UDC]],TableMJRUGEOGR[],7,FALSE),"")</f>
        <v/>
      </c>
      <c r="Q134" s="65" t="str">
        <f>IFERROR(VLOOKUP(TableHandbook[[#This Row],[UDC]],TableMJRUHISTR[],7,FALSE),"")</f>
        <v/>
      </c>
      <c r="R134" s="65" t="str">
        <f>IFERROR(VLOOKUP(TableHandbook[[#This Row],[UDC]],TableMJRUINAUC[],7,FALSE),"")</f>
        <v/>
      </c>
      <c r="S134" s="65" t="str">
        <f>IFERROR(VLOOKUP(TableHandbook[[#This Row],[UDC]],TableMJRUINTRL[],7,FALSE),"")</f>
        <v/>
      </c>
      <c r="T134" s="65" t="str">
        <f>IFERROR(VLOOKUP(TableHandbook[[#This Row],[UDC]],TableMJRUJAPAN[],7,FALSE),"")</f>
        <v/>
      </c>
      <c r="U134" s="65" t="str">
        <f>IFERROR(VLOOKUP(TableHandbook[[#This Row],[UDC]],TableMJRUJOURN[],7,FALSE),"")</f>
        <v>Core</v>
      </c>
      <c r="V134" s="65" t="str">
        <f>IFERROR(VLOOKUP(TableHandbook[[#This Row],[UDC]],TableMJRUKORES[],7,FALSE),"")</f>
        <v/>
      </c>
      <c r="W134" s="65" t="str">
        <f>IFERROR(VLOOKUP(TableHandbook[[#This Row],[UDC]],TableMJRULITCU[],7,FALSE),"")</f>
        <v/>
      </c>
      <c r="X134" s="65" t="str">
        <f>IFERROR(VLOOKUP(TableHandbook[[#This Row],[UDC]],TableMJRUNETCM[],7,FALSE),"")</f>
        <v/>
      </c>
      <c r="Y134" s="65" t="str">
        <f>IFERROR(VLOOKUP(TableHandbook[[#This Row],[UDC]],TableMJRUPRWRP[],7,FALSE),"")</f>
        <v/>
      </c>
      <c r="Z134" s="66" t="str">
        <f>IFERROR(VLOOKUP(TableHandbook[[#This Row],[UDC]],TableMJRUSCSTR[],7,FALSE),"")</f>
        <v/>
      </c>
      <c r="AA134" s="74"/>
      <c r="AB134" s="66" t="str">
        <f>IFERROR(VLOOKUP(TableHandbook[[#This Row],[UDC]],TableMJRUBSLAW[],7,FALSE),"")</f>
        <v/>
      </c>
      <c r="AC134" s="66" t="str">
        <f>IFERROR(VLOOKUP(TableHandbook[[#This Row],[UDC]],TableMJRUECONS[],7,FALSE),"")</f>
        <v/>
      </c>
      <c r="AD134" s="66" t="str">
        <f>IFERROR(VLOOKUP(TableHandbook[[#This Row],[UDC]],TableMJRUFINAR[],7,FALSE),"")</f>
        <v/>
      </c>
      <c r="AE134" s="66" t="str">
        <f>IFERROR(VLOOKUP(TableHandbook[[#This Row],[UDC]],TableMJRUFINCE[],7,FALSE),"")</f>
        <v/>
      </c>
      <c r="AF134" s="66" t="str">
        <f>IFERROR(VLOOKUP(TableHandbook[[#This Row],[UDC]],TableMJRUHRMGM[],7,FALSE),"")</f>
        <v/>
      </c>
      <c r="AG134" s="66" t="str">
        <f>IFERROR(VLOOKUP(TableHandbook[[#This Row],[UDC]],TableMJRUINTBU[],7,FALSE),"")</f>
        <v/>
      </c>
      <c r="AH134" s="66" t="str">
        <f>IFERROR(VLOOKUP(TableHandbook[[#This Row],[UDC]],TableMJRULGSCM[],7,FALSE),"")</f>
        <v/>
      </c>
      <c r="AI134" s="66" t="str">
        <f>IFERROR(VLOOKUP(TableHandbook[[#This Row],[UDC]],TableMJRUMNGMT[],7,FALSE),"")</f>
        <v/>
      </c>
      <c r="AJ134" s="66" t="str">
        <f>IFERROR(VLOOKUP(TableHandbook[[#This Row],[UDC]],TableMJRUMRKTG[],7,FALSE),"")</f>
        <v/>
      </c>
      <c r="AK134" s="66" t="str">
        <f>IFERROR(VLOOKUP(TableHandbook[[#This Row],[UDC]],TableMJRUPRPTY[],7,FALSE),"")</f>
        <v/>
      </c>
      <c r="AL134" s="66" t="str">
        <f>IFERROR(VLOOKUP(TableHandbook[[#This Row],[UDC]],TableMJRUSCRAR[],7,FALSE),"")</f>
        <v/>
      </c>
      <c r="AM134" s="66" t="str">
        <f>IFERROR(VLOOKUP(TableHandbook[[#This Row],[UDC]],TableMJRUTHTRA[],7,FALSE),"")</f>
        <v/>
      </c>
      <c r="AN134" s="66" t="str">
        <f>IFERROR(VLOOKUP(TableHandbook[[#This Row],[UDC]],TableMJRUTRHOS[],7,FALSE),"")</f>
        <v/>
      </c>
    </row>
    <row r="135" spans="1:40" x14ac:dyDescent="0.25">
      <c r="A135" s="8" t="s">
        <v>207</v>
      </c>
      <c r="B135" s="9">
        <v>2</v>
      </c>
      <c r="C135" s="8"/>
      <c r="D135" s="8" t="s">
        <v>660</v>
      </c>
      <c r="E135" s="9">
        <v>25</v>
      </c>
      <c r="F135" s="174" t="s">
        <v>661</v>
      </c>
      <c r="G135" s="67" t="str">
        <f>IFERROR(IF(VLOOKUP(TableHandbook[[#This Row],[UDC]],TableAvailabilities[],2,FALSE)&gt;0,"Y",""),"")</f>
        <v>Y</v>
      </c>
      <c r="H135" s="68" t="str">
        <f>IFERROR(IF(VLOOKUP(TableHandbook[[#This Row],[UDC]],TableAvailabilities[],3,FALSE)&gt;0,"Y",""),"")</f>
        <v/>
      </c>
      <c r="I135" s="69" t="str">
        <f>IFERROR(IF(VLOOKUP(TableHandbook[[#This Row],[UDC]],TableAvailabilities[],4,FALSE)&gt;0,"Y",""),"")</f>
        <v/>
      </c>
      <c r="J135" s="70" t="str">
        <f>IFERROR(IF(VLOOKUP(TableHandbook[[#This Row],[UDC]],TableAvailabilities[],5,FALSE)&gt;0,"Y",""),"")</f>
        <v/>
      </c>
      <c r="K135" s="165" t="s">
        <v>662</v>
      </c>
      <c r="L135" s="64" t="str">
        <f>IFERROR(VLOOKUP(TableHandbook[[#This Row],[UDC]],TableBARTS[],7,FALSE),"")</f>
        <v/>
      </c>
      <c r="M135" s="65" t="str">
        <f>IFERROR(VLOOKUP(TableHandbook[[#This Row],[UDC]],TableMJRUANTSO[],7,FALSE),"")</f>
        <v/>
      </c>
      <c r="N135" s="65" t="str">
        <f>IFERROR(VLOOKUP(TableHandbook[[#This Row],[UDC]],TableMJRUCHNSE[],7,FALSE),"")</f>
        <v/>
      </c>
      <c r="O135" s="65" t="str">
        <f>IFERROR(VLOOKUP(TableHandbook[[#This Row],[UDC]],TableMJRUCRWRI[],7,FALSE),"")</f>
        <v/>
      </c>
      <c r="P135" s="65" t="str">
        <f>IFERROR(VLOOKUP(TableHandbook[[#This Row],[UDC]],TableMJRUGEOGR[],7,FALSE),"")</f>
        <v/>
      </c>
      <c r="Q135" s="65" t="str">
        <f>IFERROR(VLOOKUP(TableHandbook[[#This Row],[UDC]],TableMJRUHISTR[],7,FALSE),"")</f>
        <v/>
      </c>
      <c r="R135" s="65" t="str">
        <f>IFERROR(VLOOKUP(TableHandbook[[#This Row],[UDC]],TableMJRUINAUC[],7,FALSE),"")</f>
        <v/>
      </c>
      <c r="S135" s="65" t="str">
        <f>IFERROR(VLOOKUP(TableHandbook[[#This Row],[UDC]],TableMJRUINTRL[],7,FALSE),"")</f>
        <v/>
      </c>
      <c r="T135" s="65" t="str">
        <f>IFERROR(VLOOKUP(TableHandbook[[#This Row],[UDC]],TableMJRUJAPAN[],7,FALSE),"")</f>
        <v/>
      </c>
      <c r="U135" s="65" t="str">
        <f>IFERROR(VLOOKUP(TableHandbook[[#This Row],[UDC]],TableMJRUJOURN[],7,FALSE),"")</f>
        <v>Core</v>
      </c>
      <c r="V135" s="65" t="str">
        <f>IFERROR(VLOOKUP(TableHandbook[[#This Row],[UDC]],TableMJRUKORES[],7,FALSE),"")</f>
        <v/>
      </c>
      <c r="W135" s="65" t="str">
        <f>IFERROR(VLOOKUP(TableHandbook[[#This Row],[UDC]],TableMJRULITCU[],7,FALSE),"")</f>
        <v/>
      </c>
      <c r="X135" s="65" t="str">
        <f>IFERROR(VLOOKUP(TableHandbook[[#This Row],[UDC]],TableMJRUNETCM[],7,FALSE),"")</f>
        <v/>
      </c>
      <c r="Y135" s="65" t="str">
        <f>IFERROR(VLOOKUP(TableHandbook[[#This Row],[UDC]],TableMJRUPRWRP[],7,FALSE),"")</f>
        <v/>
      </c>
      <c r="Z135" s="66" t="str">
        <f>IFERROR(VLOOKUP(TableHandbook[[#This Row],[UDC]],TableMJRUSCSTR[],7,FALSE),"")</f>
        <v/>
      </c>
      <c r="AA135" s="74"/>
      <c r="AB135" s="66" t="str">
        <f>IFERROR(VLOOKUP(TableHandbook[[#This Row],[UDC]],TableMJRUBSLAW[],7,FALSE),"")</f>
        <v/>
      </c>
      <c r="AC135" s="66" t="str">
        <f>IFERROR(VLOOKUP(TableHandbook[[#This Row],[UDC]],TableMJRUECONS[],7,FALSE),"")</f>
        <v/>
      </c>
      <c r="AD135" s="66" t="str">
        <f>IFERROR(VLOOKUP(TableHandbook[[#This Row],[UDC]],TableMJRUFINAR[],7,FALSE),"")</f>
        <v/>
      </c>
      <c r="AE135" s="66" t="str">
        <f>IFERROR(VLOOKUP(TableHandbook[[#This Row],[UDC]],TableMJRUFINCE[],7,FALSE),"")</f>
        <v/>
      </c>
      <c r="AF135" s="66" t="str">
        <f>IFERROR(VLOOKUP(TableHandbook[[#This Row],[UDC]],TableMJRUHRMGM[],7,FALSE),"")</f>
        <v/>
      </c>
      <c r="AG135" s="66" t="str">
        <f>IFERROR(VLOOKUP(TableHandbook[[#This Row],[UDC]],TableMJRUINTBU[],7,FALSE),"")</f>
        <v/>
      </c>
      <c r="AH135" s="66" t="str">
        <f>IFERROR(VLOOKUP(TableHandbook[[#This Row],[UDC]],TableMJRULGSCM[],7,FALSE),"")</f>
        <v/>
      </c>
      <c r="AI135" s="66" t="str">
        <f>IFERROR(VLOOKUP(TableHandbook[[#This Row],[UDC]],TableMJRUMNGMT[],7,FALSE),"")</f>
        <v/>
      </c>
      <c r="AJ135" s="66" t="str">
        <f>IFERROR(VLOOKUP(TableHandbook[[#This Row],[UDC]],TableMJRUMRKTG[],7,FALSE),"")</f>
        <v/>
      </c>
      <c r="AK135" s="66" t="str">
        <f>IFERROR(VLOOKUP(TableHandbook[[#This Row],[UDC]],TableMJRUPRPTY[],7,FALSE),"")</f>
        <v/>
      </c>
      <c r="AL135" s="66" t="str">
        <f>IFERROR(VLOOKUP(TableHandbook[[#This Row],[UDC]],TableMJRUSCRAR[],7,FALSE),"")</f>
        <v/>
      </c>
      <c r="AM135" s="66" t="str">
        <f>IFERROR(VLOOKUP(TableHandbook[[#This Row],[UDC]],TableMJRUTHTRA[],7,FALSE),"")</f>
        <v/>
      </c>
      <c r="AN135" s="66" t="str">
        <f>IFERROR(VLOOKUP(TableHandbook[[#This Row],[UDC]],TableMJRUTRHOS[],7,FALSE),"")</f>
        <v/>
      </c>
    </row>
    <row r="136" spans="1:40" x14ac:dyDescent="0.25">
      <c r="A136" s="8" t="s">
        <v>305</v>
      </c>
      <c r="B136" s="9">
        <v>1</v>
      </c>
      <c r="C136" s="8"/>
      <c r="D136" s="8" t="s">
        <v>663</v>
      </c>
      <c r="E136" s="9">
        <v>25</v>
      </c>
      <c r="F136" s="49" t="s">
        <v>262</v>
      </c>
      <c r="G136" s="67" t="str">
        <f>IFERROR(IF(VLOOKUP(TableHandbook[[#This Row],[UDC]],TableAvailabilities[],2,FALSE)&gt;0,"Y",""),"")</f>
        <v>Y</v>
      </c>
      <c r="H136" s="68" t="str">
        <f>IFERROR(IF(VLOOKUP(TableHandbook[[#This Row],[UDC]],TableAvailabilities[],3,FALSE)&gt;0,"Y",""),"")</f>
        <v/>
      </c>
      <c r="I136" s="69" t="str">
        <f>IFERROR(IF(VLOOKUP(TableHandbook[[#This Row],[UDC]],TableAvailabilities[],4,FALSE)&gt;0,"Y",""),"")</f>
        <v>Y</v>
      </c>
      <c r="J136" s="70" t="str">
        <f>IFERROR(IF(VLOOKUP(TableHandbook[[#This Row],[UDC]],TableAvailabilities[],5,FALSE)&gt;0,"Y",""),"")</f>
        <v/>
      </c>
      <c r="K136" s="163"/>
      <c r="L136" s="64" t="str">
        <f>IFERROR(VLOOKUP(TableHandbook[[#This Row],[UDC]],TableBARTS[],7,FALSE),"")</f>
        <v/>
      </c>
      <c r="M136" s="65" t="str">
        <f>IFERROR(VLOOKUP(TableHandbook[[#This Row],[UDC]],TableMJRUANTSO[],7,FALSE),"")</f>
        <v/>
      </c>
      <c r="N136" s="65" t="str">
        <f>IFERROR(VLOOKUP(TableHandbook[[#This Row],[UDC]],TableMJRUCHNSE[],7,FALSE),"")</f>
        <v/>
      </c>
      <c r="O136" s="65" t="str">
        <f>IFERROR(VLOOKUP(TableHandbook[[#This Row],[UDC]],TableMJRUCRWRI[],7,FALSE),"")</f>
        <v/>
      </c>
      <c r="P136" s="65" t="str">
        <f>IFERROR(VLOOKUP(TableHandbook[[#This Row],[UDC]],TableMJRUGEOGR[],7,FALSE),"")</f>
        <v/>
      </c>
      <c r="Q136" s="65" t="str">
        <f>IFERROR(VLOOKUP(TableHandbook[[#This Row],[UDC]],TableMJRUHISTR[],7,FALSE),"")</f>
        <v/>
      </c>
      <c r="R136" s="65" t="str">
        <f>IFERROR(VLOOKUP(TableHandbook[[#This Row],[UDC]],TableMJRUINAUC[],7,FALSE),"")</f>
        <v/>
      </c>
      <c r="S136" s="65" t="str">
        <f>IFERROR(VLOOKUP(TableHandbook[[#This Row],[UDC]],TableMJRUINTRL[],7,FALSE),"")</f>
        <v/>
      </c>
      <c r="T136" s="65" t="str">
        <f>IFERROR(VLOOKUP(TableHandbook[[#This Row],[UDC]],TableMJRUJAPAN[],7,FALSE),"")</f>
        <v/>
      </c>
      <c r="U136" s="65" t="str">
        <f>IFERROR(VLOOKUP(TableHandbook[[#This Row],[UDC]],TableMJRUJOURN[],7,FALSE),"")</f>
        <v>Option</v>
      </c>
      <c r="V136" s="65" t="str">
        <f>IFERROR(VLOOKUP(TableHandbook[[#This Row],[UDC]],TableMJRUKORES[],7,FALSE),"")</f>
        <v/>
      </c>
      <c r="W136" s="65" t="str">
        <f>IFERROR(VLOOKUP(TableHandbook[[#This Row],[UDC]],TableMJRULITCU[],7,FALSE),"")</f>
        <v/>
      </c>
      <c r="X136" s="65" t="str">
        <f>IFERROR(VLOOKUP(TableHandbook[[#This Row],[UDC]],TableMJRUNETCM[],7,FALSE),"")</f>
        <v/>
      </c>
      <c r="Y136" s="65" t="str">
        <f>IFERROR(VLOOKUP(TableHandbook[[#This Row],[UDC]],TableMJRUPRWRP[],7,FALSE),"")</f>
        <v/>
      </c>
      <c r="Z136" s="66" t="str">
        <f>IFERROR(VLOOKUP(TableHandbook[[#This Row],[UDC]],TableMJRUSCSTR[],7,FALSE),"")</f>
        <v/>
      </c>
      <c r="AA136" s="74"/>
      <c r="AB136" s="66" t="str">
        <f>IFERROR(VLOOKUP(TableHandbook[[#This Row],[UDC]],TableMJRUBSLAW[],7,FALSE),"")</f>
        <v/>
      </c>
      <c r="AC136" s="66" t="str">
        <f>IFERROR(VLOOKUP(TableHandbook[[#This Row],[UDC]],TableMJRUECONS[],7,FALSE),"")</f>
        <v/>
      </c>
      <c r="AD136" s="66" t="str">
        <f>IFERROR(VLOOKUP(TableHandbook[[#This Row],[UDC]],TableMJRUFINAR[],7,FALSE),"")</f>
        <v/>
      </c>
      <c r="AE136" s="66" t="str">
        <f>IFERROR(VLOOKUP(TableHandbook[[#This Row],[UDC]],TableMJRUFINCE[],7,FALSE),"")</f>
        <v/>
      </c>
      <c r="AF136" s="66" t="str">
        <f>IFERROR(VLOOKUP(TableHandbook[[#This Row],[UDC]],TableMJRUHRMGM[],7,FALSE),"")</f>
        <v/>
      </c>
      <c r="AG136" s="66" t="str">
        <f>IFERROR(VLOOKUP(TableHandbook[[#This Row],[UDC]],TableMJRUINTBU[],7,FALSE),"")</f>
        <v/>
      </c>
      <c r="AH136" s="66" t="str">
        <f>IFERROR(VLOOKUP(TableHandbook[[#This Row],[UDC]],TableMJRULGSCM[],7,FALSE),"")</f>
        <v/>
      </c>
      <c r="AI136" s="66" t="str">
        <f>IFERROR(VLOOKUP(TableHandbook[[#This Row],[UDC]],TableMJRUMNGMT[],7,FALSE),"")</f>
        <v/>
      </c>
      <c r="AJ136" s="66" t="str">
        <f>IFERROR(VLOOKUP(TableHandbook[[#This Row],[UDC]],TableMJRUMRKTG[],7,FALSE),"")</f>
        <v/>
      </c>
      <c r="AK136" s="66" t="str">
        <f>IFERROR(VLOOKUP(TableHandbook[[#This Row],[UDC]],TableMJRUPRPTY[],7,FALSE),"")</f>
        <v/>
      </c>
      <c r="AL136" s="66" t="str">
        <f>IFERROR(VLOOKUP(TableHandbook[[#This Row],[UDC]],TableMJRUSCRAR[],7,FALSE),"")</f>
        <v/>
      </c>
      <c r="AM136" s="66" t="str">
        <f>IFERROR(VLOOKUP(TableHandbook[[#This Row],[UDC]],TableMJRUTHTRA[],7,FALSE),"")</f>
        <v/>
      </c>
      <c r="AN136" s="66" t="str">
        <f>IFERROR(VLOOKUP(TableHandbook[[#This Row],[UDC]],TableMJRUTRHOS[],7,FALSE),"")</f>
        <v/>
      </c>
    </row>
    <row r="137" spans="1:40" x14ac:dyDescent="0.25">
      <c r="A137" s="8" t="s">
        <v>307</v>
      </c>
      <c r="B137" s="9">
        <v>1</v>
      </c>
      <c r="C137" s="8"/>
      <c r="D137" s="8" t="s">
        <v>664</v>
      </c>
      <c r="E137" s="9">
        <v>25</v>
      </c>
      <c r="F137" s="49" t="s">
        <v>665</v>
      </c>
      <c r="G137" s="67" t="str">
        <f>IFERROR(IF(VLOOKUP(TableHandbook[[#This Row],[UDC]],TableAvailabilities[],2,FALSE)&gt;0,"Y",""),"")</f>
        <v/>
      </c>
      <c r="H137" s="68" t="str">
        <f>IFERROR(IF(VLOOKUP(TableHandbook[[#This Row],[UDC]],TableAvailabilities[],3,FALSE)&gt;0,"Y",""),"")</f>
        <v/>
      </c>
      <c r="I137" s="69" t="str">
        <f>IFERROR(IF(VLOOKUP(TableHandbook[[#This Row],[UDC]],TableAvailabilities[],4,FALSE)&gt;0,"Y",""),"")</f>
        <v>Y</v>
      </c>
      <c r="J137" s="70" t="str">
        <f>IFERROR(IF(VLOOKUP(TableHandbook[[#This Row],[UDC]],TableAvailabilities[],5,FALSE)&gt;0,"Y",""),"")</f>
        <v/>
      </c>
      <c r="K137" s="163"/>
      <c r="L137" s="64" t="str">
        <f>IFERROR(VLOOKUP(TableHandbook[[#This Row],[UDC]],TableBARTS[],7,FALSE),"")</f>
        <v/>
      </c>
      <c r="M137" s="65" t="str">
        <f>IFERROR(VLOOKUP(TableHandbook[[#This Row],[UDC]],TableMJRUANTSO[],7,FALSE),"")</f>
        <v/>
      </c>
      <c r="N137" s="65" t="str">
        <f>IFERROR(VLOOKUP(TableHandbook[[#This Row],[UDC]],TableMJRUCHNSE[],7,FALSE),"")</f>
        <v/>
      </c>
      <c r="O137" s="65" t="str">
        <f>IFERROR(VLOOKUP(TableHandbook[[#This Row],[UDC]],TableMJRUCRWRI[],7,FALSE),"")</f>
        <v/>
      </c>
      <c r="P137" s="65" t="str">
        <f>IFERROR(VLOOKUP(TableHandbook[[#This Row],[UDC]],TableMJRUGEOGR[],7,FALSE),"")</f>
        <v/>
      </c>
      <c r="Q137" s="65" t="str">
        <f>IFERROR(VLOOKUP(TableHandbook[[#This Row],[UDC]],TableMJRUHISTR[],7,FALSE),"")</f>
        <v/>
      </c>
      <c r="R137" s="65" t="str">
        <f>IFERROR(VLOOKUP(TableHandbook[[#This Row],[UDC]],TableMJRUINAUC[],7,FALSE),"")</f>
        <v/>
      </c>
      <c r="S137" s="65" t="str">
        <f>IFERROR(VLOOKUP(TableHandbook[[#This Row],[UDC]],TableMJRUINTRL[],7,FALSE),"")</f>
        <v/>
      </c>
      <c r="T137" s="65" t="str">
        <f>IFERROR(VLOOKUP(TableHandbook[[#This Row],[UDC]],TableMJRUJAPAN[],7,FALSE),"")</f>
        <v/>
      </c>
      <c r="U137" s="65" t="str">
        <f>IFERROR(VLOOKUP(TableHandbook[[#This Row],[UDC]],TableMJRUJOURN[],7,FALSE),"")</f>
        <v>Option</v>
      </c>
      <c r="V137" s="65" t="str">
        <f>IFERROR(VLOOKUP(TableHandbook[[#This Row],[UDC]],TableMJRUKORES[],7,FALSE),"")</f>
        <v/>
      </c>
      <c r="W137" s="65" t="str">
        <f>IFERROR(VLOOKUP(TableHandbook[[#This Row],[UDC]],TableMJRULITCU[],7,FALSE),"")</f>
        <v/>
      </c>
      <c r="X137" s="65" t="str">
        <f>IFERROR(VLOOKUP(TableHandbook[[#This Row],[UDC]],TableMJRUNETCM[],7,FALSE),"")</f>
        <v/>
      </c>
      <c r="Y137" s="65" t="str">
        <f>IFERROR(VLOOKUP(TableHandbook[[#This Row],[UDC]],TableMJRUPRWRP[],7,FALSE),"")</f>
        <v/>
      </c>
      <c r="Z137" s="66" t="str">
        <f>IFERROR(VLOOKUP(TableHandbook[[#This Row],[UDC]],TableMJRUSCSTR[],7,FALSE),"")</f>
        <v/>
      </c>
      <c r="AA137" s="74"/>
      <c r="AB137" s="66" t="str">
        <f>IFERROR(VLOOKUP(TableHandbook[[#This Row],[UDC]],TableMJRUBSLAW[],7,FALSE),"")</f>
        <v/>
      </c>
      <c r="AC137" s="66" t="str">
        <f>IFERROR(VLOOKUP(TableHandbook[[#This Row],[UDC]],TableMJRUECONS[],7,FALSE),"")</f>
        <v/>
      </c>
      <c r="AD137" s="66" t="str">
        <f>IFERROR(VLOOKUP(TableHandbook[[#This Row],[UDC]],TableMJRUFINAR[],7,FALSE),"")</f>
        <v/>
      </c>
      <c r="AE137" s="66" t="str">
        <f>IFERROR(VLOOKUP(TableHandbook[[#This Row],[UDC]],TableMJRUFINCE[],7,FALSE),"")</f>
        <v/>
      </c>
      <c r="AF137" s="66" t="str">
        <f>IFERROR(VLOOKUP(TableHandbook[[#This Row],[UDC]],TableMJRUHRMGM[],7,FALSE),"")</f>
        <v/>
      </c>
      <c r="AG137" s="66" t="str">
        <f>IFERROR(VLOOKUP(TableHandbook[[#This Row],[UDC]],TableMJRUINTBU[],7,FALSE),"")</f>
        <v/>
      </c>
      <c r="AH137" s="66" t="str">
        <f>IFERROR(VLOOKUP(TableHandbook[[#This Row],[UDC]],TableMJRULGSCM[],7,FALSE),"")</f>
        <v/>
      </c>
      <c r="AI137" s="66" t="str">
        <f>IFERROR(VLOOKUP(TableHandbook[[#This Row],[UDC]],TableMJRUMNGMT[],7,FALSE),"")</f>
        <v/>
      </c>
      <c r="AJ137" s="66" t="str">
        <f>IFERROR(VLOOKUP(TableHandbook[[#This Row],[UDC]],TableMJRUMRKTG[],7,FALSE),"")</f>
        <v/>
      </c>
      <c r="AK137" s="66" t="str">
        <f>IFERROR(VLOOKUP(TableHandbook[[#This Row],[UDC]],TableMJRUPRPTY[],7,FALSE),"")</f>
        <v/>
      </c>
      <c r="AL137" s="66" t="str">
        <f>IFERROR(VLOOKUP(TableHandbook[[#This Row],[UDC]],TableMJRUSCRAR[],7,FALSE),"")</f>
        <v/>
      </c>
      <c r="AM137" s="66" t="str">
        <f>IFERROR(VLOOKUP(TableHandbook[[#This Row],[UDC]],TableMJRUTHTRA[],7,FALSE),"")</f>
        <v/>
      </c>
      <c r="AN137" s="66" t="str">
        <f>IFERROR(VLOOKUP(TableHandbook[[#This Row],[UDC]],TableMJRUTRHOS[],7,FALSE),"")</f>
        <v/>
      </c>
    </row>
    <row r="138" spans="1:40" x14ac:dyDescent="0.25">
      <c r="A138" s="8" t="s">
        <v>309</v>
      </c>
      <c r="B138" s="9">
        <v>2</v>
      </c>
      <c r="C138" s="8"/>
      <c r="D138" s="8" t="s">
        <v>666</v>
      </c>
      <c r="E138" s="9">
        <v>25</v>
      </c>
      <c r="F138" s="49" t="s">
        <v>208</v>
      </c>
      <c r="G138" s="67" t="str">
        <f>IFERROR(IF(VLOOKUP(TableHandbook[[#This Row],[UDC]],TableAvailabilities[],2,FALSE)&gt;0,"Y",""),"")</f>
        <v>Y</v>
      </c>
      <c r="H138" s="68" t="str">
        <f>IFERROR(IF(VLOOKUP(TableHandbook[[#This Row],[UDC]],TableAvailabilities[],3,FALSE)&gt;0,"Y",""),"")</f>
        <v/>
      </c>
      <c r="I138" s="69" t="str">
        <f>IFERROR(IF(VLOOKUP(TableHandbook[[#This Row],[UDC]],TableAvailabilities[],4,FALSE)&gt;0,"Y",""),"")</f>
        <v/>
      </c>
      <c r="J138" s="70" t="str">
        <f>IFERROR(IF(VLOOKUP(TableHandbook[[#This Row],[UDC]],TableAvailabilities[],5,FALSE)&gt;0,"Y",""),"")</f>
        <v/>
      </c>
      <c r="K138" s="163"/>
      <c r="L138" s="64" t="str">
        <f>IFERROR(VLOOKUP(TableHandbook[[#This Row],[UDC]],TableBARTS[],7,FALSE),"")</f>
        <v/>
      </c>
      <c r="M138" s="65" t="str">
        <f>IFERROR(VLOOKUP(TableHandbook[[#This Row],[UDC]],TableMJRUANTSO[],7,FALSE),"")</f>
        <v/>
      </c>
      <c r="N138" s="65" t="str">
        <f>IFERROR(VLOOKUP(TableHandbook[[#This Row],[UDC]],TableMJRUCHNSE[],7,FALSE),"")</f>
        <v/>
      </c>
      <c r="O138" s="65" t="str">
        <f>IFERROR(VLOOKUP(TableHandbook[[#This Row],[UDC]],TableMJRUCRWRI[],7,FALSE),"")</f>
        <v/>
      </c>
      <c r="P138" s="65" t="str">
        <f>IFERROR(VLOOKUP(TableHandbook[[#This Row],[UDC]],TableMJRUGEOGR[],7,FALSE),"")</f>
        <v/>
      </c>
      <c r="Q138" s="65" t="str">
        <f>IFERROR(VLOOKUP(TableHandbook[[#This Row],[UDC]],TableMJRUHISTR[],7,FALSE),"")</f>
        <v/>
      </c>
      <c r="R138" s="65" t="str">
        <f>IFERROR(VLOOKUP(TableHandbook[[#This Row],[UDC]],TableMJRUINAUC[],7,FALSE),"")</f>
        <v/>
      </c>
      <c r="S138" s="65" t="str">
        <f>IFERROR(VLOOKUP(TableHandbook[[#This Row],[UDC]],TableMJRUINTRL[],7,FALSE),"")</f>
        <v/>
      </c>
      <c r="T138" s="65" t="str">
        <f>IFERROR(VLOOKUP(TableHandbook[[#This Row],[UDC]],TableMJRUJAPAN[],7,FALSE),"")</f>
        <v/>
      </c>
      <c r="U138" s="65" t="str">
        <f>IFERROR(VLOOKUP(TableHandbook[[#This Row],[UDC]],TableMJRUJOURN[],7,FALSE),"")</f>
        <v>Option</v>
      </c>
      <c r="V138" s="65" t="str">
        <f>IFERROR(VLOOKUP(TableHandbook[[#This Row],[UDC]],TableMJRUKORES[],7,FALSE),"")</f>
        <v/>
      </c>
      <c r="W138" s="65" t="str">
        <f>IFERROR(VLOOKUP(TableHandbook[[#This Row],[UDC]],TableMJRULITCU[],7,FALSE),"")</f>
        <v/>
      </c>
      <c r="X138" s="65" t="str">
        <f>IFERROR(VLOOKUP(TableHandbook[[#This Row],[UDC]],TableMJRUNETCM[],7,FALSE),"")</f>
        <v/>
      </c>
      <c r="Y138" s="65" t="str">
        <f>IFERROR(VLOOKUP(TableHandbook[[#This Row],[UDC]],TableMJRUPRWRP[],7,FALSE),"")</f>
        <v/>
      </c>
      <c r="Z138" s="66" t="str">
        <f>IFERROR(VLOOKUP(TableHandbook[[#This Row],[UDC]],TableMJRUSCSTR[],7,FALSE),"")</f>
        <v/>
      </c>
      <c r="AA138" s="74"/>
      <c r="AB138" s="66" t="str">
        <f>IFERROR(VLOOKUP(TableHandbook[[#This Row],[UDC]],TableMJRUBSLAW[],7,FALSE),"")</f>
        <v/>
      </c>
      <c r="AC138" s="66" t="str">
        <f>IFERROR(VLOOKUP(TableHandbook[[#This Row],[UDC]],TableMJRUECONS[],7,FALSE),"")</f>
        <v/>
      </c>
      <c r="AD138" s="66" t="str">
        <f>IFERROR(VLOOKUP(TableHandbook[[#This Row],[UDC]],TableMJRUFINAR[],7,FALSE),"")</f>
        <v/>
      </c>
      <c r="AE138" s="66" t="str">
        <f>IFERROR(VLOOKUP(TableHandbook[[#This Row],[UDC]],TableMJRUFINCE[],7,FALSE),"")</f>
        <v/>
      </c>
      <c r="AF138" s="66" t="str">
        <f>IFERROR(VLOOKUP(TableHandbook[[#This Row],[UDC]],TableMJRUHRMGM[],7,FALSE),"")</f>
        <v/>
      </c>
      <c r="AG138" s="66" t="str">
        <f>IFERROR(VLOOKUP(TableHandbook[[#This Row],[UDC]],TableMJRUINTBU[],7,FALSE),"")</f>
        <v/>
      </c>
      <c r="AH138" s="66" t="str">
        <f>IFERROR(VLOOKUP(TableHandbook[[#This Row],[UDC]],TableMJRULGSCM[],7,FALSE),"")</f>
        <v/>
      </c>
      <c r="AI138" s="66" t="str">
        <f>IFERROR(VLOOKUP(TableHandbook[[#This Row],[UDC]],TableMJRUMNGMT[],7,FALSE),"")</f>
        <v/>
      </c>
      <c r="AJ138" s="66" t="str">
        <f>IFERROR(VLOOKUP(TableHandbook[[#This Row],[UDC]],TableMJRUMRKTG[],7,FALSE),"")</f>
        <v/>
      </c>
      <c r="AK138" s="66" t="str">
        <f>IFERROR(VLOOKUP(TableHandbook[[#This Row],[UDC]],TableMJRUPRPTY[],7,FALSE),"")</f>
        <v/>
      </c>
      <c r="AL138" s="66" t="str">
        <f>IFERROR(VLOOKUP(TableHandbook[[#This Row],[UDC]],TableMJRUSCRAR[],7,FALSE),"")</f>
        <v/>
      </c>
      <c r="AM138" s="66" t="str">
        <f>IFERROR(VLOOKUP(TableHandbook[[#This Row],[UDC]],TableMJRUTHTRA[],7,FALSE),"")</f>
        <v/>
      </c>
      <c r="AN138" s="66" t="str">
        <f>IFERROR(VLOOKUP(TableHandbook[[#This Row],[UDC]],TableMJRUTRHOS[],7,FALSE),"")</f>
        <v/>
      </c>
    </row>
    <row r="139" spans="1:40" ht="26.25" x14ac:dyDescent="0.25">
      <c r="A139" s="8" t="s">
        <v>262</v>
      </c>
      <c r="B139" s="9">
        <v>1</v>
      </c>
      <c r="C139" s="8"/>
      <c r="D139" s="8" t="s">
        <v>667</v>
      </c>
      <c r="E139" s="9">
        <v>25</v>
      </c>
      <c r="F139" s="49" t="s">
        <v>668</v>
      </c>
      <c r="G139" s="67" t="str">
        <f>IFERROR(IF(VLOOKUP(TableHandbook[[#This Row],[UDC]],TableAvailabilities[],2,FALSE)&gt;0,"Y",""),"")</f>
        <v>Y</v>
      </c>
      <c r="H139" s="68" t="str">
        <f>IFERROR(IF(VLOOKUP(TableHandbook[[#This Row],[UDC]],TableAvailabilities[],3,FALSE)&gt;0,"Y",""),"")</f>
        <v/>
      </c>
      <c r="I139" s="69" t="str">
        <f>IFERROR(IF(VLOOKUP(TableHandbook[[#This Row],[UDC]],TableAvailabilities[],4,FALSE)&gt;0,"Y",""),"")</f>
        <v>Y</v>
      </c>
      <c r="J139" s="70" t="str">
        <f>IFERROR(IF(VLOOKUP(TableHandbook[[#This Row],[UDC]],TableAvailabilities[],5,FALSE)&gt;0,"Y",""),"")</f>
        <v/>
      </c>
      <c r="K139" s="163"/>
      <c r="L139" s="64" t="str">
        <f>IFERROR(VLOOKUP(TableHandbook[[#This Row],[UDC]],TableBARTS[],7,FALSE),"")</f>
        <v/>
      </c>
      <c r="M139" s="65" t="str">
        <f>IFERROR(VLOOKUP(TableHandbook[[#This Row],[UDC]],TableMJRUANTSO[],7,FALSE),"")</f>
        <v/>
      </c>
      <c r="N139" s="65" t="str">
        <f>IFERROR(VLOOKUP(TableHandbook[[#This Row],[UDC]],TableMJRUCHNSE[],7,FALSE),"")</f>
        <v/>
      </c>
      <c r="O139" s="65" t="str">
        <f>IFERROR(VLOOKUP(TableHandbook[[#This Row],[UDC]],TableMJRUCRWRI[],7,FALSE),"")</f>
        <v/>
      </c>
      <c r="P139" s="65" t="str">
        <f>IFERROR(VLOOKUP(TableHandbook[[#This Row],[UDC]],TableMJRUGEOGR[],7,FALSE),"")</f>
        <v/>
      </c>
      <c r="Q139" s="65" t="str">
        <f>IFERROR(VLOOKUP(TableHandbook[[#This Row],[UDC]],TableMJRUHISTR[],7,FALSE),"")</f>
        <v/>
      </c>
      <c r="R139" s="65" t="str">
        <f>IFERROR(VLOOKUP(TableHandbook[[#This Row],[UDC]],TableMJRUINAUC[],7,FALSE),"")</f>
        <v/>
      </c>
      <c r="S139" s="65" t="str">
        <f>IFERROR(VLOOKUP(TableHandbook[[#This Row],[UDC]],TableMJRUINTRL[],7,FALSE),"")</f>
        <v/>
      </c>
      <c r="T139" s="65" t="str">
        <f>IFERROR(VLOOKUP(TableHandbook[[#This Row],[UDC]],TableMJRUJAPAN[],7,FALSE),"")</f>
        <v/>
      </c>
      <c r="U139" s="65" t="str">
        <f>IFERROR(VLOOKUP(TableHandbook[[#This Row],[UDC]],TableMJRUJOURN[],7,FALSE),"")</f>
        <v>Core</v>
      </c>
      <c r="V139" s="65" t="str">
        <f>IFERROR(VLOOKUP(TableHandbook[[#This Row],[UDC]],TableMJRUKORES[],7,FALSE),"")</f>
        <v/>
      </c>
      <c r="W139" s="65" t="str">
        <f>IFERROR(VLOOKUP(TableHandbook[[#This Row],[UDC]],TableMJRULITCU[],7,FALSE),"")</f>
        <v/>
      </c>
      <c r="X139" s="65" t="str">
        <f>IFERROR(VLOOKUP(TableHandbook[[#This Row],[UDC]],TableMJRUNETCM[],7,FALSE),"")</f>
        <v/>
      </c>
      <c r="Y139" s="65" t="str">
        <f>IFERROR(VLOOKUP(TableHandbook[[#This Row],[UDC]],TableMJRUPRWRP[],7,FALSE),"")</f>
        <v/>
      </c>
      <c r="Z139" s="66" t="str">
        <f>IFERROR(VLOOKUP(TableHandbook[[#This Row],[UDC]],TableMJRUSCSTR[],7,FALSE),"")</f>
        <v/>
      </c>
      <c r="AA139" s="74"/>
      <c r="AB139" s="66" t="str">
        <f>IFERROR(VLOOKUP(TableHandbook[[#This Row],[UDC]],TableMJRUBSLAW[],7,FALSE),"")</f>
        <v/>
      </c>
      <c r="AC139" s="66" t="str">
        <f>IFERROR(VLOOKUP(TableHandbook[[#This Row],[UDC]],TableMJRUECONS[],7,FALSE),"")</f>
        <v/>
      </c>
      <c r="AD139" s="66" t="str">
        <f>IFERROR(VLOOKUP(TableHandbook[[#This Row],[UDC]],TableMJRUFINAR[],7,FALSE),"")</f>
        <v/>
      </c>
      <c r="AE139" s="66" t="str">
        <f>IFERROR(VLOOKUP(TableHandbook[[#This Row],[UDC]],TableMJRUFINCE[],7,FALSE),"")</f>
        <v/>
      </c>
      <c r="AF139" s="66" t="str">
        <f>IFERROR(VLOOKUP(TableHandbook[[#This Row],[UDC]],TableMJRUHRMGM[],7,FALSE),"")</f>
        <v/>
      </c>
      <c r="AG139" s="66" t="str">
        <f>IFERROR(VLOOKUP(TableHandbook[[#This Row],[UDC]],TableMJRUINTBU[],7,FALSE),"")</f>
        <v/>
      </c>
      <c r="AH139" s="66" t="str">
        <f>IFERROR(VLOOKUP(TableHandbook[[#This Row],[UDC]],TableMJRULGSCM[],7,FALSE),"")</f>
        <v/>
      </c>
      <c r="AI139" s="66" t="str">
        <f>IFERROR(VLOOKUP(TableHandbook[[#This Row],[UDC]],TableMJRUMNGMT[],7,FALSE),"")</f>
        <v/>
      </c>
      <c r="AJ139" s="66" t="str">
        <f>IFERROR(VLOOKUP(TableHandbook[[#This Row],[UDC]],TableMJRUMRKTG[],7,FALSE),"")</f>
        <v/>
      </c>
      <c r="AK139" s="66" t="str">
        <f>IFERROR(VLOOKUP(TableHandbook[[#This Row],[UDC]],TableMJRUPRPTY[],7,FALSE),"")</f>
        <v/>
      </c>
      <c r="AL139" s="66" t="str">
        <f>IFERROR(VLOOKUP(TableHandbook[[#This Row],[UDC]],TableMJRUSCRAR[],7,FALSE),"")</f>
        <v/>
      </c>
      <c r="AM139" s="66" t="str">
        <f>IFERROR(VLOOKUP(TableHandbook[[#This Row],[UDC]],TableMJRUTHTRA[],7,FALSE),"")</f>
        <v/>
      </c>
      <c r="AN139" s="66" t="str">
        <f>IFERROR(VLOOKUP(TableHandbook[[#This Row],[UDC]],TableMJRUTRHOS[],7,FALSE),"")</f>
        <v/>
      </c>
    </row>
    <row r="140" spans="1:40" x14ac:dyDescent="0.25">
      <c r="A140" s="8" t="s">
        <v>263</v>
      </c>
      <c r="B140" s="9">
        <v>1</v>
      </c>
      <c r="C140" s="8"/>
      <c r="D140" s="8" t="s">
        <v>669</v>
      </c>
      <c r="E140" s="9">
        <v>25</v>
      </c>
      <c r="F140" s="49" t="s">
        <v>670</v>
      </c>
      <c r="G140" s="67" t="str">
        <f>IFERROR(IF(VLOOKUP(TableHandbook[[#This Row],[UDC]],TableAvailabilities[],2,FALSE)&gt;0,"Y",""),"")</f>
        <v/>
      </c>
      <c r="H140" s="68" t="str">
        <f>IFERROR(IF(VLOOKUP(TableHandbook[[#This Row],[UDC]],TableAvailabilities[],3,FALSE)&gt;0,"Y",""),"")</f>
        <v/>
      </c>
      <c r="I140" s="69" t="str">
        <f>IFERROR(IF(VLOOKUP(TableHandbook[[#This Row],[UDC]],TableAvailabilities[],4,FALSE)&gt;0,"Y",""),"")</f>
        <v>Y</v>
      </c>
      <c r="J140" s="70" t="str">
        <f>IFERROR(IF(VLOOKUP(TableHandbook[[#This Row],[UDC]],TableAvailabilities[],5,FALSE)&gt;0,"Y",""),"")</f>
        <v/>
      </c>
      <c r="K140" s="163"/>
      <c r="L140" s="64" t="str">
        <f>IFERROR(VLOOKUP(TableHandbook[[#This Row],[UDC]],TableBARTS[],7,FALSE),"")</f>
        <v/>
      </c>
      <c r="M140" s="65" t="str">
        <f>IFERROR(VLOOKUP(TableHandbook[[#This Row],[UDC]],TableMJRUANTSO[],7,FALSE),"")</f>
        <v/>
      </c>
      <c r="N140" s="65" t="str">
        <f>IFERROR(VLOOKUP(TableHandbook[[#This Row],[UDC]],TableMJRUCHNSE[],7,FALSE),"")</f>
        <v/>
      </c>
      <c r="O140" s="65" t="str">
        <f>IFERROR(VLOOKUP(TableHandbook[[#This Row],[UDC]],TableMJRUCRWRI[],7,FALSE),"")</f>
        <v/>
      </c>
      <c r="P140" s="65" t="str">
        <f>IFERROR(VLOOKUP(TableHandbook[[#This Row],[UDC]],TableMJRUGEOGR[],7,FALSE),"")</f>
        <v/>
      </c>
      <c r="Q140" s="65" t="str">
        <f>IFERROR(VLOOKUP(TableHandbook[[#This Row],[UDC]],TableMJRUHISTR[],7,FALSE),"")</f>
        <v/>
      </c>
      <c r="R140" s="65" t="str">
        <f>IFERROR(VLOOKUP(TableHandbook[[#This Row],[UDC]],TableMJRUINAUC[],7,FALSE),"")</f>
        <v/>
      </c>
      <c r="S140" s="65" t="str">
        <f>IFERROR(VLOOKUP(TableHandbook[[#This Row],[UDC]],TableMJRUINTRL[],7,FALSE),"")</f>
        <v/>
      </c>
      <c r="T140" s="65" t="str">
        <f>IFERROR(VLOOKUP(TableHandbook[[#This Row],[UDC]],TableMJRUJAPAN[],7,FALSE),"")</f>
        <v/>
      </c>
      <c r="U140" s="65" t="str">
        <f>IFERROR(VLOOKUP(TableHandbook[[#This Row],[UDC]],TableMJRUJOURN[],7,FALSE),"")</f>
        <v>Core</v>
      </c>
      <c r="V140" s="65" t="str">
        <f>IFERROR(VLOOKUP(TableHandbook[[#This Row],[UDC]],TableMJRUKORES[],7,FALSE),"")</f>
        <v/>
      </c>
      <c r="W140" s="65" t="str">
        <f>IFERROR(VLOOKUP(TableHandbook[[#This Row],[UDC]],TableMJRULITCU[],7,FALSE),"")</f>
        <v/>
      </c>
      <c r="X140" s="65" t="str">
        <f>IFERROR(VLOOKUP(TableHandbook[[#This Row],[UDC]],TableMJRUNETCM[],7,FALSE),"")</f>
        <v/>
      </c>
      <c r="Y140" s="65" t="str">
        <f>IFERROR(VLOOKUP(TableHandbook[[#This Row],[UDC]],TableMJRUPRWRP[],7,FALSE),"")</f>
        <v/>
      </c>
      <c r="Z140" s="66" t="str">
        <f>IFERROR(VLOOKUP(TableHandbook[[#This Row],[UDC]],TableMJRUSCSTR[],7,FALSE),"")</f>
        <v/>
      </c>
      <c r="AA140" s="74"/>
      <c r="AB140" s="66" t="str">
        <f>IFERROR(VLOOKUP(TableHandbook[[#This Row],[UDC]],TableMJRUBSLAW[],7,FALSE),"")</f>
        <v/>
      </c>
      <c r="AC140" s="66" t="str">
        <f>IFERROR(VLOOKUP(TableHandbook[[#This Row],[UDC]],TableMJRUECONS[],7,FALSE),"")</f>
        <v/>
      </c>
      <c r="AD140" s="66" t="str">
        <f>IFERROR(VLOOKUP(TableHandbook[[#This Row],[UDC]],TableMJRUFINAR[],7,FALSE),"")</f>
        <v/>
      </c>
      <c r="AE140" s="66" t="str">
        <f>IFERROR(VLOOKUP(TableHandbook[[#This Row],[UDC]],TableMJRUFINCE[],7,FALSE),"")</f>
        <v/>
      </c>
      <c r="AF140" s="66" t="str">
        <f>IFERROR(VLOOKUP(TableHandbook[[#This Row],[UDC]],TableMJRUHRMGM[],7,FALSE),"")</f>
        <v/>
      </c>
      <c r="AG140" s="66" t="str">
        <f>IFERROR(VLOOKUP(TableHandbook[[#This Row],[UDC]],TableMJRUINTBU[],7,FALSE),"")</f>
        <v/>
      </c>
      <c r="AH140" s="66" t="str">
        <f>IFERROR(VLOOKUP(TableHandbook[[#This Row],[UDC]],TableMJRULGSCM[],7,FALSE),"")</f>
        <v/>
      </c>
      <c r="AI140" s="66" t="str">
        <f>IFERROR(VLOOKUP(TableHandbook[[#This Row],[UDC]],TableMJRUMNGMT[],7,FALSE),"")</f>
        <v/>
      </c>
      <c r="AJ140" s="66" t="str">
        <f>IFERROR(VLOOKUP(TableHandbook[[#This Row],[UDC]],TableMJRUMRKTG[],7,FALSE),"")</f>
        <v/>
      </c>
      <c r="AK140" s="66" t="str">
        <f>IFERROR(VLOOKUP(TableHandbook[[#This Row],[UDC]],TableMJRUPRPTY[],7,FALSE),"")</f>
        <v/>
      </c>
      <c r="AL140" s="66" t="str">
        <f>IFERROR(VLOOKUP(TableHandbook[[#This Row],[UDC]],TableMJRUSCRAR[],7,FALSE),"")</f>
        <v/>
      </c>
      <c r="AM140" s="66" t="str">
        <f>IFERROR(VLOOKUP(TableHandbook[[#This Row],[UDC]],TableMJRUTHTRA[],7,FALSE),"")</f>
        <v/>
      </c>
      <c r="AN140" s="66" t="str">
        <f>IFERROR(VLOOKUP(TableHandbook[[#This Row],[UDC]],TableMJRUTRHOS[],7,FALSE),"")</f>
        <v/>
      </c>
    </row>
    <row r="141" spans="1:40" x14ac:dyDescent="0.25">
      <c r="A141" s="8" t="s">
        <v>311</v>
      </c>
      <c r="B141" s="9">
        <v>1</v>
      </c>
      <c r="C141" s="8"/>
      <c r="D141" s="8" t="s">
        <v>671</v>
      </c>
      <c r="E141" s="9">
        <v>25</v>
      </c>
      <c r="F141" s="174" t="s">
        <v>526</v>
      </c>
      <c r="G141" s="67" t="str">
        <f>IFERROR(IF(VLOOKUP(TableHandbook[[#This Row],[UDC]],TableAvailabilities[],2,FALSE)&gt;0,"Y",""),"")</f>
        <v/>
      </c>
      <c r="H141" s="68" t="str">
        <f>IFERROR(IF(VLOOKUP(TableHandbook[[#This Row],[UDC]],TableAvailabilities[],3,FALSE)&gt;0,"Y",""),"")</f>
        <v/>
      </c>
      <c r="I141" s="69" t="str">
        <f>IFERROR(IF(VLOOKUP(TableHandbook[[#This Row],[UDC]],TableAvailabilities[],4,FALSE)&gt;0,"Y",""),"")</f>
        <v/>
      </c>
      <c r="J141" s="70" t="str">
        <f>IFERROR(IF(VLOOKUP(TableHandbook[[#This Row],[UDC]],TableAvailabilities[],5,FALSE)&gt;0,"Y",""),"")</f>
        <v>Y</v>
      </c>
      <c r="K141" s="163"/>
      <c r="L141" s="64" t="str">
        <f>IFERROR(VLOOKUP(TableHandbook[[#This Row],[UDC]],TableBARTS[],7,FALSE),"")</f>
        <v/>
      </c>
      <c r="M141" s="65" t="str">
        <f>IFERROR(VLOOKUP(TableHandbook[[#This Row],[UDC]],TableMJRUANTSO[],7,FALSE),"")</f>
        <v/>
      </c>
      <c r="N141" s="65" t="str">
        <f>IFERROR(VLOOKUP(TableHandbook[[#This Row],[UDC]],TableMJRUCHNSE[],7,FALSE),"")</f>
        <v/>
      </c>
      <c r="O141" s="65" t="str">
        <f>IFERROR(VLOOKUP(TableHandbook[[#This Row],[UDC]],TableMJRUCRWRI[],7,FALSE),"")</f>
        <v/>
      </c>
      <c r="P141" s="65" t="str">
        <f>IFERROR(VLOOKUP(TableHandbook[[#This Row],[UDC]],TableMJRUGEOGR[],7,FALSE),"")</f>
        <v/>
      </c>
      <c r="Q141" s="65" t="str">
        <f>IFERROR(VLOOKUP(TableHandbook[[#This Row],[UDC]],TableMJRUHISTR[],7,FALSE),"")</f>
        <v/>
      </c>
      <c r="R141" s="65" t="str">
        <f>IFERROR(VLOOKUP(TableHandbook[[#This Row],[UDC]],TableMJRUINAUC[],7,FALSE),"")</f>
        <v/>
      </c>
      <c r="S141" s="65" t="str">
        <f>IFERROR(VLOOKUP(TableHandbook[[#This Row],[UDC]],TableMJRUINTRL[],7,FALSE),"")</f>
        <v/>
      </c>
      <c r="T141" s="65" t="str">
        <f>IFERROR(VLOOKUP(TableHandbook[[#This Row],[UDC]],TableMJRUJAPAN[],7,FALSE),"")</f>
        <v/>
      </c>
      <c r="U141" s="65" t="str">
        <f>IFERROR(VLOOKUP(TableHandbook[[#This Row],[UDC]],TableMJRUJOURN[],7,FALSE),"")</f>
        <v>Option</v>
      </c>
      <c r="V141" s="65" t="str">
        <f>IFERROR(VLOOKUP(TableHandbook[[#This Row],[UDC]],TableMJRUKORES[],7,FALSE),"")</f>
        <v/>
      </c>
      <c r="W141" s="65" t="str">
        <f>IFERROR(VLOOKUP(TableHandbook[[#This Row],[UDC]],TableMJRULITCU[],7,FALSE),"")</f>
        <v/>
      </c>
      <c r="X141" s="65" t="str">
        <f>IFERROR(VLOOKUP(TableHandbook[[#This Row],[UDC]],TableMJRUNETCM[],7,FALSE),"")</f>
        <v/>
      </c>
      <c r="Y141" s="65" t="str">
        <f>IFERROR(VLOOKUP(TableHandbook[[#This Row],[UDC]],TableMJRUPRWRP[],7,FALSE),"")</f>
        <v/>
      </c>
      <c r="Z141" s="66" t="str">
        <f>IFERROR(VLOOKUP(TableHandbook[[#This Row],[UDC]],TableMJRUSCSTR[],7,FALSE),"")</f>
        <v/>
      </c>
      <c r="AA141" s="74"/>
      <c r="AB141" s="66" t="str">
        <f>IFERROR(VLOOKUP(TableHandbook[[#This Row],[UDC]],TableMJRUBSLAW[],7,FALSE),"")</f>
        <v/>
      </c>
      <c r="AC141" s="66" t="str">
        <f>IFERROR(VLOOKUP(TableHandbook[[#This Row],[UDC]],TableMJRUECONS[],7,FALSE),"")</f>
        <v/>
      </c>
      <c r="AD141" s="66" t="str">
        <f>IFERROR(VLOOKUP(TableHandbook[[#This Row],[UDC]],TableMJRUFINAR[],7,FALSE),"")</f>
        <v/>
      </c>
      <c r="AE141" s="66" t="str">
        <f>IFERROR(VLOOKUP(TableHandbook[[#This Row],[UDC]],TableMJRUFINCE[],7,FALSE),"")</f>
        <v/>
      </c>
      <c r="AF141" s="66" t="str">
        <f>IFERROR(VLOOKUP(TableHandbook[[#This Row],[UDC]],TableMJRUHRMGM[],7,FALSE),"")</f>
        <v/>
      </c>
      <c r="AG141" s="66" t="str">
        <f>IFERROR(VLOOKUP(TableHandbook[[#This Row],[UDC]],TableMJRUINTBU[],7,FALSE),"")</f>
        <v/>
      </c>
      <c r="AH141" s="66" t="str">
        <f>IFERROR(VLOOKUP(TableHandbook[[#This Row],[UDC]],TableMJRULGSCM[],7,FALSE),"")</f>
        <v/>
      </c>
      <c r="AI141" s="66" t="str">
        <f>IFERROR(VLOOKUP(TableHandbook[[#This Row],[UDC]],TableMJRUMNGMT[],7,FALSE),"")</f>
        <v/>
      </c>
      <c r="AJ141" s="66" t="str">
        <f>IFERROR(VLOOKUP(TableHandbook[[#This Row],[UDC]],TableMJRUMRKTG[],7,FALSE),"")</f>
        <v/>
      </c>
      <c r="AK141" s="66" t="str">
        <f>IFERROR(VLOOKUP(TableHandbook[[#This Row],[UDC]],TableMJRUPRPTY[],7,FALSE),"")</f>
        <v/>
      </c>
      <c r="AL141" s="66" t="str">
        <f>IFERROR(VLOOKUP(TableHandbook[[#This Row],[UDC]],TableMJRUSCRAR[],7,FALSE),"")</f>
        <v/>
      </c>
      <c r="AM141" s="66" t="str">
        <f>IFERROR(VLOOKUP(TableHandbook[[#This Row],[UDC]],TableMJRUTHTRA[],7,FALSE),"")</f>
        <v/>
      </c>
      <c r="AN141" s="66" t="str">
        <f>IFERROR(VLOOKUP(TableHandbook[[#This Row],[UDC]],TableMJRUTRHOS[],7,FALSE),"")</f>
        <v/>
      </c>
    </row>
    <row r="142" spans="1:40" x14ac:dyDescent="0.25">
      <c r="A142" s="8" t="s">
        <v>60</v>
      </c>
      <c r="B142" s="9">
        <v>1</v>
      </c>
      <c r="C142" s="8"/>
      <c r="D142" s="8" t="s">
        <v>672</v>
      </c>
      <c r="E142" s="9">
        <v>25</v>
      </c>
      <c r="F142" s="49" t="s">
        <v>526</v>
      </c>
      <c r="G142" s="67" t="str">
        <f>IFERROR(IF(VLOOKUP(TableHandbook[[#This Row],[UDC]],TableAvailabilities[],2,FALSE)&gt;0,"Y",""),"")</f>
        <v>Y</v>
      </c>
      <c r="H142" s="68" t="str">
        <f>IFERROR(IF(VLOOKUP(TableHandbook[[#This Row],[UDC]],TableAvailabilities[],3,FALSE)&gt;0,"Y",""),"")</f>
        <v>Y</v>
      </c>
      <c r="I142" s="69" t="str">
        <f>IFERROR(IF(VLOOKUP(TableHandbook[[#This Row],[UDC]],TableAvailabilities[],4,FALSE)&gt;0,"Y",""),"")</f>
        <v/>
      </c>
      <c r="J142" s="70" t="str">
        <f>IFERROR(IF(VLOOKUP(TableHandbook[[#This Row],[UDC]],TableAvailabilities[],5,FALSE)&gt;0,"Y",""),"")</f>
        <v/>
      </c>
      <c r="K142" s="163"/>
      <c r="L142" s="64" t="str">
        <f>IFERROR(VLOOKUP(TableHandbook[[#This Row],[UDC]],TableBARTS[],7,FALSE),"")</f>
        <v>Option</v>
      </c>
      <c r="M142" s="65" t="str">
        <f>IFERROR(VLOOKUP(TableHandbook[[#This Row],[UDC]],TableMJRUANTSO[],7,FALSE),"")</f>
        <v/>
      </c>
      <c r="N142" s="65" t="str">
        <f>IFERROR(VLOOKUP(TableHandbook[[#This Row],[UDC]],TableMJRUCHNSE[],7,FALSE),"")</f>
        <v/>
      </c>
      <c r="O142" s="65" t="str">
        <f>IFERROR(VLOOKUP(TableHandbook[[#This Row],[UDC]],TableMJRUCRWRI[],7,FALSE),"")</f>
        <v/>
      </c>
      <c r="P142" s="65" t="str">
        <f>IFERROR(VLOOKUP(TableHandbook[[#This Row],[UDC]],TableMJRUGEOGR[],7,FALSE),"")</f>
        <v/>
      </c>
      <c r="Q142" s="65" t="str">
        <f>IFERROR(VLOOKUP(TableHandbook[[#This Row],[UDC]],TableMJRUHISTR[],7,FALSE),"")</f>
        <v/>
      </c>
      <c r="R142" s="65" t="str">
        <f>IFERROR(VLOOKUP(TableHandbook[[#This Row],[UDC]],TableMJRUINAUC[],7,FALSE),"")</f>
        <v/>
      </c>
      <c r="S142" s="65" t="str">
        <f>IFERROR(VLOOKUP(TableHandbook[[#This Row],[UDC]],TableMJRUINTRL[],7,FALSE),"")</f>
        <v/>
      </c>
      <c r="T142" s="65" t="str">
        <f>IFERROR(VLOOKUP(TableHandbook[[#This Row],[UDC]],TableMJRUJAPAN[],7,FALSE),"")</f>
        <v/>
      </c>
      <c r="U142" s="65" t="str">
        <f>IFERROR(VLOOKUP(TableHandbook[[#This Row],[UDC]],TableMJRUJOURN[],7,FALSE),"")</f>
        <v/>
      </c>
      <c r="V142" s="65" t="str">
        <f>IFERROR(VLOOKUP(TableHandbook[[#This Row],[UDC]],TableMJRUKORES[],7,FALSE),"")</f>
        <v/>
      </c>
      <c r="W142" s="65" t="str">
        <f>IFERROR(VLOOKUP(TableHandbook[[#This Row],[UDC]],TableMJRULITCU[],7,FALSE),"")</f>
        <v/>
      </c>
      <c r="X142" s="65" t="str">
        <f>IFERROR(VLOOKUP(TableHandbook[[#This Row],[UDC]],TableMJRUNETCM[],7,FALSE),"")</f>
        <v/>
      </c>
      <c r="Y142" s="65" t="str">
        <f>IFERROR(VLOOKUP(TableHandbook[[#This Row],[UDC]],TableMJRUPRWRP[],7,FALSE),"")</f>
        <v/>
      </c>
      <c r="Z142" s="66" t="str">
        <f>IFERROR(VLOOKUP(TableHandbook[[#This Row],[UDC]],TableMJRUSCSTR[],7,FALSE),"")</f>
        <v/>
      </c>
      <c r="AA142" s="74"/>
      <c r="AB142" s="66" t="str">
        <f>IFERROR(VLOOKUP(TableHandbook[[#This Row],[UDC]],TableMJRUBSLAW[],7,FALSE),"")</f>
        <v/>
      </c>
      <c r="AC142" s="66" t="str">
        <f>IFERROR(VLOOKUP(TableHandbook[[#This Row],[UDC]],TableMJRUECONS[],7,FALSE),"")</f>
        <v/>
      </c>
      <c r="AD142" s="66" t="str">
        <f>IFERROR(VLOOKUP(TableHandbook[[#This Row],[UDC]],TableMJRUFINAR[],7,FALSE),"")</f>
        <v/>
      </c>
      <c r="AE142" s="66" t="str">
        <f>IFERROR(VLOOKUP(TableHandbook[[#This Row],[UDC]],TableMJRUFINCE[],7,FALSE),"")</f>
        <v/>
      </c>
      <c r="AF142" s="66" t="str">
        <f>IFERROR(VLOOKUP(TableHandbook[[#This Row],[UDC]],TableMJRUHRMGM[],7,FALSE),"")</f>
        <v/>
      </c>
      <c r="AG142" s="66" t="str">
        <f>IFERROR(VLOOKUP(TableHandbook[[#This Row],[UDC]],TableMJRUINTBU[],7,FALSE),"")</f>
        <v/>
      </c>
      <c r="AH142" s="66" t="str">
        <f>IFERROR(VLOOKUP(TableHandbook[[#This Row],[UDC]],TableMJRULGSCM[],7,FALSE),"")</f>
        <v/>
      </c>
      <c r="AI142" s="66" t="str">
        <f>IFERROR(VLOOKUP(TableHandbook[[#This Row],[UDC]],TableMJRUMNGMT[],7,FALSE),"")</f>
        <v/>
      </c>
      <c r="AJ142" s="66" t="str">
        <f>IFERROR(VLOOKUP(TableHandbook[[#This Row],[UDC]],TableMJRUMRKTG[],7,FALSE),"")</f>
        <v/>
      </c>
      <c r="AK142" s="66" t="str">
        <f>IFERROR(VLOOKUP(TableHandbook[[#This Row],[UDC]],TableMJRUPRPTY[],7,FALSE),"")</f>
        <v/>
      </c>
      <c r="AL142" s="66" t="str">
        <f>IFERROR(VLOOKUP(TableHandbook[[#This Row],[UDC]],TableMJRUSCRAR[],7,FALSE),"")</f>
        <v/>
      </c>
      <c r="AM142" s="66" t="str">
        <f>IFERROR(VLOOKUP(TableHandbook[[#This Row],[UDC]],TableMJRUTHTRA[],7,FALSE),"")</f>
        <v/>
      </c>
      <c r="AN142" s="66" t="str">
        <f>IFERROR(VLOOKUP(TableHandbook[[#This Row],[UDC]],TableMJRUTRHOS[],7,FALSE),"")</f>
        <v/>
      </c>
    </row>
    <row r="143" spans="1:40" x14ac:dyDescent="0.25">
      <c r="A143" s="8" t="s">
        <v>61</v>
      </c>
      <c r="B143" s="9">
        <v>1</v>
      </c>
      <c r="C143" s="8"/>
      <c r="D143" s="8" t="s">
        <v>673</v>
      </c>
      <c r="E143" s="9">
        <v>25</v>
      </c>
      <c r="F143" s="49" t="s">
        <v>60</v>
      </c>
      <c r="G143" s="67" t="str">
        <f>IFERROR(IF(VLOOKUP(TableHandbook[[#This Row],[UDC]],TableAvailabilities[],2,FALSE)&gt;0,"Y",""),"")</f>
        <v/>
      </c>
      <c r="H143" s="68" t="str">
        <f>IFERROR(IF(VLOOKUP(TableHandbook[[#This Row],[UDC]],TableAvailabilities[],3,FALSE)&gt;0,"Y",""),"")</f>
        <v/>
      </c>
      <c r="I143" s="69" t="str">
        <f>IFERROR(IF(VLOOKUP(TableHandbook[[#This Row],[UDC]],TableAvailabilities[],4,FALSE)&gt;0,"Y",""),"")</f>
        <v>Y</v>
      </c>
      <c r="J143" s="70" t="str">
        <f>IFERROR(IF(VLOOKUP(TableHandbook[[#This Row],[UDC]],TableAvailabilities[],5,FALSE)&gt;0,"Y",""),"")</f>
        <v>Y</v>
      </c>
      <c r="K143" s="163"/>
      <c r="L143" s="64" t="str">
        <f>IFERROR(VLOOKUP(TableHandbook[[#This Row],[UDC]],TableBARTS[],7,FALSE),"")</f>
        <v>Option</v>
      </c>
      <c r="M143" s="65" t="str">
        <f>IFERROR(VLOOKUP(TableHandbook[[#This Row],[UDC]],TableMJRUANTSO[],7,FALSE),"")</f>
        <v/>
      </c>
      <c r="N143" s="65" t="str">
        <f>IFERROR(VLOOKUP(TableHandbook[[#This Row],[UDC]],TableMJRUCHNSE[],7,FALSE),"")</f>
        <v/>
      </c>
      <c r="O143" s="65" t="str">
        <f>IFERROR(VLOOKUP(TableHandbook[[#This Row],[UDC]],TableMJRUCRWRI[],7,FALSE),"")</f>
        <v/>
      </c>
      <c r="P143" s="65" t="str">
        <f>IFERROR(VLOOKUP(TableHandbook[[#This Row],[UDC]],TableMJRUGEOGR[],7,FALSE),"")</f>
        <v/>
      </c>
      <c r="Q143" s="65" t="str">
        <f>IFERROR(VLOOKUP(TableHandbook[[#This Row],[UDC]],TableMJRUHISTR[],7,FALSE),"")</f>
        <v/>
      </c>
      <c r="R143" s="65" t="str">
        <f>IFERROR(VLOOKUP(TableHandbook[[#This Row],[UDC]],TableMJRUINAUC[],7,FALSE),"")</f>
        <v/>
      </c>
      <c r="S143" s="65" t="str">
        <f>IFERROR(VLOOKUP(TableHandbook[[#This Row],[UDC]],TableMJRUINTRL[],7,FALSE),"")</f>
        <v/>
      </c>
      <c r="T143" s="65" t="str">
        <f>IFERROR(VLOOKUP(TableHandbook[[#This Row],[UDC]],TableMJRUJAPAN[],7,FALSE),"")</f>
        <v/>
      </c>
      <c r="U143" s="65" t="str">
        <f>IFERROR(VLOOKUP(TableHandbook[[#This Row],[UDC]],TableMJRUJOURN[],7,FALSE),"")</f>
        <v/>
      </c>
      <c r="V143" s="65" t="str">
        <f>IFERROR(VLOOKUP(TableHandbook[[#This Row],[UDC]],TableMJRUKORES[],7,FALSE),"")</f>
        <v/>
      </c>
      <c r="W143" s="65" t="str">
        <f>IFERROR(VLOOKUP(TableHandbook[[#This Row],[UDC]],TableMJRULITCU[],7,FALSE),"")</f>
        <v/>
      </c>
      <c r="X143" s="65" t="str">
        <f>IFERROR(VLOOKUP(TableHandbook[[#This Row],[UDC]],TableMJRUNETCM[],7,FALSE),"")</f>
        <v/>
      </c>
      <c r="Y143" s="65" t="str">
        <f>IFERROR(VLOOKUP(TableHandbook[[#This Row],[UDC]],TableMJRUPRWRP[],7,FALSE),"")</f>
        <v/>
      </c>
      <c r="Z143" s="66" t="str">
        <f>IFERROR(VLOOKUP(TableHandbook[[#This Row],[UDC]],TableMJRUSCSTR[],7,FALSE),"")</f>
        <v/>
      </c>
      <c r="AA143" s="74"/>
      <c r="AB143" s="66" t="str">
        <f>IFERROR(VLOOKUP(TableHandbook[[#This Row],[UDC]],TableMJRUBSLAW[],7,FALSE),"")</f>
        <v/>
      </c>
      <c r="AC143" s="66" t="str">
        <f>IFERROR(VLOOKUP(TableHandbook[[#This Row],[UDC]],TableMJRUECONS[],7,FALSE),"")</f>
        <v/>
      </c>
      <c r="AD143" s="66" t="str">
        <f>IFERROR(VLOOKUP(TableHandbook[[#This Row],[UDC]],TableMJRUFINAR[],7,FALSE),"")</f>
        <v/>
      </c>
      <c r="AE143" s="66" t="str">
        <f>IFERROR(VLOOKUP(TableHandbook[[#This Row],[UDC]],TableMJRUFINCE[],7,FALSE),"")</f>
        <v/>
      </c>
      <c r="AF143" s="66" t="str">
        <f>IFERROR(VLOOKUP(TableHandbook[[#This Row],[UDC]],TableMJRUHRMGM[],7,FALSE),"")</f>
        <v/>
      </c>
      <c r="AG143" s="66" t="str">
        <f>IFERROR(VLOOKUP(TableHandbook[[#This Row],[UDC]],TableMJRUINTBU[],7,FALSE),"")</f>
        <v/>
      </c>
      <c r="AH143" s="66" t="str">
        <f>IFERROR(VLOOKUP(TableHandbook[[#This Row],[UDC]],TableMJRULGSCM[],7,FALSE),"")</f>
        <v/>
      </c>
      <c r="AI143" s="66" t="str">
        <f>IFERROR(VLOOKUP(TableHandbook[[#This Row],[UDC]],TableMJRUMNGMT[],7,FALSE),"")</f>
        <v/>
      </c>
      <c r="AJ143" s="66" t="str">
        <f>IFERROR(VLOOKUP(TableHandbook[[#This Row],[UDC]],TableMJRUMRKTG[],7,FALSE),"")</f>
        <v/>
      </c>
      <c r="AK143" s="66" t="str">
        <f>IFERROR(VLOOKUP(TableHandbook[[#This Row],[UDC]],TableMJRUPRPTY[],7,FALSE),"")</f>
        <v/>
      </c>
      <c r="AL143" s="66" t="str">
        <f>IFERROR(VLOOKUP(TableHandbook[[#This Row],[UDC]],TableMJRUSCRAR[],7,FALSE),"")</f>
        <v/>
      </c>
      <c r="AM143" s="66" t="str">
        <f>IFERROR(VLOOKUP(TableHandbook[[#This Row],[UDC]],TableMJRUTHTRA[],7,FALSE),"")</f>
        <v/>
      </c>
      <c r="AN143" s="66" t="str">
        <f>IFERROR(VLOOKUP(TableHandbook[[#This Row],[UDC]],TableMJRUTRHOS[],7,FALSE),"")</f>
        <v/>
      </c>
    </row>
    <row r="144" spans="1:40" x14ac:dyDescent="0.25">
      <c r="A144" s="8" t="s">
        <v>209</v>
      </c>
      <c r="B144" s="9">
        <v>1</v>
      </c>
      <c r="C144" s="8"/>
      <c r="D144" s="8" t="s">
        <v>674</v>
      </c>
      <c r="E144" s="9">
        <v>25</v>
      </c>
      <c r="F144" s="49" t="s">
        <v>61</v>
      </c>
      <c r="G144" s="67" t="str">
        <f>IFERROR(IF(VLOOKUP(TableHandbook[[#This Row],[UDC]],TableAvailabilities[],2,FALSE)&gt;0,"Y",""),"")</f>
        <v>Y</v>
      </c>
      <c r="H144" s="68" t="str">
        <f>IFERROR(IF(VLOOKUP(TableHandbook[[#This Row],[UDC]],TableAvailabilities[],3,FALSE)&gt;0,"Y",""),"")</f>
        <v>Y</v>
      </c>
      <c r="I144" s="69" t="str">
        <f>IFERROR(IF(VLOOKUP(TableHandbook[[#This Row],[UDC]],TableAvailabilities[],4,FALSE)&gt;0,"Y",""),"")</f>
        <v/>
      </c>
      <c r="J144" s="70" t="str">
        <f>IFERROR(IF(VLOOKUP(TableHandbook[[#This Row],[UDC]],TableAvailabilities[],5,FALSE)&gt;0,"Y",""),"")</f>
        <v/>
      </c>
      <c r="K144" s="163"/>
      <c r="L144" s="64" t="str">
        <f>IFERROR(VLOOKUP(TableHandbook[[#This Row],[UDC]],TableBARTS[],7,FALSE),"")</f>
        <v/>
      </c>
      <c r="M144" s="65" t="str">
        <f>IFERROR(VLOOKUP(TableHandbook[[#This Row],[UDC]],TableMJRUANTSO[],7,FALSE),"")</f>
        <v/>
      </c>
      <c r="N144" s="65" t="str">
        <f>IFERROR(VLOOKUP(TableHandbook[[#This Row],[UDC]],TableMJRUCHNSE[],7,FALSE),"")</f>
        <v/>
      </c>
      <c r="O144" s="65" t="str">
        <f>IFERROR(VLOOKUP(TableHandbook[[#This Row],[UDC]],TableMJRUCRWRI[],7,FALSE),"")</f>
        <v/>
      </c>
      <c r="P144" s="65" t="str">
        <f>IFERROR(VLOOKUP(TableHandbook[[#This Row],[UDC]],TableMJRUGEOGR[],7,FALSE),"")</f>
        <v/>
      </c>
      <c r="Q144" s="65" t="str">
        <f>IFERROR(VLOOKUP(TableHandbook[[#This Row],[UDC]],TableMJRUHISTR[],7,FALSE),"")</f>
        <v/>
      </c>
      <c r="R144" s="65" t="str">
        <f>IFERROR(VLOOKUP(TableHandbook[[#This Row],[UDC]],TableMJRUINAUC[],7,FALSE),"")</f>
        <v/>
      </c>
      <c r="S144" s="65" t="str">
        <f>IFERROR(VLOOKUP(TableHandbook[[#This Row],[UDC]],TableMJRUINTRL[],7,FALSE),"")</f>
        <v/>
      </c>
      <c r="T144" s="65" t="str">
        <f>IFERROR(VLOOKUP(TableHandbook[[#This Row],[UDC]],TableMJRUJAPAN[],7,FALSE),"")</f>
        <v/>
      </c>
      <c r="U144" s="65" t="str">
        <f>IFERROR(VLOOKUP(TableHandbook[[#This Row],[UDC]],TableMJRUJOURN[],7,FALSE),"")</f>
        <v/>
      </c>
      <c r="V144" s="65" t="str">
        <f>IFERROR(VLOOKUP(TableHandbook[[#This Row],[UDC]],TableMJRUKORES[],7,FALSE),"")</f>
        <v>Core</v>
      </c>
      <c r="W144" s="65" t="str">
        <f>IFERROR(VLOOKUP(TableHandbook[[#This Row],[UDC]],TableMJRULITCU[],7,FALSE),"")</f>
        <v/>
      </c>
      <c r="X144" s="65" t="str">
        <f>IFERROR(VLOOKUP(TableHandbook[[#This Row],[UDC]],TableMJRUNETCM[],7,FALSE),"")</f>
        <v/>
      </c>
      <c r="Y144" s="65" t="str">
        <f>IFERROR(VLOOKUP(TableHandbook[[#This Row],[UDC]],TableMJRUPRWRP[],7,FALSE),"")</f>
        <v/>
      </c>
      <c r="Z144" s="66" t="str">
        <f>IFERROR(VLOOKUP(TableHandbook[[#This Row],[UDC]],TableMJRUSCSTR[],7,FALSE),"")</f>
        <v/>
      </c>
      <c r="AA144" s="74"/>
      <c r="AB144" s="66" t="str">
        <f>IFERROR(VLOOKUP(TableHandbook[[#This Row],[UDC]],TableMJRUBSLAW[],7,FALSE),"")</f>
        <v/>
      </c>
      <c r="AC144" s="66" t="str">
        <f>IFERROR(VLOOKUP(TableHandbook[[#This Row],[UDC]],TableMJRUECONS[],7,FALSE),"")</f>
        <v/>
      </c>
      <c r="AD144" s="66" t="str">
        <f>IFERROR(VLOOKUP(TableHandbook[[#This Row],[UDC]],TableMJRUFINAR[],7,FALSE),"")</f>
        <v/>
      </c>
      <c r="AE144" s="66" t="str">
        <f>IFERROR(VLOOKUP(TableHandbook[[#This Row],[UDC]],TableMJRUFINCE[],7,FALSE),"")</f>
        <v/>
      </c>
      <c r="AF144" s="66" t="str">
        <f>IFERROR(VLOOKUP(TableHandbook[[#This Row],[UDC]],TableMJRUHRMGM[],7,FALSE),"")</f>
        <v/>
      </c>
      <c r="AG144" s="66" t="str">
        <f>IFERROR(VLOOKUP(TableHandbook[[#This Row],[UDC]],TableMJRUINTBU[],7,FALSE),"")</f>
        <v/>
      </c>
      <c r="AH144" s="66" t="str">
        <f>IFERROR(VLOOKUP(TableHandbook[[#This Row],[UDC]],TableMJRULGSCM[],7,FALSE),"")</f>
        <v/>
      </c>
      <c r="AI144" s="66" t="str">
        <f>IFERROR(VLOOKUP(TableHandbook[[#This Row],[UDC]],TableMJRUMNGMT[],7,FALSE),"")</f>
        <v/>
      </c>
      <c r="AJ144" s="66" t="str">
        <f>IFERROR(VLOOKUP(TableHandbook[[#This Row],[UDC]],TableMJRUMRKTG[],7,FALSE),"")</f>
        <v/>
      </c>
      <c r="AK144" s="66" t="str">
        <f>IFERROR(VLOOKUP(TableHandbook[[#This Row],[UDC]],TableMJRUPRPTY[],7,FALSE),"")</f>
        <v/>
      </c>
      <c r="AL144" s="66" t="str">
        <f>IFERROR(VLOOKUP(TableHandbook[[#This Row],[UDC]],TableMJRUSCRAR[],7,FALSE),"")</f>
        <v/>
      </c>
      <c r="AM144" s="66" t="str">
        <f>IFERROR(VLOOKUP(TableHandbook[[#This Row],[UDC]],TableMJRUTHTRA[],7,FALSE),"")</f>
        <v/>
      </c>
      <c r="AN144" s="66" t="str">
        <f>IFERROR(VLOOKUP(TableHandbook[[#This Row],[UDC]],TableMJRUTRHOS[],7,FALSE),"")</f>
        <v/>
      </c>
    </row>
    <row r="145" spans="1:40" x14ac:dyDescent="0.25">
      <c r="A145" s="8" t="s">
        <v>244</v>
      </c>
      <c r="B145" s="9">
        <v>1</v>
      </c>
      <c r="C145" s="8"/>
      <c r="D145" s="8" t="s">
        <v>675</v>
      </c>
      <c r="E145" s="9">
        <v>25</v>
      </c>
      <c r="F145" s="49" t="s">
        <v>209</v>
      </c>
      <c r="G145" s="67" t="str">
        <f>IFERROR(IF(VLOOKUP(TableHandbook[[#This Row],[UDC]],TableAvailabilities[],2,FALSE)&gt;0,"Y",""),"")</f>
        <v/>
      </c>
      <c r="H145" s="68" t="str">
        <f>IFERROR(IF(VLOOKUP(TableHandbook[[#This Row],[UDC]],TableAvailabilities[],3,FALSE)&gt;0,"Y",""),"")</f>
        <v/>
      </c>
      <c r="I145" s="69" t="str">
        <f>IFERROR(IF(VLOOKUP(TableHandbook[[#This Row],[UDC]],TableAvailabilities[],4,FALSE)&gt;0,"Y",""),"")</f>
        <v>Y</v>
      </c>
      <c r="J145" s="70" t="str">
        <f>IFERROR(IF(VLOOKUP(TableHandbook[[#This Row],[UDC]],TableAvailabilities[],5,FALSE)&gt;0,"Y",""),"")</f>
        <v>Y</v>
      </c>
      <c r="K145" s="163"/>
      <c r="L145" s="64" t="str">
        <f>IFERROR(VLOOKUP(TableHandbook[[#This Row],[UDC]],TableBARTS[],7,FALSE),"")</f>
        <v/>
      </c>
      <c r="M145" s="65" t="str">
        <f>IFERROR(VLOOKUP(TableHandbook[[#This Row],[UDC]],TableMJRUANTSO[],7,FALSE),"")</f>
        <v/>
      </c>
      <c r="N145" s="47" t="str">
        <f>IFERROR(VLOOKUP(TableHandbook[[#This Row],[UDC]],TableMJRUCHNSE[],7,FALSE),"")</f>
        <v/>
      </c>
      <c r="O145" s="47" t="str">
        <f>IFERROR(VLOOKUP(TableHandbook[[#This Row],[UDC]],TableMJRUCRWRI[],7,FALSE),"")</f>
        <v/>
      </c>
      <c r="P145" s="47" t="str">
        <f>IFERROR(VLOOKUP(TableHandbook[[#This Row],[UDC]],TableMJRUGEOGR[],7,FALSE),"")</f>
        <v/>
      </c>
      <c r="Q145" s="47" t="str">
        <f>IFERROR(VLOOKUP(TableHandbook[[#This Row],[UDC]],TableMJRUHISTR[],7,FALSE),"")</f>
        <v/>
      </c>
      <c r="R145" s="47" t="str">
        <f>IFERROR(VLOOKUP(TableHandbook[[#This Row],[UDC]],TableMJRUINAUC[],7,FALSE),"")</f>
        <v/>
      </c>
      <c r="S145" s="47" t="str">
        <f>IFERROR(VLOOKUP(TableHandbook[[#This Row],[UDC]],TableMJRUINTRL[],7,FALSE),"")</f>
        <v/>
      </c>
      <c r="T145" s="47" t="str">
        <f>IFERROR(VLOOKUP(TableHandbook[[#This Row],[UDC]],TableMJRUJAPAN[],7,FALSE),"")</f>
        <v/>
      </c>
      <c r="U145" s="47" t="str">
        <f>IFERROR(VLOOKUP(TableHandbook[[#This Row],[UDC]],TableMJRUJOURN[],7,FALSE),"")</f>
        <v/>
      </c>
      <c r="V145" s="65" t="str">
        <f>IFERROR(VLOOKUP(TableHandbook[[#This Row],[UDC]],TableMJRUKORES[],7,FALSE),"")</f>
        <v>Core</v>
      </c>
      <c r="W145" s="65" t="str">
        <f>IFERROR(VLOOKUP(TableHandbook[[#This Row],[UDC]],TableMJRULITCU[],7,FALSE),"")</f>
        <v/>
      </c>
      <c r="X145" s="65" t="str">
        <f>IFERROR(VLOOKUP(TableHandbook[[#This Row],[UDC]],TableMJRUNETCM[],7,FALSE),"")</f>
        <v/>
      </c>
      <c r="Y145" s="65" t="str">
        <f>IFERROR(VLOOKUP(TableHandbook[[#This Row],[UDC]],TableMJRUPRWRP[],7,FALSE),"")</f>
        <v/>
      </c>
      <c r="Z145" s="66" t="str">
        <f>IFERROR(VLOOKUP(TableHandbook[[#This Row],[UDC]],TableMJRUSCSTR[],7,FALSE),"")</f>
        <v/>
      </c>
      <c r="AA145" s="74"/>
      <c r="AB145" s="66" t="str">
        <f>IFERROR(VLOOKUP(TableHandbook[[#This Row],[UDC]],TableMJRUBSLAW[],7,FALSE),"")</f>
        <v/>
      </c>
      <c r="AC145" s="66" t="str">
        <f>IFERROR(VLOOKUP(TableHandbook[[#This Row],[UDC]],TableMJRUECONS[],7,FALSE),"")</f>
        <v/>
      </c>
      <c r="AD145" s="66" t="str">
        <f>IFERROR(VLOOKUP(TableHandbook[[#This Row],[UDC]],TableMJRUFINAR[],7,FALSE),"")</f>
        <v/>
      </c>
      <c r="AE145" s="66" t="str">
        <f>IFERROR(VLOOKUP(TableHandbook[[#This Row],[UDC]],TableMJRUFINCE[],7,FALSE),"")</f>
        <v/>
      </c>
      <c r="AF145" s="66" t="str">
        <f>IFERROR(VLOOKUP(TableHandbook[[#This Row],[UDC]],TableMJRUHRMGM[],7,FALSE),"")</f>
        <v/>
      </c>
      <c r="AG145" s="66" t="str">
        <f>IFERROR(VLOOKUP(TableHandbook[[#This Row],[UDC]],TableMJRUINTBU[],7,FALSE),"")</f>
        <v/>
      </c>
      <c r="AH145" s="66" t="str">
        <f>IFERROR(VLOOKUP(TableHandbook[[#This Row],[UDC]],TableMJRULGSCM[],7,FALSE),"")</f>
        <v/>
      </c>
      <c r="AI145" s="66" t="str">
        <f>IFERROR(VLOOKUP(TableHandbook[[#This Row],[UDC]],TableMJRUMNGMT[],7,FALSE),"")</f>
        <v/>
      </c>
      <c r="AJ145" s="66" t="str">
        <f>IFERROR(VLOOKUP(TableHandbook[[#This Row],[UDC]],TableMJRUMRKTG[],7,FALSE),"")</f>
        <v/>
      </c>
      <c r="AK145" s="66" t="str">
        <f>IFERROR(VLOOKUP(TableHandbook[[#This Row],[UDC]],TableMJRUPRPTY[],7,FALSE),"")</f>
        <v/>
      </c>
      <c r="AL145" s="66" t="str">
        <f>IFERROR(VLOOKUP(TableHandbook[[#This Row],[UDC]],TableMJRUSCRAR[],7,FALSE),"")</f>
        <v/>
      </c>
      <c r="AM145" s="66" t="str">
        <f>IFERROR(VLOOKUP(TableHandbook[[#This Row],[UDC]],TableMJRUTHTRA[],7,FALSE),"")</f>
        <v/>
      </c>
      <c r="AN145" s="66" t="str">
        <f>IFERROR(VLOOKUP(TableHandbook[[#This Row],[UDC]],TableMJRUTRHOS[],7,FALSE),"")</f>
        <v/>
      </c>
    </row>
    <row r="146" spans="1:40" x14ac:dyDescent="0.25">
      <c r="A146" s="8" t="s">
        <v>234</v>
      </c>
      <c r="B146" s="9">
        <v>1</v>
      </c>
      <c r="C146" s="8"/>
      <c r="D146" s="8" t="s">
        <v>676</v>
      </c>
      <c r="E146" s="9">
        <v>25</v>
      </c>
      <c r="F146" s="49" t="s">
        <v>526</v>
      </c>
      <c r="G146" s="67" t="str">
        <f>IFERROR(IF(VLOOKUP(TableHandbook[[#This Row],[UDC]],TableAvailabilities[],2,FALSE)&gt;0,"Y",""),"")</f>
        <v>Y</v>
      </c>
      <c r="H146" s="68" t="str">
        <f>IFERROR(IF(VLOOKUP(TableHandbook[[#This Row],[UDC]],TableAvailabilities[],3,FALSE)&gt;0,"Y",""),"")</f>
        <v>Y</v>
      </c>
      <c r="I146" s="69" t="str">
        <f>IFERROR(IF(VLOOKUP(TableHandbook[[#This Row],[UDC]],TableAvailabilities[],4,FALSE)&gt;0,"Y",""),"")</f>
        <v/>
      </c>
      <c r="J146" s="70" t="str">
        <f>IFERROR(IF(VLOOKUP(TableHandbook[[#This Row],[UDC]],TableAvailabilities[],5,FALSE)&gt;0,"Y",""),"")</f>
        <v/>
      </c>
      <c r="K146" s="163"/>
      <c r="L146" s="64" t="str">
        <f>IFERROR(VLOOKUP(TableHandbook[[#This Row],[UDC]],TableBARTS[],7,FALSE),"")</f>
        <v/>
      </c>
      <c r="M146" s="65" t="str">
        <f>IFERROR(VLOOKUP(TableHandbook[[#This Row],[UDC]],TableMJRUANTSO[],7,FALSE),"")</f>
        <v/>
      </c>
      <c r="N146" s="65" t="str">
        <f>IFERROR(VLOOKUP(TableHandbook[[#This Row],[UDC]],TableMJRUCHNSE[],7,FALSE),"")</f>
        <v/>
      </c>
      <c r="O146" s="65" t="str">
        <f>IFERROR(VLOOKUP(TableHandbook[[#This Row],[UDC]],TableMJRUCRWRI[],7,FALSE),"")</f>
        <v/>
      </c>
      <c r="P146" s="65" t="str">
        <f>IFERROR(VLOOKUP(TableHandbook[[#This Row],[UDC]],TableMJRUGEOGR[],7,FALSE),"")</f>
        <v/>
      </c>
      <c r="Q146" s="65" t="str">
        <f>IFERROR(VLOOKUP(TableHandbook[[#This Row],[UDC]],TableMJRUHISTR[],7,FALSE),"")</f>
        <v/>
      </c>
      <c r="R146" s="65" t="str">
        <f>IFERROR(VLOOKUP(TableHandbook[[#This Row],[UDC]],TableMJRUINAUC[],7,FALSE),"")</f>
        <v/>
      </c>
      <c r="S146" s="65" t="str">
        <f>IFERROR(VLOOKUP(TableHandbook[[#This Row],[UDC]],TableMJRUINTRL[],7,FALSE),"")</f>
        <v/>
      </c>
      <c r="T146" s="65" t="str">
        <f>IFERROR(VLOOKUP(TableHandbook[[#This Row],[UDC]],TableMJRUJAPAN[],7,FALSE),"")</f>
        <v/>
      </c>
      <c r="U146" s="65" t="str">
        <f>IFERROR(VLOOKUP(TableHandbook[[#This Row],[UDC]],TableMJRUJOURN[],7,FALSE),"")</f>
        <v/>
      </c>
      <c r="V146" s="65" t="str">
        <f>IFERROR(VLOOKUP(TableHandbook[[#This Row],[UDC]],TableMJRUKORES[],7,FALSE),"")</f>
        <v>Core</v>
      </c>
      <c r="W146" s="65" t="str">
        <f>IFERROR(VLOOKUP(TableHandbook[[#This Row],[UDC]],TableMJRULITCU[],7,FALSE),"")</f>
        <v/>
      </c>
      <c r="X146" s="65" t="str">
        <f>IFERROR(VLOOKUP(TableHandbook[[#This Row],[UDC]],TableMJRUNETCM[],7,FALSE),"")</f>
        <v/>
      </c>
      <c r="Y146" s="65" t="str">
        <f>IFERROR(VLOOKUP(TableHandbook[[#This Row],[UDC]],TableMJRUPRWRP[],7,FALSE),"")</f>
        <v/>
      </c>
      <c r="Z146" s="66" t="str">
        <f>IFERROR(VLOOKUP(TableHandbook[[#This Row],[UDC]],TableMJRUSCSTR[],7,FALSE),"")</f>
        <v/>
      </c>
      <c r="AA146" s="74"/>
      <c r="AB146" s="66" t="str">
        <f>IFERROR(VLOOKUP(TableHandbook[[#This Row],[UDC]],TableMJRUBSLAW[],7,FALSE),"")</f>
        <v/>
      </c>
      <c r="AC146" s="66" t="str">
        <f>IFERROR(VLOOKUP(TableHandbook[[#This Row],[UDC]],TableMJRUECONS[],7,FALSE),"")</f>
        <v/>
      </c>
      <c r="AD146" s="66" t="str">
        <f>IFERROR(VLOOKUP(TableHandbook[[#This Row],[UDC]],TableMJRUFINAR[],7,FALSE),"")</f>
        <v/>
      </c>
      <c r="AE146" s="66" t="str">
        <f>IFERROR(VLOOKUP(TableHandbook[[#This Row],[UDC]],TableMJRUFINCE[],7,FALSE),"")</f>
        <v/>
      </c>
      <c r="AF146" s="66" t="str">
        <f>IFERROR(VLOOKUP(TableHandbook[[#This Row],[UDC]],TableMJRUHRMGM[],7,FALSE),"")</f>
        <v/>
      </c>
      <c r="AG146" s="66" t="str">
        <f>IFERROR(VLOOKUP(TableHandbook[[#This Row],[UDC]],TableMJRUINTBU[],7,FALSE),"")</f>
        <v/>
      </c>
      <c r="AH146" s="66" t="str">
        <f>IFERROR(VLOOKUP(TableHandbook[[#This Row],[UDC]],TableMJRULGSCM[],7,FALSE),"")</f>
        <v/>
      </c>
      <c r="AI146" s="66" t="str">
        <f>IFERROR(VLOOKUP(TableHandbook[[#This Row],[UDC]],TableMJRUMNGMT[],7,FALSE),"")</f>
        <v/>
      </c>
      <c r="AJ146" s="66" t="str">
        <f>IFERROR(VLOOKUP(TableHandbook[[#This Row],[UDC]],TableMJRUMRKTG[],7,FALSE),"")</f>
        <v/>
      </c>
      <c r="AK146" s="66" t="str">
        <f>IFERROR(VLOOKUP(TableHandbook[[#This Row],[UDC]],TableMJRUPRPTY[],7,FALSE),"")</f>
        <v/>
      </c>
      <c r="AL146" s="66" t="str">
        <f>IFERROR(VLOOKUP(TableHandbook[[#This Row],[UDC]],TableMJRUSCRAR[],7,FALSE),"")</f>
        <v/>
      </c>
      <c r="AM146" s="66" t="str">
        <f>IFERROR(VLOOKUP(TableHandbook[[#This Row],[UDC]],TableMJRUTHTRA[],7,FALSE),"")</f>
        <v/>
      </c>
      <c r="AN146" s="66" t="str">
        <f>IFERROR(VLOOKUP(TableHandbook[[#This Row],[UDC]],TableMJRUTRHOS[],7,FALSE),"")</f>
        <v/>
      </c>
    </row>
    <row r="147" spans="1:40" x14ac:dyDescent="0.25">
      <c r="A147" s="8" t="s">
        <v>264</v>
      </c>
      <c r="B147" s="9">
        <v>1</v>
      </c>
      <c r="C147" s="8"/>
      <c r="D147" s="8" t="s">
        <v>677</v>
      </c>
      <c r="E147" s="9">
        <v>25</v>
      </c>
      <c r="F147" s="49" t="s">
        <v>244</v>
      </c>
      <c r="G147" s="67" t="str">
        <f>IFERROR(IF(VLOOKUP(TableHandbook[[#This Row],[UDC]],TableAvailabilities[],2,FALSE)&gt;0,"Y",""),"")</f>
        <v>Y</v>
      </c>
      <c r="H147" s="68" t="str">
        <f>IFERROR(IF(VLOOKUP(TableHandbook[[#This Row],[UDC]],TableAvailabilities[],3,FALSE)&gt;0,"Y",""),"")</f>
        <v>Y</v>
      </c>
      <c r="I147" s="69" t="str">
        <f>IFERROR(IF(VLOOKUP(TableHandbook[[#This Row],[UDC]],TableAvailabilities[],4,FALSE)&gt;0,"Y",""),"")</f>
        <v/>
      </c>
      <c r="J147" s="70" t="str">
        <f>IFERROR(IF(VLOOKUP(TableHandbook[[#This Row],[UDC]],TableAvailabilities[],5,FALSE)&gt;0,"Y",""),"")</f>
        <v/>
      </c>
      <c r="K147" s="163" t="s">
        <v>678</v>
      </c>
      <c r="L147" s="64" t="str">
        <f>IFERROR(VLOOKUP(TableHandbook[[#This Row],[UDC]],TableBARTS[],7,FALSE),"")</f>
        <v/>
      </c>
      <c r="M147" s="65" t="str">
        <f>IFERROR(VLOOKUP(TableHandbook[[#This Row],[UDC]],TableMJRUANTSO[],7,FALSE),"")</f>
        <v/>
      </c>
      <c r="N147" s="65" t="str">
        <f>IFERROR(VLOOKUP(TableHandbook[[#This Row],[UDC]],TableMJRUCHNSE[],7,FALSE),"")</f>
        <v/>
      </c>
      <c r="O147" s="65" t="str">
        <f>IFERROR(VLOOKUP(TableHandbook[[#This Row],[UDC]],TableMJRUCRWRI[],7,FALSE),"")</f>
        <v/>
      </c>
      <c r="P147" s="65" t="str">
        <f>IFERROR(VLOOKUP(TableHandbook[[#This Row],[UDC]],TableMJRUGEOGR[],7,FALSE),"")</f>
        <v/>
      </c>
      <c r="Q147" s="65" t="str">
        <f>IFERROR(VLOOKUP(TableHandbook[[#This Row],[UDC]],TableMJRUHISTR[],7,FALSE),"")</f>
        <v/>
      </c>
      <c r="R147" s="65" t="str">
        <f>IFERROR(VLOOKUP(TableHandbook[[#This Row],[UDC]],TableMJRUINAUC[],7,FALSE),"")</f>
        <v/>
      </c>
      <c r="S147" s="65" t="str">
        <f>IFERROR(VLOOKUP(TableHandbook[[#This Row],[UDC]],TableMJRUINTRL[],7,FALSE),"")</f>
        <v/>
      </c>
      <c r="T147" s="65" t="str">
        <f>IFERROR(VLOOKUP(TableHandbook[[#This Row],[UDC]],TableMJRUJAPAN[],7,FALSE),"")</f>
        <v/>
      </c>
      <c r="U147" s="65" t="str">
        <f>IFERROR(VLOOKUP(TableHandbook[[#This Row],[UDC]],TableMJRUJOURN[],7,FALSE),"")</f>
        <v/>
      </c>
      <c r="V147" s="65" t="str">
        <f>IFERROR(VLOOKUP(TableHandbook[[#This Row],[UDC]],TableMJRUKORES[],7,FALSE),"")</f>
        <v>Core</v>
      </c>
      <c r="W147" s="65" t="str">
        <f>IFERROR(VLOOKUP(TableHandbook[[#This Row],[UDC]],TableMJRULITCU[],7,FALSE),"")</f>
        <v/>
      </c>
      <c r="X147" s="65" t="str">
        <f>IFERROR(VLOOKUP(TableHandbook[[#This Row],[UDC]],TableMJRUNETCM[],7,FALSE),"")</f>
        <v/>
      </c>
      <c r="Y147" s="65" t="str">
        <f>IFERROR(VLOOKUP(TableHandbook[[#This Row],[UDC]],TableMJRUPRWRP[],7,FALSE),"")</f>
        <v/>
      </c>
      <c r="Z147" s="66" t="str">
        <f>IFERROR(VLOOKUP(TableHandbook[[#This Row],[UDC]],TableMJRUSCSTR[],7,FALSE),"")</f>
        <v/>
      </c>
      <c r="AA147" s="74"/>
      <c r="AB147" s="66" t="str">
        <f>IFERROR(VLOOKUP(TableHandbook[[#This Row],[UDC]],TableMJRUBSLAW[],7,FALSE),"")</f>
        <v/>
      </c>
      <c r="AC147" s="66" t="str">
        <f>IFERROR(VLOOKUP(TableHandbook[[#This Row],[UDC]],TableMJRUECONS[],7,FALSE),"")</f>
        <v/>
      </c>
      <c r="AD147" s="66" t="str">
        <f>IFERROR(VLOOKUP(TableHandbook[[#This Row],[UDC]],TableMJRUFINAR[],7,FALSE),"")</f>
        <v/>
      </c>
      <c r="AE147" s="66" t="str">
        <f>IFERROR(VLOOKUP(TableHandbook[[#This Row],[UDC]],TableMJRUFINCE[],7,FALSE),"")</f>
        <v/>
      </c>
      <c r="AF147" s="66" t="str">
        <f>IFERROR(VLOOKUP(TableHandbook[[#This Row],[UDC]],TableMJRUHRMGM[],7,FALSE),"")</f>
        <v/>
      </c>
      <c r="AG147" s="66" t="str">
        <f>IFERROR(VLOOKUP(TableHandbook[[#This Row],[UDC]],TableMJRUINTBU[],7,FALSE),"")</f>
        <v/>
      </c>
      <c r="AH147" s="66" t="str">
        <f>IFERROR(VLOOKUP(TableHandbook[[#This Row],[UDC]],TableMJRULGSCM[],7,FALSE),"")</f>
        <v/>
      </c>
      <c r="AI147" s="66" t="str">
        <f>IFERROR(VLOOKUP(TableHandbook[[#This Row],[UDC]],TableMJRUMNGMT[],7,FALSE),"")</f>
        <v/>
      </c>
      <c r="AJ147" s="66" t="str">
        <f>IFERROR(VLOOKUP(TableHandbook[[#This Row],[UDC]],TableMJRUMRKTG[],7,FALSE),"")</f>
        <v/>
      </c>
      <c r="AK147" s="66" t="str">
        <f>IFERROR(VLOOKUP(TableHandbook[[#This Row],[UDC]],TableMJRUPRPTY[],7,FALSE),"")</f>
        <v/>
      </c>
      <c r="AL147" s="66" t="str">
        <f>IFERROR(VLOOKUP(TableHandbook[[#This Row],[UDC]],TableMJRUSCRAR[],7,FALSE),"")</f>
        <v/>
      </c>
      <c r="AM147" s="66" t="str">
        <f>IFERROR(VLOOKUP(TableHandbook[[#This Row],[UDC]],TableMJRUTHTRA[],7,FALSE),"")</f>
        <v/>
      </c>
      <c r="AN147" s="66" t="str">
        <f>IFERROR(VLOOKUP(TableHandbook[[#This Row],[UDC]],TableMJRUTRHOS[],7,FALSE),"")</f>
        <v/>
      </c>
    </row>
    <row r="148" spans="1:40" x14ac:dyDescent="0.25">
      <c r="A148" s="8" t="s">
        <v>296</v>
      </c>
      <c r="B148" s="9">
        <v>1</v>
      </c>
      <c r="C148" s="8"/>
      <c r="D148" s="8" t="s">
        <v>679</v>
      </c>
      <c r="E148" s="9">
        <v>25</v>
      </c>
      <c r="F148" s="49" t="s">
        <v>264</v>
      </c>
      <c r="G148" s="67" t="str">
        <f>IFERROR(IF(VLOOKUP(TableHandbook[[#This Row],[UDC]],TableAvailabilities[],2,FALSE)&gt;0,"Y",""),"")</f>
        <v/>
      </c>
      <c r="H148" s="68" t="str">
        <f>IFERROR(IF(VLOOKUP(TableHandbook[[#This Row],[UDC]],TableAvailabilities[],3,FALSE)&gt;0,"Y",""),"")</f>
        <v/>
      </c>
      <c r="I148" s="69" t="str">
        <f>IFERROR(IF(VLOOKUP(TableHandbook[[#This Row],[UDC]],TableAvailabilities[],4,FALSE)&gt;0,"Y",""),"")</f>
        <v>Y</v>
      </c>
      <c r="J148" s="70" t="str">
        <f>IFERROR(IF(VLOOKUP(TableHandbook[[#This Row],[UDC]],TableAvailabilities[],5,FALSE)&gt;0,"Y",""),"")</f>
        <v>Y</v>
      </c>
      <c r="K148" s="163" t="s">
        <v>678</v>
      </c>
      <c r="L148" s="64" t="str">
        <f>IFERROR(VLOOKUP(TableHandbook[[#This Row],[UDC]],TableBARTS[],7,FALSE),"")</f>
        <v/>
      </c>
      <c r="M148" s="65" t="str">
        <f>IFERROR(VLOOKUP(TableHandbook[[#This Row],[UDC]],TableMJRUANTSO[],7,FALSE),"")</f>
        <v/>
      </c>
      <c r="N148" s="65" t="str">
        <f>IFERROR(VLOOKUP(TableHandbook[[#This Row],[UDC]],TableMJRUCHNSE[],7,FALSE),"")</f>
        <v/>
      </c>
      <c r="O148" s="65" t="str">
        <f>IFERROR(VLOOKUP(TableHandbook[[#This Row],[UDC]],TableMJRUCRWRI[],7,FALSE),"")</f>
        <v/>
      </c>
      <c r="P148" s="65" t="str">
        <f>IFERROR(VLOOKUP(TableHandbook[[#This Row],[UDC]],TableMJRUGEOGR[],7,FALSE),"")</f>
        <v/>
      </c>
      <c r="Q148" s="65" t="str">
        <f>IFERROR(VLOOKUP(TableHandbook[[#This Row],[UDC]],TableMJRUHISTR[],7,FALSE),"")</f>
        <v/>
      </c>
      <c r="R148" s="65" t="str">
        <f>IFERROR(VLOOKUP(TableHandbook[[#This Row],[UDC]],TableMJRUINAUC[],7,FALSE),"")</f>
        <v/>
      </c>
      <c r="S148" s="65" t="str">
        <f>IFERROR(VLOOKUP(TableHandbook[[#This Row],[UDC]],TableMJRUINTRL[],7,FALSE),"")</f>
        <v/>
      </c>
      <c r="T148" s="65" t="str">
        <f>IFERROR(VLOOKUP(TableHandbook[[#This Row],[UDC]],TableMJRUJAPAN[],7,FALSE),"")</f>
        <v/>
      </c>
      <c r="U148" s="65" t="str">
        <f>IFERROR(VLOOKUP(TableHandbook[[#This Row],[UDC]],TableMJRUJOURN[],7,FALSE),"")</f>
        <v/>
      </c>
      <c r="V148" s="65" t="str">
        <f>IFERROR(VLOOKUP(TableHandbook[[#This Row],[UDC]],TableMJRUKORES[],7,FALSE),"")</f>
        <v>Core</v>
      </c>
      <c r="W148" s="65" t="str">
        <f>IFERROR(VLOOKUP(TableHandbook[[#This Row],[UDC]],TableMJRULITCU[],7,FALSE),"")</f>
        <v/>
      </c>
      <c r="X148" s="65" t="str">
        <f>IFERROR(VLOOKUP(TableHandbook[[#This Row],[UDC]],TableMJRUNETCM[],7,FALSE),"")</f>
        <v/>
      </c>
      <c r="Y148" s="65" t="str">
        <f>IFERROR(VLOOKUP(TableHandbook[[#This Row],[UDC]],TableMJRUPRWRP[],7,FALSE),"")</f>
        <v/>
      </c>
      <c r="Z148" s="66" t="str">
        <f>IFERROR(VLOOKUP(TableHandbook[[#This Row],[UDC]],TableMJRUSCSTR[],7,FALSE),"")</f>
        <v/>
      </c>
      <c r="AA148" s="74"/>
      <c r="AB148" s="66" t="str">
        <f>IFERROR(VLOOKUP(TableHandbook[[#This Row],[UDC]],TableMJRUBSLAW[],7,FALSE),"")</f>
        <v/>
      </c>
      <c r="AC148" s="66" t="str">
        <f>IFERROR(VLOOKUP(TableHandbook[[#This Row],[UDC]],TableMJRUECONS[],7,FALSE),"")</f>
        <v/>
      </c>
      <c r="AD148" s="66" t="str">
        <f>IFERROR(VLOOKUP(TableHandbook[[#This Row],[UDC]],TableMJRUFINAR[],7,FALSE),"")</f>
        <v/>
      </c>
      <c r="AE148" s="66" t="str">
        <f>IFERROR(VLOOKUP(TableHandbook[[#This Row],[UDC]],TableMJRUFINCE[],7,FALSE),"")</f>
        <v/>
      </c>
      <c r="AF148" s="66" t="str">
        <f>IFERROR(VLOOKUP(TableHandbook[[#This Row],[UDC]],TableMJRUHRMGM[],7,FALSE),"")</f>
        <v/>
      </c>
      <c r="AG148" s="66" t="str">
        <f>IFERROR(VLOOKUP(TableHandbook[[#This Row],[UDC]],TableMJRUINTBU[],7,FALSE),"")</f>
        <v/>
      </c>
      <c r="AH148" s="66" t="str">
        <f>IFERROR(VLOOKUP(TableHandbook[[#This Row],[UDC]],TableMJRULGSCM[],7,FALSE),"")</f>
        <v/>
      </c>
      <c r="AI148" s="66" t="str">
        <f>IFERROR(VLOOKUP(TableHandbook[[#This Row],[UDC]],TableMJRUMNGMT[],7,FALSE),"")</f>
        <v/>
      </c>
      <c r="AJ148" s="66" t="str">
        <f>IFERROR(VLOOKUP(TableHandbook[[#This Row],[UDC]],TableMJRUMRKTG[],7,FALSE),"")</f>
        <v/>
      </c>
      <c r="AK148" s="66" t="str">
        <f>IFERROR(VLOOKUP(TableHandbook[[#This Row],[UDC]],TableMJRUPRPTY[],7,FALSE),"")</f>
        <v/>
      </c>
      <c r="AL148" s="66" t="str">
        <f>IFERROR(VLOOKUP(TableHandbook[[#This Row],[UDC]],TableMJRUSCRAR[],7,FALSE),"")</f>
        <v/>
      </c>
      <c r="AM148" s="66" t="str">
        <f>IFERROR(VLOOKUP(TableHandbook[[#This Row],[UDC]],TableMJRUTHTRA[],7,FALSE),"")</f>
        <v/>
      </c>
      <c r="AN148" s="66" t="str">
        <f>IFERROR(VLOOKUP(TableHandbook[[#This Row],[UDC]],TableMJRUTRHOS[],7,FALSE),"")</f>
        <v/>
      </c>
    </row>
    <row r="149" spans="1:40" x14ac:dyDescent="0.25">
      <c r="A149" s="8" t="s">
        <v>298</v>
      </c>
      <c r="B149" s="9">
        <v>1</v>
      </c>
      <c r="C149" s="8"/>
      <c r="D149" s="8" t="s">
        <v>680</v>
      </c>
      <c r="E149" s="9">
        <v>25</v>
      </c>
      <c r="F149" s="49" t="s">
        <v>681</v>
      </c>
      <c r="G149" s="67" t="str">
        <f>IFERROR(IF(VLOOKUP(TableHandbook[[#This Row],[UDC]],TableAvailabilities[],2,FALSE)&gt;0,"Y",""),"")</f>
        <v/>
      </c>
      <c r="H149" s="68" t="str">
        <f>IFERROR(IF(VLOOKUP(TableHandbook[[#This Row],[UDC]],TableAvailabilities[],3,FALSE)&gt;0,"Y",""),"")</f>
        <v/>
      </c>
      <c r="I149" s="69" t="str">
        <f>IFERROR(IF(VLOOKUP(TableHandbook[[#This Row],[UDC]],TableAvailabilities[],4,FALSE)&gt;0,"Y",""),"")</f>
        <v>Y</v>
      </c>
      <c r="J149" s="70" t="str">
        <f>IFERROR(IF(VLOOKUP(TableHandbook[[#This Row],[UDC]],TableAvailabilities[],5,FALSE)&gt;0,"Y",""),"")</f>
        <v>Y</v>
      </c>
      <c r="K149" s="163"/>
      <c r="L149" s="64" t="str">
        <f>IFERROR(VLOOKUP(TableHandbook[[#This Row],[UDC]],TableBARTS[],7,FALSE),"")</f>
        <v/>
      </c>
      <c r="M149" s="65" t="str">
        <f>IFERROR(VLOOKUP(TableHandbook[[#This Row],[UDC]],TableMJRUANTSO[],7,FALSE),"")</f>
        <v/>
      </c>
      <c r="N149" s="65" t="str">
        <f>IFERROR(VLOOKUP(TableHandbook[[#This Row],[UDC]],TableMJRUCHNSE[],7,FALSE),"")</f>
        <v/>
      </c>
      <c r="O149" s="65" t="str">
        <f>IFERROR(VLOOKUP(TableHandbook[[#This Row],[UDC]],TableMJRUCRWRI[],7,FALSE),"")</f>
        <v/>
      </c>
      <c r="P149" s="65" t="str">
        <f>IFERROR(VLOOKUP(TableHandbook[[#This Row],[UDC]],TableMJRUGEOGR[],7,FALSE),"")</f>
        <v/>
      </c>
      <c r="Q149" s="65" t="str">
        <f>IFERROR(VLOOKUP(TableHandbook[[#This Row],[UDC]],TableMJRUHISTR[],7,FALSE),"")</f>
        <v/>
      </c>
      <c r="R149" s="65" t="str">
        <f>IFERROR(VLOOKUP(TableHandbook[[#This Row],[UDC]],TableMJRUINAUC[],7,FALSE),"")</f>
        <v/>
      </c>
      <c r="S149" s="65" t="str">
        <f>IFERROR(VLOOKUP(TableHandbook[[#This Row],[UDC]],TableMJRUINTRL[],7,FALSE),"")</f>
        <v/>
      </c>
      <c r="T149" s="65" t="str">
        <f>IFERROR(VLOOKUP(TableHandbook[[#This Row],[UDC]],TableMJRUJAPAN[],7,FALSE),"")</f>
        <v/>
      </c>
      <c r="U149" s="65" t="str">
        <f>IFERROR(VLOOKUP(TableHandbook[[#This Row],[UDC]],TableMJRUJOURN[],7,FALSE),"")</f>
        <v/>
      </c>
      <c r="V149" s="65" t="str">
        <f>IFERROR(VLOOKUP(TableHandbook[[#This Row],[UDC]],TableMJRUKORES[],7,FALSE),"")</f>
        <v>Core</v>
      </c>
      <c r="W149" s="65" t="str">
        <f>IFERROR(VLOOKUP(TableHandbook[[#This Row],[UDC]],TableMJRULITCU[],7,FALSE),"")</f>
        <v/>
      </c>
      <c r="X149" s="65" t="str">
        <f>IFERROR(VLOOKUP(TableHandbook[[#This Row],[UDC]],TableMJRUNETCM[],7,FALSE),"")</f>
        <v/>
      </c>
      <c r="Y149" s="65" t="str">
        <f>IFERROR(VLOOKUP(TableHandbook[[#This Row],[UDC]],TableMJRUPRWRP[],7,FALSE),"")</f>
        <v/>
      </c>
      <c r="Z149" s="66" t="str">
        <f>IFERROR(VLOOKUP(TableHandbook[[#This Row],[UDC]],TableMJRUSCSTR[],7,FALSE),"")</f>
        <v/>
      </c>
      <c r="AA149" s="74"/>
      <c r="AB149" s="66" t="str">
        <f>IFERROR(VLOOKUP(TableHandbook[[#This Row],[UDC]],TableMJRUBSLAW[],7,FALSE),"")</f>
        <v/>
      </c>
      <c r="AC149" s="66" t="str">
        <f>IFERROR(VLOOKUP(TableHandbook[[#This Row],[UDC]],TableMJRUECONS[],7,FALSE),"")</f>
        <v/>
      </c>
      <c r="AD149" s="66" t="str">
        <f>IFERROR(VLOOKUP(TableHandbook[[#This Row],[UDC]],TableMJRUFINAR[],7,FALSE),"")</f>
        <v/>
      </c>
      <c r="AE149" s="66" t="str">
        <f>IFERROR(VLOOKUP(TableHandbook[[#This Row],[UDC]],TableMJRUFINCE[],7,FALSE),"")</f>
        <v/>
      </c>
      <c r="AF149" s="66" t="str">
        <f>IFERROR(VLOOKUP(TableHandbook[[#This Row],[UDC]],TableMJRUHRMGM[],7,FALSE),"")</f>
        <v/>
      </c>
      <c r="AG149" s="66" t="str">
        <f>IFERROR(VLOOKUP(TableHandbook[[#This Row],[UDC]],TableMJRUINTBU[],7,FALSE),"")</f>
        <v/>
      </c>
      <c r="AH149" s="66" t="str">
        <f>IFERROR(VLOOKUP(TableHandbook[[#This Row],[UDC]],TableMJRULGSCM[],7,FALSE),"")</f>
        <v/>
      </c>
      <c r="AI149" s="66" t="str">
        <f>IFERROR(VLOOKUP(TableHandbook[[#This Row],[UDC]],TableMJRUMNGMT[],7,FALSE),"")</f>
        <v/>
      </c>
      <c r="AJ149" s="66" t="str">
        <f>IFERROR(VLOOKUP(TableHandbook[[#This Row],[UDC]],TableMJRUMRKTG[],7,FALSE),"")</f>
        <v/>
      </c>
      <c r="AK149" s="66" t="str">
        <f>IFERROR(VLOOKUP(TableHandbook[[#This Row],[UDC]],TableMJRUPRPTY[],7,FALSE),"")</f>
        <v/>
      </c>
      <c r="AL149" s="66" t="str">
        <f>IFERROR(VLOOKUP(TableHandbook[[#This Row],[UDC]],TableMJRUSCRAR[],7,FALSE),"")</f>
        <v/>
      </c>
      <c r="AM149" s="66" t="str">
        <f>IFERROR(VLOOKUP(TableHandbook[[#This Row],[UDC]],TableMJRUTHTRA[],7,FALSE),"")</f>
        <v/>
      </c>
      <c r="AN149" s="66" t="str">
        <f>IFERROR(VLOOKUP(TableHandbook[[#This Row],[UDC]],TableMJRUTRHOS[],7,FALSE),"")</f>
        <v/>
      </c>
    </row>
    <row r="150" spans="1:40" x14ac:dyDescent="0.25">
      <c r="A150" s="98" t="s">
        <v>192</v>
      </c>
      <c r="B150" s="9"/>
      <c r="C150" s="8"/>
      <c r="D150" s="234" t="s">
        <v>1032</v>
      </c>
      <c r="E150" s="9"/>
      <c r="F150" s="49" t="s">
        <v>1026</v>
      </c>
      <c r="G150" s="67" t="str">
        <f>IFERROR(IF(VLOOKUP(TableHandbook[[#This Row],[UDC]],TableAvailabilities[],2,FALSE)&gt;0,"Y",""),"")</f>
        <v/>
      </c>
      <c r="H150" s="68" t="str">
        <f>IFERROR(IF(VLOOKUP(TableHandbook[[#This Row],[UDC]],TableAvailabilities[],3,FALSE)&gt;0,"Y",""),"")</f>
        <v/>
      </c>
      <c r="I150" s="69" t="str">
        <f>IFERROR(IF(VLOOKUP(TableHandbook[[#This Row],[UDC]],TableAvailabilities[],4,FALSE)&gt;0,"Y",""),"")</f>
        <v/>
      </c>
      <c r="J150" s="70" t="str">
        <f>IFERROR(IF(VLOOKUP(TableHandbook[[#This Row],[UDC]],TableAvailabilities[],5,FALSE)&gt;0,"Y",""),"")</f>
        <v/>
      </c>
      <c r="K150" s="163"/>
      <c r="L150" s="64" t="str">
        <f>IFERROR(VLOOKUP(TableHandbook[[#This Row],[UDC]],TableBARTS[],7,FALSE),"")</f>
        <v/>
      </c>
      <c r="M150" s="65" t="str">
        <f>IFERROR(VLOOKUP(TableHandbook[[#This Row],[UDC]],TableMJRUANTSO[],7,FALSE),"")</f>
        <v/>
      </c>
      <c r="N150" s="65" t="str">
        <f>IFERROR(VLOOKUP(TableHandbook[[#This Row],[UDC]],TableMJRUCHNSE[],7,FALSE),"")</f>
        <v/>
      </c>
      <c r="O150" s="65" t="str">
        <f>IFERROR(VLOOKUP(TableHandbook[[#This Row],[UDC]],TableMJRUCRWRI[],7,FALSE),"")</f>
        <v/>
      </c>
      <c r="P150" s="65" t="str">
        <f>IFERROR(VLOOKUP(TableHandbook[[#This Row],[UDC]],TableMJRUGEOGR[],7,FALSE),"")</f>
        <v/>
      </c>
      <c r="Q150" s="65" t="str">
        <f>IFERROR(VLOOKUP(TableHandbook[[#This Row],[UDC]],TableMJRUHISTR[],7,FALSE),"")</f>
        <v/>
      </c>
      <c r="R150" s="65" t="str">
        <f>IFERROR(VLOOKUP(TableHandbook[[#This Row],[UDC]],TableMJRUINAUC[],7,FALSE),"")</f>
        <v/>
      </c>
      <c r="S150" s="65" t="str">
        <f>IFERROR(VLOOKUP(TableHandbook[[#This Row],[UDC]],TableMJRUINTRL[],7,FALSE),"")</f>
        <v/>
      </c>
      <c r="T150" s="65" t="str">
        <f>IFERROR(VLOOKUP(TableHandbook[[#This Row],[UDC]],TableMJRUJAPAN[],7,FALSE),"")</f>
        <v/>
      </c>
      <c r="U150" s="65" t="str">
        <f>IFERROR(VLOOKUP(TableHandbook[[#This Row],[UDC]],TableMJRUJOURN[],7,FALSE),"")</f>
        <v/>
      </c>
      <c r="V150" s="65" t="str">
        <f>IFERROR(VLOOKUP(TableHandbook[[#This Row],[UDC]],TableMJRUKORES[],7,FALSE),"")</f>
        <v/>
      </c>
      <c r="W150" s="65" t="str">
        <f>IFERROR(VLOOKUP(TableHandbook[[#This Row],[UDC]],TableMJRULITCU[],7,FALSE),"")</f>
        <v/>
      </c>
      <c r="X150" s="65" t="str">
        <f>IFERROR(VLOOKUP(TableHandbook[[#This Row],[UDC]],TableMJRUNETCM[],7,FALSE),"")</f>
        <v/>
      </c>
      <c r="Y150" s="65" t="str">
        <f>IFERROR(VLOOKUP(TableHandbook[[#This Row],[UDC]],TableMJRUPRWRP[],7,FALSE),"")</f>
        <v/>
      </c>
      <c r="Z150" s="66" t="str">
        <f>IFERROR(VLOOKUP(TableHandbook[[#This Row],[UDC]],TableMJRUSCSTR[],7,FALSE),"")</f>
        <v/>
      </c>
      <c r="AA150" s="74"/>
      <c r="AB150" s="66" t="str">
        <f>IFERROR(VLOOKUP(TableHandbook[[#This Row],[UDC]],TableMJRUBSLAW[],7,FALSE),"")</f>
        <v/>
      </c>
      <c r="AC150" s="66" t="str">
        <f>IFERROR(VLOOKUP(TableHandbook[[#This Row],[UDC]],TableMJRUECONS[],7,FALSE),"")</f>
        <v/>
      </c>
      <c r="AD150" s="66" t="str">
        <f>IFERROR(VLOOKUP(TableHandbook[[#This Row],[UDC]],TableMJRUFINAR[],7,FALSE),"")</f>
        <v/>
      </c>
      <c r="AE150" s="66" t="str">
        <f>IFERROR(VLOOKUP(TableHandbook[[#This Row],[UDC]],TableMJRUFINCE[],7,FALSE),"")</f>
        <v/>
      </c>
      <c r="AF150" s="66" t="str">
        <f>IFERROR(VLOOKUP(TableHandbook[[#This Row],[UDC]],TableMJRUHRMGM[],7,FALSE),"")</f>
        <v/>
      </c>
      <c r="AG150" s="66" t="str">
        <f>IFERROR(VLOOKUP(TableHandbook[[#This Row],[UDC]],TableMJRUINTBU[],7,FALSE),"")</f>
        <v/>
      </c>
      <c r="AH150" s="66" t="str">
        <f>IFERROR(VLOOKUP(TableHandbook[[#This Row],[UDC]],TableMJRULGSCM[],7,FALSE),"")</f>
        <v/>
      </c>
      <c r="AI150" s="66" t="str">
        <f>IFERROR(VLOOKUP(TableHandbook[[#This Row],[UDC]],TableMJRUMNGMT[],7,FALSE),"")</f>
        <v/>
      </c>
      <c r="AJ150" s="66" t="str">
        <f>IFERROR(VLOOKUP(TableHandbook[[#This Row],[UDC]],TableMJRUMRKTG[],7,FALSE),"")</f>
        <v/>
      </c>
      <c r="AK150" s="66" t="str">
        <f>IFERROR(VLOOKUP(TableHandbook[[#This Row],[UDC]],TableMJRUPRPTY[],7,FALSE),"")</f>
        <v/>
      </c>
      <c r="AL150" s="66" t="str">
        <f>IFERROR(VLOOKUP(TableHandbook[[#This Row],[UDC]],TableMJRUSCRAR[],7,FALSE),"")</f>
        <v/>
      </c>
      <c r="AM150" s="66" t="str">
        <f>IFERROR(VLOOKUP(TableHandbook[[#This Row],[UDC]],TableMJRUTHTRA[],7,FALSE),"")</f>
        <v/>
      </c>
      <c r="AN150" s="66" t="str">
        <f>IFERROR(VLOOKUP(TableHandbook[[#This Row],[UDC]],TableMJRUTRHOS[],7,FALSE),"")</f>
        <v/>
      </c>
    </row>
    <row r="151" spans="1:40" x14ac:dyDescent="0.25">
      <c r="A151" s="8" t="s">
        <v>62</v>
      </c>
      <c r="B151" s="9">
        <v>1</v>
      </c>
      <c r="C151" s="8"/>
      <c r="D151" s="8" t="s">
        <v>682</v>
      </c>
      <c r="E151" s="9">
        <v>25</v>
      </c>
      <c r="F151" s="49" t="s">
        <v>526</v>
      </c>
      <c r="G151" s="67" t="str">
        <f>IFERROR(IF(VLOOKUP(TableHandbook[[#This Row],[UDC]],TableAvailabilities[],2,FALSE)&gt;0,"Y",""),"")</f>
        <v>Y</v>
      </c>
      <c r="H151" s="68" t="str">
        <f>IFERROR(IF(VLOOKUP(TableHandbook[[#This Row],[UDC]],TableAvailabilities[],3,FALSE)&gt;0,"Y",""),"")</f>
        <v>Y</v>
      </c>
      <c r="I151" s="69" t="str">
        <f>IFERROR(IF(VLOOKUP(TableHandbook[[#This Row],[UDC]],TableAvailabilities[],4,FALSE)&gt;0,"Y",""),"")</f>
        <v/>
      </c>
      <c r="J151" s="70" t="str">
        <f>IFERROR(IF(VLOOKUP(TableHandbook[[#This Row],[UDC]],TableAvailabilities[],5,FALSE)&gt;0,"Y",""),"")</f>
        <v/>
      </c>
      <c r="K151" s="163"/>
      <c r="L151" s="64" t="str">
        <f>IFERROR(VLOOKUP(TableHandbook[[#This Row],[UDC]],TableBARTS[],7,FALSE),"")</f>
        <v>Option</v>
      </c>
      <c r="M151" s="65" t="str">
        <f>IFERROR(VLOOKUP(TableHandbook[[#This Row],[UDC]],TableMJRUANTSO[],7,FALSE),"")</f>
        <v/>
      </c>
      <c r="N151" s="65" t="str">
        <f>IFERROR(VLOOKUP(TableHandbook[[#This Row],[UDC]],TableMJRUCHNSE[],7,FALSE),"")</f>
        <v/>
      </c>
      <c r="O151" s="65" t="str">
        <f>IFERROR(VLOOKUP(TableHandbook[[#This Row],[UDC]],TableMJRUCRWRI[],7,FALSE),"")</f>
        <v/>
      </c>
      <c r="P151" s="65" t="str">
        <f>IFERROR(VLOOKUP(TableHandbook[[#This Row],[UDC]],TableMJRUGEOGR[],7,FALSE),"")</f>
        <v/>
      </c>
      <c r="Q151" s="65" t="str">
        <f>IFERROR(VLOOKUP(TableHandbook[[#This Row],[UDC]],TableMJRUHISTR[],7,FALSE),"")</f>
        <v/>
      </c>
      <c r="R151" s="65" t="str">
        <f>IFERROR(VLOOKUP(TableHandbook[[#This Row],[UDC]],TableMJRUINAUC[],7,FALSE),"")</f>
        <v/>
      </c>
      <c r="S151" s="65" t="str">
        <f>IFERROR(VLOOKUP(TableHandbook[[#This Row],[UDC]],TableMJRUINTRL[],7,FALSE),"")</f>
        <v/>
      </c>
      <c r="T151" s="65" t="str">
        <f>IFERROR(VLOOKUP(TableHandbook[[#This Row],[UDC]],TableMJRUJAPAN[],7,FALSE),"")</f>
        <v/>
      </c>
      <c r="U151" s="65" t="str">
        <f>IFERROR(VLOOKUP(TableHandbook[[#This Row],[UDC]],TableMJRUJOURN[],7,FALSE),"")</f>
        <v/>
      </c>
      <c r="V151" s="65" t="str">
        <f>IFERROR(VLOOKUP(TableHandbook[[#This Row],[UDC]],TableMJRUKORES[],7,FALSE),"")</f>
        <v/>
      </c>
      <c r="W151" s="65" t="str">
        <f>IFERROR(VLOOKUP(TableHandbook[[#This Row],[UDC]],TableMJRULITCU[],7,FALSE),"")</f>
        <v/>
      </c>
      <c r="X151" s="65" t="str">
        <f>IFERROR(VLOOKUP(TableHandbook[[#This Row],[UDC]],TableMJRUNETCM[],7,FALSE),"")</f>
        <v/>
      </c>
      <c r="Y151" s="65" t="str">
        <f>IFERROR(VLOOKUP(TableHandbook[[#This Row],[UDC]],TableMJRUPRWRP[],7,FALSE),"")</f>
        <v/>
      </c>
      <c r="Z151" s="66" t="str">
        <f>IFERROR(VLOOKUP(TableHandbook[[#This Row],[UDC]],TableMJRUSCSTR[],7,FALSE),"")</f>
        <v/>
      </c>
      <c r="AA151" s="74"/>
      <c r="AB151" s="66" t="str">
        <f>IFERROR(VLOOKUP(TableHandbook[[#This Row],[UDC]],TableMJRUBSLAW[],7,FALSE),"")</f>
        <v/>
      </c>
      <c r="AC151" s="66" t="str">
        <f>IFERROR(VLOOKUP(TableHandbook[[#This Row],[UDC]],TableMJRUECONS[],7,FALSE),"")</f>
        <v/>
      </c>
      <c r="AD151" s="66" t="str">
        <f>IFERROR(VLOOKUP(TableHandbook[[#This Row],[UDC]],TableMJRUFINAR[],7,FALSE),"")</f>
        <v/>
      </c>
      <c r="AE151" s="66" t="str">
        <f>IFERROR(VLOOKUP(TableHandbook[[#This Row],[UDC]],TableMJRUFINCE[],7,FALSE),"")</f>
        <v/>
      </c>
      <c r="AF151" s="66" t="str">
        <f>IFERROR(VLOOKUP(TableHandbook[[#This Row],[UDC]],TableMJRUHRMGM[],7,FALSE),"")</f>
        <v/>
      </c>
      <c r="AG151" s="66" t="str">
        <f>IFERROR(VLOOKUP(TableHandbook[[#This Row],[UDC]],TableMJRUINTBU[],7,FALSE),"")</f>
        <v/>
      </c>
      <c r="AH151" s="66" t="str">
        <f>IFERROR(VLOOKUP(TableHandbook[[#This Row],[UDC]],TableMJRULGSCM[],7,FALSE),"")</f>
        <v/>
      </c>
      <c r="AI151" s="66" t="str">
        <f>IFERROR(VLOOKUP(TableHandbook[[#This Row],[UDC]],TableMJRUMNGMT[],7,FALSE),"")</f>
        <v/>
      </c>
      <c r="AJ151" s="66" t="str">
        <f>IFERROR(VLOOKUP(TableHandbook[[#This Row],[UDC]],TableMJRUMRKTG[],7,FALSE),"")</f>
        <v/>
      </c>
      <c r="AK151" s="66" t="str">
        <f>IFERROR(VLOOKUP(TableHandbook[[#This Row],[UDC]],TableMJRUPRPTY[],7,FALSE),"")</f>
        <v/>
      </c>
      <c r="AL151" s="66" t="str">
        <f>IFERROR(VLOOKUP(TableHandbook[[#This Row],[UDC]],TableMJRUSCRAR[],7,FALSE),"")</f>
        <v/>
      </c>
      <c r="AM151" s="66" t="str">
        <f>IFERROR(VLOOKUP(TableHandbook[[#This Row],[UDC]],TableMJRUTHTRA[],7,FALSE),"")</f>
        <v/>
      </c>
      <c r="AN151" s="66" t="str">
        <f>IFERROR(VLOOKUP(TableHandbook[[#This Row],[UDC]],TableMJRUTRHOS[],7,FALSE),"")</f>
        <v/>
      </c>
    </row>
    <row r="152" spans="1:40" x14ac:dyDescent="0.25">
      <c r="A152" s="8" t="s">
        <v>210</v>
      </c>
      <c r="B152" s="9">
        <v>2</v>
      </c>
      <c r="C152" s="8"/>
      <c r="D152" s="8" t="s">
        <v>683</v>
      </c>
      <c r="E152" s="9">
        <v>25</v>
      </c>
      <c r="F152" s="174" t="s">
        <v>526</v>
      </c>
      <c r="G152" s="67" t="str">
        <f>IFERROR(IF(VLOOKUP(TableHandbook[[#This Row],[UDC]],TableAvailabilities[],2,FALSE)&gt;0,"Y",""),"")</f>
        <v>Y</v>
      </c>
      <c r="H152" s="68" t="str">
        <f>IFERROR(IF(VLOOKUP(TableHandbook[[#This Row],[UDC]],TableAvailabilities[],3,FALSE)&gt;0,"Y",""),"")</f>
        <v>Y</v>
      </c>
      <c r="I152" s="69" t="str">
        <f>IFERROR(IF(VLOOKUP(TableHandbook[[#This Row],[UDC]],TableAvailabilities[],4,FALSE)&gt;0,"Y",""),"")</f>
        <v/>
      </c>
      <c r="J152" s="70" t="str">
        <f>IFERROR(IF(VLOOKUP(TableHandbook[[#This Row],[UDC]],TableAvailabilities[],5,FALSE)&gt;0,"Y",""),"")</f>
        <v/>
      </c>
      <c r="K152" s="163" t="s">
        <v>533</v>
      </c>
      <c r="L152" s="64" t="str">
        <f>IFERROR(VLOOKUP(TableHandbook[[#This Row],[UDC]],TableBARTS[],7,FALSE),"")</f>
        <v/>
      </c>
      <c r="M152" s="65" t="str">
        <f>IFERROR(VLOOKUP(TableHandbook[[#This Row],[UDC]],TableMJRUANTSO[],7,FALSE),"")</f>
        <v/>
      </c>
      <c r="N152" s="65" t="str">
        <f>IFERROR(VLOOKUP(TableHandbook[[#This Row],[UDC]],TableMJRUCHNSE[],7,FALSE),"")</f>
        <v/>
      </c>
      <c r="O152" s="65" t="str">
        <f>IFERROR(VLOOKUP(TableHandbook[[#This Row],[UDC]],TableMJRUCRWRI[],7,FALSE),"")</f>
        <v/>
      </c>
      <c r="P152" s="65" t="str">
        <f>IFERROR(VLOOKUP(TableHandbook[[#This Row],[UDC]],TableMJRUGEOGR[],7,FALSE),"")</f>
        <v/>
      </c>
      <c r="Q152" s="65" t="str">
        <f>IFERROR(VLOOKUP(TableHandbook[[#This Row],[UDC]],TableMJRUHISTR[],7,FALSE),"")</f>
        <v/>
      </c>
      <c r="R152" s="65" t="str">
        <f>IFERROR(VLOOKUP(TableHandbook[[#This Row],[UDC]],TableMJRUINAUC[],7,FALSE),"")</f>
        <v/>
      </c>
      <c r="S152" s="65" t="str">
        <f>IFERROR(VLOOKUP(TableHandbook[[#This Row],[UDC]],TableMJRUINTRL[],7,FALSE),"")</f>
        <v/>
      </c>
      <c r="T152" s="65" t="str">
        <f>IFERROR(VLOOKUP(TableHandbook[[#This Row],[UDC]],TableMJRUJAPAN[],7,FALSE),"")</f>
        <v/>
      </c>
      <c r="U152" s="65" t="str">
        <f>IFERROR(VLOOKUP(TableHandbook[[#This Row],[UDC]],TableMJRUJOURN[],7,FALSE),"")</f>
        <v/>
      </c>
      <c r="V152" s="65" t="str">
        <f>IFERROR(VLOOKUP(TableHandbook[[#This Row],[UDC]],TableMJRUKORES[],7,FALSE),"")</f>
        <v/>
      </c>
      <c r="W152" s="65" t="str">
        <f>IFERROR(VLOOKUP(TableHandbook[[#This Row],[UDC]],TableMJRULITCU[],7,FALSE),"")</f>
        <v>Core</v>
      </c>
      <c r="X152" s="65" t="str">
        <f>IFERROR(VLOOKUP(TableHandbook[[#This Row],[UDC]],TableMJRUNETCM[],7,FALSE),"")</f>
        <v/>
      </c>
      <c r="Y152" s="65" t="str">
        <f>IFERROR(VLOOKUP(TableHandbook[[#This Row],[UDC]],TableMJRUPRWRP[],7,FALSE),"")</f>
        <v/>
      </c>
      <c r="Z152" s="66" t="str">
        <f>IFERROR(VLOOKUP(TableHandbook[[#This Row],[UDC]],TableMJRUSCSTR[],7,FALSE),"")</f>
        <v/>
      </c>
      <c r="AA152" s="74"/>
      <c r="AB152" s="66" t="str">
        <f>IFERROR(VLOOKUP(TableHandbook[[#This Row],[UDC]],TableMJRUBSLAW[],7,FALSE),"")</f>
        <v/>
      </c>
      <c r="AC152" s="66" t="str">
        <f>IFERROR(VLOOKUP(TableHandbook[[#This Row],[UDC]],TableMJRUECONS[],7,FALSE),"")</f>
        <v/>
      </c>
      <c r="AD152" s="66" t="str">
        <f>IFERROR(VLOOKUP(TableHandbook[[#This Row],[UDC]],TableMJRUFINAR[],7,FALSE),"")</f>
        <v/>
      </c>
      <c r="AE152" s="66" t="str">
        <f>IFERROR(VLOOKUP(TableHandbook[[#This Row],[UDC]],TableMJRUFINCE[],7,FALSE),"")</f>
        <v/>
      </c>
      <c r="AF152" s="66" t="str">
        <f>IFERROR(VLOOKUP(TableHandbook[[#This Row],[UDC]],TableMJRUHRMGM[],7,FALSE),"")</f>
        <v/>
      </c>
      <c r="AG152" s="66" t="str">
        <f>IFERROR(VLOOKUP(TableHandbook[[#This Row],[UDC]],TableMJRUINTBU[],7,FALSE),"")</f>
        <v/>
      </c>
      <c r="AH152" s="66" t="str">
        <f>IFERROR(VLOOKUP(TableHandbook[[#This Row],[UDC]],TableMJRULGSCM[],7,FALSE),"")</f>
        <v/>
      </c>
      <c r="AI152" s="66" t="str">
        <f>IFERROR(VLOOKUP(TableHandbook[[#This Row],[UDC]],TableMJRUMNGMT[],7,FALSE),"")</f>
        <v/>
      </c>
      <c r="AJ152" s="66" t="str">
        <f>IFERROR(VLOOKUP(TableHandbook[[#This Row],[UDC]],TableMJRUMRKTG[],7,FALSE),"")</f>
        <v/>
      </c>
      <c r="AK152" s="66" t="str">
        <f>IFERROR(VLOOKUP(TableHandbook[[#This Row],[UDC]],TableMJRUPRPTY[],7,FALSE),"")</f>
        <v/>
      </c>
      <c r="AL152" s="66" t="str">
        <f>IFERROR(VLOOKUP(TableHandbook[[#This Row],[UDC]],TableMJRUSCRAR[],7,FALSE),"")</f>
        <v/>
      </c>
      <c r="AM152" s="66" t="str">
        <f>IFERROR(VLOOKUP(TableHandbook[[#This Row],[UDC]],TableMJRUTHTRA[],7,FALSE),"")</f>
        <v/>
      </c>
      <c r="AN152" s="66" t="str">
        <f>IFERROR(VLOOKUP(TableHandbook[[#This Row],[UDC]],TableMJRUTRHOS[],7,FALSE),"")</f>
        <v/>
      </c>
    </row>
    <row r="153" spans="1:40" x14ac:dyDescent="0.25">
      <c r="A153" s="8" t="s">
        <v>684</v>
      </c>
      <c r="B153" s="9">
        <v>1</v>
      </c>
      <c r="C153" s="8"/>
      <c r="D153" s="8" t="s">
        <v>685</v>
      </c>
      <c r="E153" s="9">
        <v>25</v>
      </c>
      <c r="F153" s="49" t="s">
        <v>526</v>
      </c>
      <c r="G153" s="67" t="str">
        <f>IFERROR(IF(VLOOKUP(TableHandbook[[#This Row],[UDC]],TableAvailabilities[],2,FALSE)&gt;0,"Y",""),"")</f>
        <v/>
      </c>
      <c r="H153" s="68" t="str">
        <f>IFERROR(IF(VLOOKUP(TableHandbook[[#This Row],[UDC]],TableAvailabilities[],3,FALSE)&gt;0,"Y",""),"")</f>
        <v/>
      </c>
      <c r="I153" s="69" t="str">
        <f>IFERROR(IF(VLOOKUP(TableHandbook[[#This Row],[UDC]],TableAvailabilities[],4,FALSE)&gt;0,"Y",""),"")</f>
        <v/>
      </c>
      <c r="J153" s="70" t="str">
        <f>IFERROR(IF(VLOOKUP(TableHandbook[[#This Row],[UDC]],TableAvailabilities[],5,FALSE)&gt;0,"Y",""),"")</f>
        <v/>
      </c>
      <c r="K153" s="163" t="s">
        <v>535</v>
      </c>
      <c r="L153" s="64" t="str">
        <f>IFERROR(VLOOKUP(TableHandbook[[#This Row],[UDC]],TableBARTS[],7,FALSE),"")</f>
        <v/>
      </c>
      <c r="M153" s="65" t="str">
        <f>IFERROR(VLOOKUP(TableHandbook[[#This Row],[UDC]],TableMJRUANTSO[],7,FALSE),"")</f>
        <v/>
      </c>
      <c r="N153" s="65" t="str">
        <f>IFERROR(VLOOKUP(TableHandbook[[#This Row],[UDC]],TableMJRUCHNSE[],7,FALSE),"")</f>
        <v/>
      </c>
      <c r="O153" s="65" t="str">
        <f>IFERROR(VLOOKUP(TableHandbook[[#This Row],[UDC]],TableMJRUCRWRI[],7,FALSE),"")</f>
        <v/>
      </c>
      <c r="P153" s="65" t="str">
        <f>IFERROR(VLOOKUP(TableHandbook[[#This Row],[UDC]],TableMJRUGEOGR[],7,FALSE),"")</f>
        <v/>
      </c>
      <c r="Q153" s="65" t="str">
        <f>IFERROR(VLOOKUP(TableHandbook[[#This Row],[UDC]],TableMJRUHISTR[],7,FALSE),"")</f>
        <v/>
      </c>
      <c r="R153" s="65" t="str">
        <f>IFERROR(VLOOKUP(TableHandbook[[#This Row],[UDC]],TableMJRUINAUC[],7,FALSE),"")</f>
        <v/>
      </c>
      <c r="S153" s="65" t="str">
        <f>IFERROR(VLOOKUP(TableHandbook[[#This Row],[UDC]],TableMJRUINTRL[],7,FALSE),"")</f>
        <v/>
      </c>
      <c r="T153" s="65" t="str">
        <f>IFERROR(VLOOKUP(TableHandbook[[#This Row],[UDC]],TableMJRUJAPAN[],7,FALSE),"")</f>
        <v/>
      </c>
      <c r="U153" s="65" t="str">
        <f>IFERROR(VLOOKUP(TableHandbook[[#This Row],[UDC]],TableMJRUJOURN[],7,FALSE),"")</f>
        <v/>
      </c>
      <c r="V153" s="65" t="str">
        <f>IFERROR(VLOOKUP(TableHandbook[[#This Row],[UDC]],TableMJRUKORES[],7,FALSE),"")</f>
        <v/>
      </c>
      <c r="W153" s="65" t="str">
        <f>IFERROR(VLOOKUP(TableHandbook[[#This Row],[UDC]],TableMJRULITCU[],7,FALSE),"")</f>
        <v/>
      </c>
      <c r="X153" s="65" t="str">
        <f>IFERROR(VLOOKUP(TableHandbook[[#This Row],[UDC]],TableMJRUNETCM[],7,FALSE),"")</f>
        <v/>
      </c>
      <c r="Y153" s="65" t="str">
        <f>IFERROR(VLOOKUP(TableHandbook[[#This Row],[UDC]],TableMJRUPRWRP[],7,FALSE),"")</f>
        <v/>
      </c>
      <c r="Z153" s="66" t="str">
        <f>IFERROR(VLOOKUP(TableHandbook[[#This Row],[UDC]],TableMJRUSCSTR[],7,FALSE),"")</f>
        <v/>
      </c>
      <c r="AA153" s="74"/>
      <c r="AB153" s="66" t="str">
        <f>IFERROR(VLOOKUP(TableHandbook[[#This Row],[UDC]],TableMJRUBSLAW[],7,FALSE),"")</f>
        <v/>
      </c>
      <c r="AC153" s="66" t="str">
        <f>IFERROR(VLOOKUP(TableHandbook[[#This Row],[UDC]],TableMJRUECONS[],7,FALSE),"")</f>
        <v/>
      </c>
      <c r="AD153" s="66" t="str">
        <f>IFERROR(VLOOKUP(TableHandbook[[#This Row],[UDC]],TableMJRUFINAR[],7,FALSE),"")</f>
        <v/>
      </c>
      <c r="AE153" s="66" t="str">
        <f>IFERROR(VLOOKUP(TableHandbook[[#This Row],[UDC]],TableMJRUFINCE[],7,FALSE),"")</f>
        <v/>
      </c>
      <c r="AF153" s="66" t="str">
        <f>IFERROR(VLOOKUP(TableHandbook[[#This Row],[UDC]],TableMJRUHRMGM[],7,FALSE),"")</f>
        <v/>
      </c>
      <c r="AG153" s="66" t="str">
        <f>IFERROR(VLOOKUP(TableHandbook[[#This Row],[UDC]],TableMJRUINTBU[],7,FALSE),"")</f>
        <v/>
      </c>
      <c r="AH153" s="66" t="str">
        <f>IFERROR(VLOOKUP(TableHandbook[[#This Row],[UDC]],TableMJRULGSCM[],7,FALSE),"")</f>
        <v/>
      </c>
      <c r="AI153" s="66" t="str">
        <f>IFERROR(VLOOKUP(TableHandbook[[#This Row],[UDC]],TableMJRUMNGMT[],7,FALSE),"")</f>
        <v/>
      </c>
      <c r="AJ153" s="66" t="str">
        <f>IFERROR(VLOOKUP(TableHandbook[[#This Row],[UDC]],TableMJRUMRKTG[],7,FALSE),"")</f>
        <v/>
      </c>
      <c r="AK153" s="66" t="str">
        <f>IFERROR(VLOOKUP(TableHandbook[[#This Row],[UDC]],TableMJRUPRPTY[],7,FALSE),"")</f>
        <v/>
      </c>
      <c r="AL153" s="66" t="str">
        <f>IFERROR(VLOOKUP(TableHandbook[[#This Row],[UDC]],TableMJRUSCRAR[],7,FALSE),"")</f>
        <v/>
      </c>
      <c r="AM153" s="66" t="str">
        <f>IFERROR(VLOOKUP(TableHandbook[[#This Row],[UDC]],TableMJRUTHTRA[],7,FALSE),"")</f>
        <v/>
      </c>
      <c r="AN153" s="66" t="str">
        <f>IFERROR(VLOOKUP(TableHandbook[[#This Row],[UDC]],TableMJRUTRHOS[],7,FALSE),"")</f>
        <v/>
      </c>
    </row>
    <row r="154" spans="1:40" x14ac:dyDescent="0.25">
      <c r="A154" s="8" t="s">
        <v>211</v>
      </c>
      <c r="B154" s="9">
        <v>1</v>
      </c>
      <c r="C154" s="8"/>
      <c r="D154" s="8" t="s">
        <v>686</v>
      </c>
      <c r="E154" s="9">
        <v>25</v>
      </c>
      <c r="F154" s="49" t="s">
        <v>526</v>
      </c>
      <c r="G154" s="67" t="str">
        <f>IFERROR(IF(VLOOKUP(TableHandbook[[#This Row],[UDC]],TableAvailabilities[],2,FALSE)&gt;0,"Y",""),"")</f>
        <v/>
      </c>
      <c r="H154" s="68" t="str">
        <f>IFERROR(IF(VLOOKUP(TableHandbook[[#This Row],[UDC]],TableAvailabilities[],3,FALSE)&gt;0,"Y",""),"")</f>
        <v/>
      </c>
      <c r="I154" s="69" t="str">
        <f>IFERROR(IF(VLOOKUP(TableHandbook[[#This Row],[UDC]],TableAvailabilities[],4,FALSE)&gt;0,"Y",""),"")</f>
        <v>Y</v>
      </c>
      <c r="J154" s="70" t="str">
        <f>IFERROR(IF(VLOOKUP(TableHandbook[[#This Row],[UDC]],TableAvailabilities[],5,FALSE)&gt;0,"Y",""),"")</f>
        <v>Y</v>
      </c>
      <c r="K154" s="163"/>
      <c r="L154" s="64" t="str">
        <f>IFERROR(VLOOKUP(TableHandbook[[#This Row],[UDC]],TableBARTS[],7,FALSE),"")</f>
        <v/>
      </c>
      <c r="M154" s="65" t="str">
        <f>IFERROR(VLOOKUP(TableHandbook[[#This Row],[UDC]],TableMJRUANTSO[],7,FALSE),"")</f>
        <v/>
      </c>
      <c r="N154" s="65" t="str">
        <f>IFERROR(VLOOKUP(TableHandbook[[#This Row],[UDC]],TableMJRUCHNSE[],7,FALSE),"")</f>
        <v/>
      </c>
      <c r="O154" s="65" t="str">
        <f>IFERROR(VLOOKUP(TableHandbook[[#This Row],[UDC]],TableMJRUCRWRI[],7,FALSE),"")</f>
        <v/>
      </c>
      <c r="P154" s="65" t="str">
        <f>IFERROR(VLOOKUP(TableHandbook[[#This Row],[UDC]],TableMJRUGEOGR[],7,FALSE),"")</f>
        <v/>
      </c>
      <c r="Q154" s="65" t="str">
        <f>IFERROR(VLOOKUP(TableHandbook[[#This Row],[UDC]],TableMJRUHISTR[],7,FALSE),"")</f>
        <v/>
      </c>
      <c r="R154" s="65" t="str">
        <f>IFERROR(VLOOKUP(TableHandbook[[#This Row],[UDC]],TableMJRUINAUC[],7,FALSE),"")</f>
        <v/>
      </c>
      <c r="S154" s="65" t="str">
        <f>IFERROR(VLOOKUP(TableHandbook[[#This Row],[UDC]],TableMJRUINTRL[],7,FALSE),"")</f>
        <v/>
      </c>
      <c r="T154" s="65" t="str">
        <f>IFERROR(VLOOKUP(TableHandbook[[#This Row],[UDC]],TableMJRUJAPAN[],7,FALSE),"")</f>
        <v/>
      </c>
      <c r="U154" s="65" t="str">
        <f>IFERROR(VLOOKUP(TableHandbook[[#This Row],[UDC]],TableMJRUJOURN[],7,FALSE),"")</f>
        <v/>
      </c>
      <c r="V154" s="65" t="str">
        <f>IFERROR(VLOOKUP(TableHandbook[[#This Row],[UDC]],TableMJRUKORES[],7,FALSE),"")</f>
        <v/>
      </c>
      <c r="W154" s="65" t="str">
        <f>IFERROR(VLOOKUP(TableHandbook[[#This Row],[UDC]],TableMJRULITCU[],7,FALSE),"")</f>
        <v>Core</v>
      </c>
      <c r="X154" s="65" t="str">
        <f>IFERROR(VLOOKUP(TableHandbook[[#This Row],[UDC]],TableMJRUNETCM[],7,FALSE),"")</f>
        <v/>
      </c>
      <c r="Y154" s="65" t="str">
        <f>IFERROR(VLOOKUP(TableHandbook[[#This Row],[UDC]],TableMJRUPRWRP[],7,FALSE),"")</f>
        <v/>
      </c>
      <c r="Z154" s="66" t="str">
        <f>IFERROR(VLOOKUP(TableHandbook[[#This Row],[UDC]],TableMJRUSCSTR[],7,FALSE),"")</f>
        <v/>
      </c>
      <c r="AA154" s="74"/>
      <c r="AB154" s="66" t="str">
        <f>IFERROR(VLOOKUP(TableHandbook[[#This Row],[UDC]],TableMJRUBSLAW[],7,FALSE),"")</f>
        <v/>
      </c>
      <c r="AC154" s="66" t="str">
        <f>IFERROR(VLOOKUP(TableHandbook[[#This Row],[UDC]],TableMJRUECONS[],7,FALSE),"")</f>
        <v/>
      </c>
      <c r="AD154" s="66" t="str">
        <f>IFERROR(VLOOKUP(TableHandbook[[#This Row],[UDC]],TableMJRUFINAR[],7,FALSE),"")</f>
        <v/>
      </c>
      <c r="AE154" s="66" t="str">
        <f>IFERROR(VLOOKUP(TableHandbook[[#This Row],[UDC]],TableMJRUFINCE[],7,FALSE),"")</f>
        <v/>
      </c>
      <c r="AF154" s="66" t="str">
        <f>IFERROR(VLOOKUP(TableHandbook[[#This Row],[UDC]],TableMJRUHRMGM[],7,FALSE),"")</f>
        <v/>
      </c>
      <c r="AG154" s="66" t="str">
        <f>IFERROR(VLOOKUP(TableHandbook[[#This Row],[UDC]],TableMJRUINTBU[],7,FALSE),"")</f>
        <v/>
      </c>
      <c r="AH154" s="66" t="str">
        <f>IFERROR(VLOOKUP(TableHandbook[[#This Row],[UDC]],TableMJRULGSCM[],7,FALSE),"")</f>
        <v/>
      </c>
      <c r="AI154" s="66" t="str">
        <f>IFERROR(VLOOKUP(TableHandbook[[#This Row],[UDC]],TableMJRUMNGMT[],7,FALSE),"")</f>
        <v/>
      </c>
      <c r="AJ154" s="66" t="str">
        <f>IFERROR(VLOOKUP(TableHandbook[[#This Row],[UDC]],TableMJRUMRKTG[],7,FALSE),"")</f>
        <v/>
      </c>
      <c r="AK154" s="66" t="str">
        <f>IFERROR(VLOOKUP(TableHandbook[[#This Row],[UDC]],TableMJRUPRPTY[],7,FALSE),"")</f>
        <v/>
      </c>
      <c r="AL154" s="66" t="str">
        <f>IFERROR(VLOOKUP(TableHandbook[[#This Row],[UDC]],TableMJRUSCRAR[],7,FALSE),"")</f>
        <v/>
      </c>
      <c r="AM154" s="66" t="str">
        <f>IFERROR(VLOOKUP(TableHandbook[[#This Row],[UDC]],TableMJRUTHTRA[],7,FALSE),"")</f>
        <v/>
      </c>
      <c r="AN154" s="66" t="str">
        <f>IFERROR(VLOOKUP(TableHandbook[[#This Row],[UDC]],TableMJRUTRHOS[],7,FALSE),"")</f>
        <v/>
      </c>
    </row>
    <row r="155" spans="1:40" x14ac:dyDescent="0.25">
      <c r="A155" s="8" t="s">
        <v>256</v>
      </c>
      <c r="B155" s="9">
        <v>1</v>
      </c>
      <c r="C155" s="8"/>
      <c r="D155" s="8" t="s">
        <v>687</v>
      </c>
      <c r="E155" s="9">
        <v>25</v>
      </c>
      <c r="F155" s="49" t="s">
        <v>526</v>
      </c>
      <c r="G155" s="67" t="str">
        <f>IFERROR(IF(VLOOKUP(TableHandbook[[#This Row],[UDC]],TableAvailabilities[],2,FALSE)&gt;0,"Y",""),"")</f>
        <v>Y</v>
      </c>
      <c r="H155" s="68" t="str">
        <f>IFERROR(IF(VLOOKUP(TableHandbook[[#This Row],[UDC]],TableAvailabilities[],3,FALSE)&gt;0,"Y",""),"")</f>
        <v>Y</v>
      </c>
      <c r="I155" s="69" t="str">
        <f>IFERROR(IF(VLOOKUP(TableHandbook[[#This Row],[UDC]],TableAvailabilities[],4,FALSE)&gt;0,"Y",""),"")</f>
        <v/>
      </c>
      <c r="J155" s="70" t="str">
        <f>IFERROR(IF(VLOOKUP(TableHandbook[[#This Row],[UDC]],TableAvailabilities[],5,FALSE)&gt;0,"Y",""),"")</f>
        <v/>
      </c>
      <c r="K155" s="163"/>
      <c r="L155" s="64" t="str">
        <f>IFERROR(VLOOKUP(TableHandbook[[#This Row],[UDC]],TableBARTS[],7,FALSE),"")</f>
        <v/>
      </c>
      <c r="M155" s="65" t="str">
        <f>IFERROR(VLOOKUP(TableHandbook[[#This Row],[UDC]],TableMJRUANTSO[],7,FALSE),"")</f>
        <v/>
      </c>
      <c r="N155" s="65" t="str">
        <f>IFERROR(VLOOKUP(TableHandbook[[#This Row],[UDC]],TableMJRUCHNSE[],7,FALSE),"")</f>
        <v/>
      </c>
      <c r="O155" s="65" t="str">
        <f>IFERROR(VLOOKUP(TableHandbook[[#This Row],[UDC]],TableMJRUCRWRI[],7,FALSE),"")</f>
        <v/>
      </c>
      <c r="P155" s="65" t="str">
        <f>IFERROR(VLOOKUP(TableHandbook[[#This Row],[UDC]],TableMJRUGEOGR[],7,FALSE),"")</f>
        <v/>
      </c>
      <c r="Q155" s="65" t="str">
        <f>IFERROR(VLOOKUP(TableHandbook[[#This Row],[UDC]],TableMJRUHISTR[],7,FALSE),"")</f>
        <v/>
      </c>
      <c r="R155" s="65" t="str">
        <f>IFERROR(VLOOKUP(TableHandbook[[#This Row],[UDC]],TableMJRUINAUC[],7,FALSE),"")</f>
        <v>Core</v>
      </c>
      <c r="S155" s="65" t="str">
        <f>IFERROR(VLOOKUP(TableHandbook[[#This Row],[UDC]],TableMJRUINTRL[],7,FALSE),"")</f>
        <v/>
      </c>
      <c r="T155" s="65" t="str">
        <f>IFERROR(VLOOKUP(TableHandbook[[#This Row],[UDC]],TableMJRUJAPAN[],7,FALSE),"")</f>
        <v/>
      </c>
      <c r="U155" s="65" t="str">
        <f>IFERROR(VLOOKUP(TableHandbook[[#This Row],[UDC]],TableMJRUJOURN[],7,FALSE),"")</f>
        <v/>
      </c>
      <c r="V155" s="65" t="str">
        <f>IFERROR(VLOOKUP(TableHandbook[[#This Row],[UDC]],TableMJRUKORES[],7,FALSE),"")</f>
        <v/>
      </c>
      <c r="W155" s="65" t="str">
        <f>IFERROR(VLOOKUP(TableHandbook[[#This Row],[UDC]],TableMJRULITCU[],7,FALSE),"")</f>
        <v>Core</v>
      </c>
      <c r="X155" s="65" t="str">
        <f>IFERROR(VLOOKUP(TableHandbook[[#This Row],[UDC]],TableMJRUNETCM[],7,FALSE),"")</f>
        <v/>
      </c>
      <c r="Y155" s="65" t="str">
        <f>IFERROR(VLOOKUP(TableHandbook[[#This Row],[UDC]],TableMJRUPRWRP[],7,FALSE),"")</f>
        <v/>
      </c>
      <c r="Z155" s="66" t="str">
        <f>IFERROR(VLOOKUP(TableHandbook[[#This Row],[UDC]],TableMJRUSCSTR[],7,FALSE),"")</f>
        <v/>
      </c>
      <c r="AA155" s="74"/>
      <c r="AB155" s="66" t="str">
        <f>IFERROR(VLOOKUP(TableHandbook[[#This Row],[UDC]],TableMJRUBSLAW[],7,FALSE),"")</f>
        <v/>
      </c>
      <c r="AC155" s="66" t="str">
        <f>IFERROR(VLOOKUP(TableHandbook[[#This Row],[UDC]],TableMJRUECONS[],7,FALSE),"")</f>
        <v/>
      </c>
      <c r="AD155" s="66" t="str">
        <f>IFERROR(VLOOKUP(TableHandbook[[#This Row],[UDC]],TableMJRUFINAR[],7,FALSE),"")</f>
        <v/>
      </c>
      <c r="AE155" s="66" t="str">
        <f>IFERROR(VLOOKUP(TableHandbook[[#This Row],[UDC]],TableMJRUFINCE[],7,FALSE),"")</f>
        <v/>
      </c>
      <c r="AF155" s="66" t="str">
        <f>IFERROR(VLOOKUP(TableHandbook[[#This Row],[UDC]],TableMJRUHRMGM[],7,FALSE),"")</f>
        <v/>
      </c>
      <c r="AG155" s="66" t="str">
        <f>IFERROR(VLOOKUP(TableHandbook[[#This Row],[UDC]],TableMJRUINTBU[],7,FALSE),"")</f>
        <v/>
      </c>
      <c r="AH155" s="66" t="str">
        <f>IFERROR(VLOOKUP(TableHandbook[[#This Row],[UDC]],TableMJRULGSCM[],7,FALSE),"")</f>
        <v/>
      </c>
      <c r="AI155" s="66" t="str">
        <f>IFERROR(VLOOKUP(TableHandbook[[#This Row],[UDC]],TableMJRUMNGMT[],7,FALSE),"")</f>
        <v/>
      </c>
      <c r="AJ155" s="66" t="str">
        <f>IFERROR(VLOOKUP(TableHandbook[[#This Row],[UDC]],TableMJRUMRKTG[],7,FALSE),"")</f>
        <v/>
      </c>
      <c r="AK155" s="66" t="str">
        <f>IFERROR(VLOOKUP(TableHandbook[[#This Row],[UDC]],TableMJRUPRPTY[],7,FALSE),"")</f>
        <v/>
      </c>
      <c r="AL155" s="66" t="str">
        <f>IFERROR(VLOOKUP(TableHandbook[[#This Row],[UDC]],TableMJRUSCRAR[],7,FALSE),"")</f>
        <v/>
      </c>
      <c r="AM155" s="66" t="str">
        <f>IFERROR(VLOOKUP(TableHandbook[[#This Row],[UDC]],TableMJRUTHTRA[],7,FALSE),"")</f>
        <v/>
      </c>
      <c r="AN155" s="66" t="str">
        <f>IFERROR(VLOOKUP(TableHandbook[[#This Row],[UDC]],TableMJRUTRHOS[],7,FALSE),"")</f>
        <v/>
      </c>
    </row>
    <row r="156" spans="1:40" x14ac:dyDescent="0.25">
      <c r="A156" s="8" t="s">
        <v>265</v>
      </c>
      <c r="B156" s="9">
        <v>1</v>
      </c>
      <c r="C156" s="8"/>
      <c r="D156" s="8" t="s">
        <v>688</v>
      </c>
      <c r="E156" s="9">
        <v>25</v>
      </c>
      <c r="F156" s="49" t="s">
        <v>526</v>
      </c>
      <c r="G156" s="67" t="str">
        <f>IFERROR(IF(VLOOKUP(TableHandbook[[#This Row],[UDC]],TableAvailabilities[],2,FALSE)&gt;0,"Y",""),"")</f>
        <v/>
      </c>
      <c r="H156" s="68" t="str">
        <f>IFERROR(IF(VLOOKUP(TableHandbook[[#This Row],[UDC]],TableAvailabilities[],3,FALSE)&gt;0,"Y",""),"")</f>
        <v/>
      </c>
      <c r="I156" s="69" t="str">
        <f>IFERROR(IF(VLOOKUP(TableHandbook[[#This Row],[UDC]],TableAvailabilities[],4,FALSE)&gt;0,"Y",""),"")</f>
        <v>Y</v>
      </c>
      <c r="J156" s="70" t="str">
        <f>IFERROR(IF(VLOOKUP(TableHandbook[[#This Row],[UDC]],TableAvailabilities[],5,FALSE)&gt;0,"Y",""),"")</f>
        <v>Y</v>
      </c>
      <c r="K156" s="163"/>
      <c r="L156" s="64" t="str">
        <f>IFERROR(VLOOKUP(TableHandbook[[#This Row],[UDC]],TableBARTS[],7,FALSE),"")</f>
        <v/>
      </c>
      <c r="M156" s="65" t="str">
        <f>IFERROR(VLOOKUP(TableHandbook[[#This Row],[UDC]],TableMJRUANTSO[],7,FALSE),"")</f>
        <v/>
      </c>
      <c r="N156" s="65" t="str">
        <f>IFERROR(VLOOKUP(TableHandbook[[#This Row],[UDC]],TableMJRUCHNSE[],7,FALSE),"")</f>
        <v/>
      </c>
      <c r="O156" s="65" t="str">
        <f>IFERROR(VLOOKUP(TableHandbook[[#This Row],[UDC]],TableMJRUCRWRI[],7,FALSE),"")</f>
        <v/>
      </c>
      <c r="P156" s="65" t="str">
        <f>IFERROR(VLOOKUP(TableHandbook[[#This Row],[UDC]],TableMJRUGEOGR[],7,FALSE),"")</f>
        <v/>
      </c>
      <c r="Q156" s="65" t="str">
        <f>IFERROR(VLOOKUP(TableHandbook[[#This Row],[UDC]],TableMJRUHISTR[],7,FALSE),"")</f>
        <v/>
      </c>
      <c r="R156" s="65" t="str">
        <f>IFERROR(VLOOKUP(TableHandbook[[#This Row],[UDC]],TableMJRUINAUC[],7,FALSE),"")</f>
        <v/>
      </c>
      <c r="S156" s="65" t="str">
        <f>IFERROR(VLOOKUP(TableHandbook[[#This Row],[UDC]],TableMJRUINTRL[],7,FALSE),"")</f>
        <v/>
      </c>
      <c r="T156" s="65" t="str">
        <f>IFERROR(VLOOKUP(TableHandbook[[#This Row],[UDC]],TableMJRUJAPAN[],7,FALSE),"")</f>
        <v/>
      </c>
      <c r="U156" s="65" t="str">
        <f>IFERROR(VLOOKUP(TableHandbook[[#This Row],[UDC]],TableMJRUJOURN[],7,FALSE),"")</f>
        <v/>
      </c>
      <c r="V156" s="65" t="str">
        <f>IFERROR(VLOOKUP(TableHandbook[[#This Row],[UDC]],TableMJRUKORES[],7,FALSE),"")</f>
        <v/>
      </c>
      <c r="W156" s="65" t="str">
        <f>IFERROR(VLOOKUP(TableHandbook[[#This Row],[UDC]],TableMJRULITCU[],7,FALSE),"")</f>
        <v>Core</v>
      </c>
      <c r="X156" s="65" t="str">
        <f>IFERROR(VLOOKUP(TableHandbook[[#This Row],[UDC]],TableMJRUNETCM[],7,FALSE),"")</f>
        <v/>
      </c>
      <c r="Y156" s="65" t="str">
        <f>IFERROR(VLOOKUP(TableHandbook[[#This Row],[UDC]],TableMJRUPRWRP[],7,FALSE),"")</f>
        <v/>
      </c>
      <c r="Z156" s="66" t="str">
        <f>IFERROR(VLOOKUP(TableHandbook[[#This Row],[UDC]],TableMJRUSCSTR[],7,FALSE),"")</f>
        <v/>
      </c>
      <c r="AA156" s="74"/>
      <c r="AB156" s="66" t="str">
        <f>IFERROR(VLOOKUP(TableHandbook[[#This Row],[UDC]],TableMJRUBSLAW[],7,FALSE),"")</f>
        <v/>
      </c>
      <c r="AC156" s="66" t="str">
        <f>IFERROR(VLOOKUP(TableHandbook[[#This Row],[UDC]],TableMJRUECONS[],7,FALSE),"")</f>
        <v/>
      </c>
      <c r="AD156" s="66" t="str">
        <f>IFERROR(VLOOKUP(TableHandbook[[#This Row],[UDC]],TableMJRUFINAR[],7,FALSE),"")</f>
        <v/>
      </c>
      <c r="AE156" s="66" t="str">
        <f>IFERROR(VLOOKUP(TableHandbook[[#This Row],[UDC]],TableMJRUFINCE[],7,FALSE),"")</f>
        <v/>
      </c>
      <c r="AF156" s="66" t="str">
        <f>IFERROR(VLOOKUP(TableHandbook[[#This Row],[UDC]],TableMJRUHRMGM[],7,FALSE),"")</f>
        <v/>
      </c>
      <c r="AG156" s="66" t="str">
        <f>IFERROR(VLOOKUP(TableHandbook[[#This Row],[UDC]],TableMJRUINTBU[],7,FALSE),"")</f>
        <v/>
      </c>
      <c r="AH156" s="66" t="str">
        <f>IFERROR(VLOOKUP(TableHandbook[[#This Row],[UDC]],TableMJRULGSCM[],7,FALSE),"")</f>
        <v/>
      </c>
      <c r="AI156" s="66" t="str">
        <f>IFERROR(VLOOKUP(TableHandbook[[#This Row],[UDC]],TableMJRUMNGMT[],7,FALSE),"")</f>
        <v/>
      </c>
      <c r="AJ156" s="66" t="str">
        <f>IFERROR(VLOOKUP(TableHandbook[[#This Row],[UDC]],TableMJRUMRKTG[],7,FALSE),"")</f>
        <v/>
      </c>
      <c r="AK156" s="66" t="str">
        <f>IFERROR(VLOOKUP(TableHandbook[[#This Row],[UDC]],TableMJRUPRPTY[],7,FALSE),"")</f>
        <v/>
      </c>
      <c r="AL156" s="66" t="str">
        <f>IFERROR(VLOOKUP(TableHandbook[[#This Row],[UDC]],TableMJRUSCRAR[],7,FALSE),"")</f>
        <v/>
      </c>
      <c r="AM156" s="66" t="str">
        <f>IFERROR(VLOOKUP(TableHandbook[[#This Row],[UDC]],TableMJRUTHTRA[],7,FALSE),"")</f>
        <v/>
      </c>
      <c r="AN156" s="66" t="str">
        <f>IFERROR(VLOOKUP(TableHandbook[[#This Row],[UDC]],TableMJRUTRHOS[],7,FALSE),"")</f>
        <v/>
      </c>
    </row>
    <row r="157" spans="1:40" x14ac:dyDescent="0.25">
      <c r="A157" s="8" t="s">
        <v>689</v>
      </c>
      <c r="B157" s="9">
        <v>0</v>
      </c>
      <c r="C157" s="8"/>
      <c r="D157" s="8" t="s">
        <v>690</v>
      </c>
      <c r="E157" s="9">
        <v>200</v>
      </c>
      <c r="F157" s="49" t="s">
        <v>277</v>
      </c>
      <c r="G157" s="67" t="str">
        <f>IFERROR(IF(VLOOKUP(TableHandbook[[#This Row],[UDC]],TableAvailabilities[],2,FALSE)&gt;0,"Y",""),"")</f>
        <v/>
      </c>
      <c r="H157" s="68" t="str">
        <f>IFERROR(IF(VLOOKUP(TableHandbook[[#This Row],[UDC]],TableAvailabilities[],3,FALSE)&gt;0,"Y",""),"")</f>
        <v/>
      </c>
      <c r="I157" s="69" t="str">
        <f>IFERROR(IF(VLOOKUP(TableHandbook[[#This Row],[UDC]],TableAvailabilities[],4,FALSE)&gt;0,"Y",""),"")</f>
        <v/>
      </c>
      <c r="J157" s="70" t="str">
        <f>IFERROR(IF(VLOOKUP(TableHandbook[[#This Row],[UDC]],TableAvailabilities[],5,FALSE)&gt;0,"Y",""),"")</f>
        <v/>
      </c>
      <c r="K157" s="163"/>
      <c r="L157" s="64" t="str">
        <f>IFERROR(VLOOKUP(TableHandbook[[#This Row],[UDC]],TableBARTS[],7,FALSE),"")</f>
        <v>Core</v>
      </c>
      <c r="M157" s="65" t="str">
        <f>IFERROR(VLOOKUP(TableHandbook[[#This Row],[UDC]],TableMJRUANTSO[],7,FALSE),"")</f>
        <v/>
      </c>
      <c r="N157" s="65" t="str">
        <f>IFERROR(VLOOKUP(TableHandbook[[#This Row],[UDC]],TableMJRUCHNSE[],7,FALSE),"")</f>
        <v/>
      </c>
      <c r="O157" s="65" t="str">
        <f>IFERROR(VLOOKUP(TableHandbook[[#This Row],[UDC]],TableMJRUCRWRI[],7,FALSE),"")</f>
        <v/>
      </c>
      <c r="P157" s="65" t="str">
        <f>IFERROR(VLOOKUP(TableHandbook[[#This Row],[UDC]],TableMJRUGEOGR[],7,FALSE),"")</f>
        <v/>
      </c>
      <c r="Q157" s="65" t="str">
        <f>IFERROR(VLOOKUP(TableHandbook[[#This Row],[UDC]],TableMJRUHISTR[],7,FALSE),"")</f>
        <v/>
      </c>
      <c r="R157" s="65" t="str">
        <f>IFERROR(VLOOKUP(TableHandbook[[#This Row],[UDC]],TableMJRUINAUC[],7,FALSE),"")</f>
        <v/>
      </c>
      <c r="S157" s="65" t="str">
        <f>IFERROR(VLOOKUP(TableHandbook[[#This Row],[UDC]],TableMJRUINTRL[],7,FALSE),"")</f>
        <v/>
      </c>
      <c r="T157" s="65" t="str">
        <f>IFERROR(VLOOKUP(TableHandbook[[#This Row],[UDC]],TableMJRUJAPAN[],7,FALSE),"")</f>
        <v/>
      </c>
      <c r="U157" s="65" t="str">
        <f>IFERROR(VLOOKUP(TableHandbook[[#This Row],[UDC]],TableMJRUJOURN[],7,FALSE),"")</f>
        <v/>
      </c>
      <c r="V157" s="65" t="str">
        <f>IFERROR(VLOOKUP(TableHandbook[[#This Row],[UDC]],TableMJRUKORES[],7,FALSE),"")</f>
        <v/>
      </c>
      <c r="W157" s="65" t="str">
        <f>IFERROR(VLOOKUP(TableHandbook[[#This Row],[UDC]],TableMJRULITCU[],7,FALSE),"")</f>
        <v/>
      </c>
      <c r="X157" s="65" t="str">
        <f>IFERROR(VLOOKUP(TableHandbook[[#This Row],[UDC]],TableMJRUNETCM[],7,FALSE),"")</f>
        <v/>
      </c>
      <c r="Y157" s="65" t="str">
        <f>IFERROR(VLOOKUP(TableHandbook[[#This Row],[UDC]],TableMJRUPRWRP[],7,FALSE),"")</f>
        <v/>
      </c>
      <c r="Z157" s="66" t="str">
        <f>IFERROR(VLOOKUP(TableHandbook[[#This Row],[UDC]],TableMJRUSCSTR[],7,FALSE),"")</f>
        <v/>
      </c>
      <c r="AA157" s="74"/>
      <c r="AB157" s="66" t="str">
        <f>IFERROR(VLOOKUP(TableHandbook[[#This Row],[UDC]],TableMJRUBSLAW[],7,FALSE),"")</f>
        <v/>
      </c>
      <c r="AC157" s="66" t="str">
        <f>IFERROR(VLOOKUP(TableHandbook[[#This Row],[UDC]],TableMJRUECONS[],7,FALSE),"")</f>
        <v/>
      </c>
      <c r="AD157" s="66" t="str">
        <f>IFERROR(VLOOKUP(TableHandbook[[#This Row],[UDC]],TableMJRUFINAR[],7,FALSE),"")</f>
        <v/>
      </c>
      <c r="AE157" s="66" t="str">
        <f>IFERROR(VLOOKUP(TableHandbook[[#This Row],[UDC]],TableMJRUFINCE[],7,FALSE),"")</f>
        <v/>
      </c>
      <c r="AF157" s="66" t="str">
        <f>IFERROR(VLOOKUP(TableHandbook[[#This Row],[UDC]],TableMJRUHRMGM[],7,FALSE),"")</f>
        <v/>
      </c>
      <c r="AG157" s="66" t="str">
        <f>IFERROR(VLOOKUP(TableHandbook[[#This Row],[UDC]],TableMJRUINTBU[],7,FALSE),"")</f>
        <v/>
      </c>
      <c r="AH157" s="66" t="str">
        <f>IFERROR(VLOOKUP(TableHandbook[[#This Row],[UDC]],TableMJRULGSCM[],7,FALSE),"")</f>
        <v/>
      </c>
      <c r="AI157" s="66" t="str">
        <f>IFERROR(VLOOKUP(TableHandbook[[#This Row],[UDC]],TableMJRUMNGMT[],7,FALSE),"")</f>
        <v/>
      </c>
      <c r="AJ157" s="66" t="str">
        <f>IFERROR(VLOOKUP(TableHandbook[[#This Row],[UDC]],TableMJRUMRKTG[],7,FALSE),"")</f>
        <v/>
      </c>
      <c r="AK157" s="66" t="str">
        <f>IFERROR(VLOOKUP(TableHandbook[[#This Row],[UDC]],TableMJRUPRPTY[],7,FALSE),"")</f>
        <v/>
      </c>
      <c r="AL157" s="66" t="str">
        <f>IFERROR(VLOOKUP(TableHandbook[[#This Row],[UDC]],TableMJRUSCRAR[],7,FALSE),"")</f>
        <v/>
      </c>
      <c r="AM157" s="66" t="str">
        <f>IFERROR(VLOOKUP(TableHandbook[[#This Row],[UDC]],TableMJRUTHTRA[],7,FALSE),"")</f>
        <v/>
      </c>
      <c r="AN157" s="66" t="str">
        <f>IFERROR(VLOOKUP(TableHandbook[[#This Row],[UDC]],TableMJRUTRHOS[],7,FALSE),"")</f>
        <v/>
      </c>
    </row>
    <row r="158" spans="1:40" x14ac:dyDescent="0.25">
      <c r="A158" s="8" t="s">
        <v>691</v>
      </c>
      <c r="B158" s="9">
        <v>0</v>
      </c>
      <c r="C158" s="8"/>
      <c r="D158" s="8" t="s">
        <v>692</v>
      </c>
      <c r="E158" s="9">
        <v>200</v>
      </c>
      <c r="F158" s="49" t="s">
        <v>277</v>
      </c>
      <c r="G158" s="67" t="str">
        <f>IFERROR(IF(VLOOKUP(TableHandbook[[#This Row],[UDC]],TableAvailabilities[],2,FALSE)&gt;0,"Y",""),"")</f>
        <v/>
      </c>
      <c r="H158" s="68" t="str">
        <f>IFERROR(IF(VLOOKUP(TableHandbook[[#This Row],[UDC]],TableAvailabilities[],3,FALSE)&gt;0,"Y",""),"")</f>
        <v/>
      </c>
      <c r="I158" s="69" t="str">
        <f>IFERROR(IF(VLOOKUP(TableHandbook[[#This Row],[UDC]],TableAvailabilities[],4,FALSE)&gt;0,"Y",""),"")</f>
        <v/>
      </c>
      <c r="J158" s="70" t="str">
        <f>IFERROR(IF(VLOOKUP(TableHandbook[[#This Row],[UDC]],TableAvailabilities[],5,FALSE)&gt;0,"Y",""),"")</f>
        <v/>
      </c>
      <c r="K158" s="163"/>
      <c r="L158" s="64" t="str">
        <f>IFERROR(VLOOKUP(TableHandbook[[#This Row],[UDC]],TableBARTS[],7,FALSE),"")</f>
        <v>Option</v>
      </c>
      <c r="M158" s="65" t="str">
        <f>IFERROR(VLOOKUP(TableHandbook[[#This Row],[UDC]],TableMJRUANTSO[],7,FALSE),"")</f>
        <v/>
      </c>
      <c r="N158" s="65" t="str">
        <f>IFERROR(VLOOKUP(TableHandbook[[#This Row],[UDC]],TableMJRUCHNSE[],7,FALSE),"")</f>
        <v/>
      </c>
      <c r="O158" s="65" t="str">
        <f>IFERROR(VLOOKUP(TableHandbook[[#This Row],[UDC]],TableMJRUCRWRI[],7,FALSE),"")</f>
        <v/>
      </c>
      <c r="P158" s="65" t="str">
        <f>IFERROR(VLOOKUP(TableHandbook[[#This Row],[UDC]],TableMJRUGEOGR[],7,FALSE),"")</f>
        <v/>
      </c>
      <c r="Q158" s="65" t="str">
        <f>IFERROR(VLOOKUP(TableHandbook[[#This Row],[UDC]],TableMJRUHISTR[],7,FALSE),"")</f>
        <v/>
      </c>
      <c r="R158" s="65" t="str">
        <f>IFERROR(VLOOKUP(TableHandbook[[#This Row],[UDC]],TableMJRUINAUC[],7,FALSE),"")</f>
        <v/>
      </c>
      <c r="S158" s="65" t="str">
        <f>IFERROR(VLOOKUP(TableHandbook[[#This Row],[UDC]],TableMJRUINTRL[],7,FALSE),"")</f>
        <v/>
      </c>
      <c r="T158" s="65" t="str">
        <f>IFERROR(VLOOKUP(TableHandbook[[#This Row],[UDC]],TableMJRUJAPAN[],7,FALSE),"")</f>
        <v/>
      </c>
      <c r="U158" s="65" t="str">
        <f>IFERROR(VLOOKUP(TableHandbook[[#This Row],[UDC]],TableMJRUJOURN[],7,FALSE),"")</f>
        <v/>
      </c>
      <c r="V158" s="65" t="str">
        <f>IFERROR(VLOOKUP(TableHandbook[[#This Row],[UDC]],TableMJRUKORES[],7,FALSE),"")</f>
        <v/>
      </c>
      <c r="W158" s="65" t="str">
        <f>IFERROR(VLOOKUP(TableHandbook[[#This Row],[UDC]],TableMJRULITCU[],7,FALSE),"")</f>
        <v/>
      </c>
      <c r="X158" s="65" t="str">
        <f>IFERROR(VLOOKUP(TableHandbook[[#This Row],[UDC]],TableMJRUNETCM[],7,FALSE),"")</f>
        <v/>
      </c>
      <c r="Y158" s="65" t="str">
        <f>IFERROR(VLOOKUP(TableHandbook[[#This Row],[UDC]],TableMJRUPRWRP[],7,FALSE),"")</f>
        <v/>
      </c>
      <c r="Z158" s="66" t="str">
        <f>IFERROR(VLOOKUP(TableHandbook[[#This Row],[UDC]],TableMJRUSCSTR[],7,FALSE),"")</f>
        <v/>
      </c>
      <c r="AA158" s="74"/>
      <c r="AB158" s="66" t="str">
        <f>IFERROR(VLOOKUP(TableHandbook[[#This Row],[UDC]],TableMJRUBSLAW[],7,FALSE),"")</f>
        <v/>
      </c>
      <c r="AC158" s="66" t="str">
        <f>IFERROR(VLOOKUP(TableHandbook[[#This Row],[UDC]],TableMJRUECONS[],7,FALSE),"")</f>
        <v/>
      </c>
      <c r="AD158" s="66" t="str">
        <f>IFERROR(VLOOKUP(TableHandbook[[#This Row],[UDC]],TableMJRUFINAR[],7,FALSE),"")</f>
        <v/>
      </c>
      <c r="AE158" s="66" t="str">
        <f>IFERROR(VLOOKUP(TableHandbook[[#This Row],[UDC]],TableMJRUFINCE[],7,FALSE),"")</f>
        <v/>
      </c>
      <c r="AF158" s="66" t="str">
        <f>IFERROR(VLOOKUP(TableHandbook[[#This Row],[UDC]],TableMJRUHRMGM[],7,FALSE),"")</f>
        <v/>
      </c>
      <c r="AG158" s="66" t="str">
        <f>IFERROR(VLOOKUP(TableHandbook[[#This Row],[UDC]],TableMJRUINTBU[],7,FALSE),"")</f>
        <v/>
      </c>
      <c r="AH158" s="66" t="str">
        <f>IFERROR(VLOOKUP(TableHandbook[[#This Row],[UDC]],TableMJRULGSCM[],7,FALSE),"")</f>
        <v/>
      </c>
      <c r="AI158" s="66" t="str">
        <f>IFERROR(VLOOKUP(TableHandbook[[#This Row],[UDC]],TableMJRUMNGMT[],7,FALSE),"")</f>
        <v/>
      </c>
      <c r="AJ158" s="66" t="str">
        <f>IFERROR(VLOOKUP(TableHandbook[[#This Row],[UDC]],TableMJRUMRKTG[],7,FALSE),"")</f>
        <v/>
      </c>
      <c r="AK158" s="66" t="str">
        <f>IFERROR(VLOOKUP(TableHandbook[[#This Row],[UDC]],TableMJRUPRPTY[],7,FALSE),"")</f>
        <v/>
      </c>
      <c r="AL158" s="66" t="str">
        <f>IFERROR(VLOOKUP(TableHandbook[[#This Row],[UDC]],TableMJRUSCRAR[],7,FALSE),"")</f>
        <v/>
      </c>
      <c r="AM158" s="66" t="str">
        <f>IFERROR(VLOOKUP(TableHandbook[[#This Row],[UDC]],TableMJRUTHTRA[],7,FALSE),"")</f>
        <v/>
      </c>
      <c r="AN158" s="66" t="str">
        <f>IFERROR(VLOOKUP(TableHandbook[[#This Row],[UDC]],TableMJRUTRHOS[],7,FALSE),"")</f>
        <v/>
      </c>
    </row>
    <row r="159" spans="1:40" x14ac:dyDescent="0.25">
      <c r="A159" s="6" t="s">
        <v>386</v>
      </c>
      <c r="B159" s="107">
        <v>1</v>
      </c>
      <c r="C159" s="6"/>
      <c r="D159" s="6" t="s">
        <v>693</v>
      </c>
      <c r="E159" s="9">
        <v>25</v>
      </c>
      <c r="F159" s="49" t="s">
        <v>526</v>
      </c>
      <c r="G159" s="67" t="str">
        <f>IFERROR(IF(VLOOKUP(TableHandbook[[#This Row],[UDC]],TableAvailabilities[],2,FALSE)&gt;0,"Y",""),"")</f>
        <v>Y</v>
      </c>
      <c r="H159" s="68" t="str">
        <f>IFERROR(IF(VLOOKUP(TableHandbook[[#This Row],[UDC]],TableAvailabilities[],3,FALSE)&gt;0,"Y",""),"")</f>
        <v>Y</v>
      </c>
      <c r="I159" s="69" t="str">
        <f>IFERROR(IF(VLOOKUP(TableHandbook[[#This Row],[UDC]],TableAvailabilities[],4,FALSE)&gt;0,"Y",""),"")</f>
        <v>Y</v>
      </c>
      <c r="J159" s="70" t="str">
        <f>IFERROR(IF(VLOOKUP(TableHandbook[[#This Row],[UDC]],TableAvailabilities[],5,FALSE)&gt;0,"Y",""),"")</f>
        <v>Y</v>
      </c>
      <c r="K159" s="166"/>
      <c r="L159" s="64" t="str">
        <f>IFERROR(VLOOKUP(TableHandbook[[#This Row],[UDC]],TableBARTS[],7,FALSE),"")</f>
        <v/>
      </c>
      <c r="M159" s="65" t="str">
        <f>IFERROR(VLOOKUP(TableHandbook[[#This Row],[UDC]],TableMJRUANTSO[],7,FALSE),"")</f>
        <v/>
      </c>
      <c r="N159" s="65" t="str">
        <f>IFERROR(VLOOKUP(TableHandbook[[#This Row],[UDC]],TableMJRUCHNSE[],7,FALSE),"")</f>
        <v/>
      </c>
      <c r="O159" s="65" t="str">
        <f>IFERROR(VLOOKUP(TableHandbook[[#This Row],[UDC]],TableMJRUCRWRI[],7,FALSE),"")</f>
        <v/>
      </c>
      <c r="P159" s="65" t="str">
        <f>IFERROR(VLOOKUP(TableHandbook[[#This Row],[UDC]],TableMJRUGEOGR[],7,FALSE),"")</f>
        <v/>
      </c>
      <c r="Q159" s="65" t="str">
        <f>IFERROR(VLOOKUP(TableHandbook[[#This Row],[UDC]],TableMJRUHISTR[],7,FALSE),"")</f>
        <v/>
      </c>
      <c r="R159" s="65" t="str">
        <f>IFERROR(VLOOKUP(TableHandbook[[#This Row],[UDC]],TableMJRUINAUC[],7,FALSE),"")</f>
        <v/>
      </c>
      <c r="S159" s="65" t="str">
        <f>IFERROR(VLOOKUP(TableHandbook[[#This Row],[UDC]],TableMJRUINTRL[],7,FALSE),"")</f>
        <v/>
      </c>
      <c r="T159" s="65" t="str">
        <f>IFERROR(VLOOKUP(TableHandbook[[#This Row],[UDC]],TableMJRUJAPAN[],7,FALSE),"")</f>
        <v/>
      </c>
      <c r="U159" s="65" t="str">
        <f>IFERROR(VLOOKUP(TableHandbook[[#This Row],[UDC]],TableMJRUJOURN[],7,FALSE),"")</f>
        <v/>
      </c>
      <c r="V159" s="65" t="str">
        <f>IFERROR(VLOOKUP(TableHandbook[[#This Row],[UDC]],TableMJRUKORES[],7,FALSE),"")</f>
        <v/>
      </c>
      <c r="W159" s="65" t="str">
        <f>IFERROR(VLOOKUP(TableHandbook[[#This Row],[UDC]],TableMJRULITCU[],7,FALSE),"")</f>
        <v/>
      </c>
      <c r="X159" s="65" t="str">
        <f>IFERROR(VLOOKUP(TableHandbook[[#This Row],[UDC]],TableMJRUNETCM[],7,FALSE),"")</f>
        <v/>
      </c>
      <c r="Y159" s="65" t="str">
        <f>IFERROR(VLOOKUP(TableHandbook[[#This Row],[UDC]],TableMJRUPRWRP[],7,FALSE),"")</f>
        <v/>
      </c>
      <c r="Z159" s="66" t="str">
        <f>IFERROR(VLOOKUP(TableHandbook[[#This Row],[UDC]],TableMJRUSCSTR[],7,FALSE),"")</f>
        <v/>
      </c>
      <c r="AA159" s="74"/>
      <c r="AB159" s="66" t="str">
        <f>IFERROR(VLOOKUP(TableHandbook[[#This Row],[UDC]],TableMJRUBSLAW[],7,FALSE),"")</f>
        <v/>
      </c>
      <c r="AC159" s="66" t="str">
        <f>IFERROR(VLOOKUP(TableHandbook[[#This Row],[UDC]],TableMJRUECONS[],7,FALSE),"")</f>
        <v/>
      </c>
      <c r="AD159" s="66" t="str">
        <f>IFERROR(VLOOKUP(TableHandbook[[#This Row],[UDC]],TableMJRUFINAR[],7,FALSE),"")</f>
        <v/>
      </c>
      <c r="AE159" s="66" t="str">
        <f>IFERROR(VLOOKUP(TableHandbook[[#This Row],[UDC]],TableMJRUFINCE[],7,FALSE),"")</f>
        <v/>
      </c>
      <c r="AF159" s="66" t="str">
        <f>IFERROR(VLOOKUP(TableHandbook[[#This Row],[UDC]],TableMJRUHRMGM[],7,FALSE),"")</f>
        <v>AltCore</v>
      </c>
      <c r="AG159" s="66" t="str">
        <f>IFERROR(VLOOKUP(TableHandbook[[#This Row],[UDC]],TableMJRUINTBU[],7,FALSE),"")</f>
        <v>Core</v>
      </c>
      <c r="AH159" s="66" t="str">
        <f>IFERROR(VLOOKUP(TableHandbook[[#This Row],[UDC]],TableMJRULGSCM[],7,FALSE),"")</f>
        <v/>
      </c>
      <c r="AI159" s="66" t="str">
        <f>IFERROR(VLOOKUP(TableHandbook[[#This Row],[UDC]],TableMJRUMNGMT[],7,FALSE),"")</f>
        <v>Core</v>
      </c>
      <c r="AJ159" s="66" t="str">
        <f>IFERROR(VLOOKUP(TableHandbook[[#This Row],[UDC]],TableMJRUMRKTG[],7,FALSE),"")</f>
        <v/>
      </c>
      <c r="AK159" s="66" t="str">
        <f>IFERROR(VLOOKUP(TableHandbook[[#This Row],[UDC]],TableMJRUPRPTY[],7,FALSE),"")</f>
        <v/>
      </c>
      <c r="AL159" s="66" t="str">
        <f>IFERROR(VLOOKUP(TableHandbook[[#This Row],[UDC]],TableMJRUSCRAR[],7,FALSE),"")</f>
        <v/>
      </c>
      <c r="AM159" s="66" t="str">
        <f>IFERROR(VLOOKUP(TableHandbook[[#This Row],[UDC]],TableMJRUTHTRA[],7,FALSE),"")</f>
        <v/>
      </c>
      <c r="AN159" s="66" t="str">
        <f>IFERROR(VLOOKUP(TableHandbook[[#This Row],[UDC]],TableMJRUTRHOS[],7,FALSE),"")</f>
        <v/>
      </c>
    </row>
    <row r="160" spans="1:40" x14ac:dyDescent="0.25">
      <c r="A160" s="6" t="s">
        <v>694</v>
      </c>
      <c r="B160" s="107">
        <v>1</v>
      </c>
      <c r="C160" s="6"/>
      <c r="D160" s="6" t="s">
        <v>695</v>
      </c>
      <c r="E160" s="9">
        <v>25</v>
      </c>
      <c r="F160" s="49" t="s">
        <v>383</v>
      </c>
      <c r="G160" s="67" t="str">
        <f>IFERROR(IF(VLOOKUP(TableHandbook[[#This Row],[UDC]],TableAvailabilities[],2,FALSE)&gt;0,"Y",""),"")</f>
        <v/>
      </c>
      <c r="H160" s="68" t="str">
        <f>IFERROR(IF(VLOOKUP(TableHandbook[[#This Row],[UDC]],TableAvailabilities[],3,FALSE)&gt;0,"Y",""),"")</f>
        <v/>
      </c>
      <c r="I160" s="69" t="str">
        <f>IFERROR(IF(VLOOKUP(TableHandbook[[#This Row],[UDC]],TableAvailabilities[],4,FALSE)&gt;0,"Y",""),"")</f>
        <v/>
      </c>
      <c r="J160" s="70" t="str">
        <f>IFERROR(IF(VLOOKUP(TableHandbook[[#This Row],[UDC]],TableAvailabilities[],5,FALSE)&gt;0,"Y",""),"")</f>
        <v/>
      </c>
      <c r="K160" s="175" t="s">
        <v>696</v>
      </c>
      <c r="L160" s="64" t="str">
        <f>IFERROR(VLOOKUP(TableHandbook[[#This Row],[UDC]],TableBARTS[],7,FALSE),"")</f>
        <v/>
      </c>
      <c r="M160" s="65" t="str">
        <f>IFERROR(VLOOKUP(TableHandbook[[#This Row],[UDC]],TableMJRUANTSO[],7,FALSE),"")</f>
        <v/>
      </c>
      <c r="N160" s="65" t="str">
        <f>IFERROR(VLOOKUP(TableHandbook[[#This Row],[UDC]],TableMJRUCHNSE[],7,FALSE),"")</f>
        <v/>
      </c>
      <c r="O160" s="65" t="str">
        <f>IFERROR(VLOOKUP(TableHandbook[[#This Row],[UDC]],TableMJRUCRWRI[],7,FALSE),"")</f>
        <v/>
      </c>
      <c r="P160" s="65" t="str">
        <f>IFERROR(VLOOKUP(TableHandbook[[#This Row],[UDC]],TableMJRUGEOGR[],7,FALSE),"")</f>
        <v/>
      </c>
      <c r="Q160" s="65" t="str">
        <f>IFERROR(VLOOKUP(TableHandbook[[#This Row],[UDC]],TableMJRUHISTR[],7,FALSE),"")</f>
        <v/>
      </c>
      <c r="R160" s="65" t="str">
        <f>IFERROR(VLOOKUP(TableHandbook[[#This Row],[UDC]],TableMJRUINAUC[],7,FALSE),"")</f>
        <v/>
      </c>
      <c r="S160" s="65" t="str">
        <f>IFERROR(VLOOKUP(TableHandbook[[#This Row],[UDC]],TableMJRUINTRL[],7,FALSE),"")</f>
        <v/>
      </c>
      <c r="T160" s="65" t="str">
        <f>IFERROR(VLOOKUP(TableHandbook[[#This Row],[UDC]],TableMJRUJAPAN[],7,FALSE),"")</f>
        <v/>
      </c>
      <c r="U160" s="65" t="str">
        <f>IFERROR(VLOOKUP(TableHandbook[[#This Row],[UDC]],TableMJRUJOURN[],7,FALSE),"")</f>
        <v/>
      </c>
      <c r="V160" s="65" t="str">
        <f>IFERROR(VLOOKUP(TableHandbook[[#This Row],[UDC]],TableMJRUKORES[],7,FALSE),"")</f>
        <v/>
      </c>
      <c r="W160" s="65" t="str">
        <f>IFERROR(VLOOKUP(TableHandbook[[#This Row],[UDC]],TableMJRULITCU[],7,FALSE),"")</f>
        <v/>
      </c>
      <c r="X160" s="65" t="str">
        <f>IFERROR(VLOOKUP(TableHandbook[[#This Row],[UDC]],TableMJRUNETCM[],7,FALSE),"")</f>
        <v/>
      </c>
      <c r="Y160" s="65" t="str">
        <f>IFERROR(VLOOKUP(TableHandbook[[#This Row],[UDC]],TableMJRUPRWRP[],7,FALSE),"")</f>
        <v/>
      </c>
      <c r="Z160" s="66" t="str">
        <f>IFERROR(VLOOKUP(TableHandbook[[#This Row],[UDC]],TableMJRUSCSTR[],7,FALSE),"")</f>
        <v/>
      </c>
      <c r="AA160" s="74"/>
      <c r="AB160" s="66" t="str">
        <f>IFERROR(VLOOKUP(TableHandbook[[#This Row],[UDC]],TableMJRUBSLAW[],7,FALSE),"")</f>
        <v/>
      </c>
      <c r="AC160" s="66" t="str">
        <f>IFERROR(VLOOKUP(TableHandbook[[#This Row],[UDC]],TableMJRUECONS[],7,FALSE),"")</f>
        <v/>
      </c>
      <c r="AD160" s="66" t="str">
        <f>IFERROR(VLOOKUP(TableHandbook[[#This Row],[UDC]],TableMJRUFINAR[],7,FALSE),"")</f>
        <v/>
      </c>
      <c r="AE160" s="66" t="str">
        <f>IFERROR(VLOOKUP(TableHandbook[[#This Row],[UDC]],TableMJRUFINCE[],7,FALSE),"")</f>
        <v/>
      </c>
      <c r="AF160" s="66" t="str">
        <f>IFERROR(VLOOKUP(TableHandbook[[#This Row],[UDC]],TableMJRUHRMGM[],7,FALSE),"")</f>
        <v>AltCore</v>
      </c>
      <c r="AG160" s="66" t="str">
        <f>IFERROR(VLOOKUP(TableHandbook[[#This Row],[UDC]],TableMJRUINTBU[],7,FALSE),"")</f>
        <v/>
      </c>
      <c r="AH160" s="66" t="str">
        <f>IFERROR(VLOOKUP(TableHandbook[[#This Row],[UDC]],TableMJRULGSCM[],7,FALSE),"")</f>
        <v/>
      </c>
      <c r="AI160" s="66" t="str">
        <f>IFERROR(VLOOKUP(TableHandbook[[#This Row],[UDC]],TableMJRUMNGMT[],7,FALSE),"")</f>
        <v/>
      </c>
      <c r="AJ160" s="66" t="str">
        <f>IFERROR(VLOOKUP(TableHandbook[[#This Row],[UDC]],TableMJRUMRKTG[],7,FALSE),"")</f>
        <v/>
      </c>
      <c r="AK160" s="66" t="str">
        <f>IFERROR(VLOOKUP(TableHandbook[[#This Row],[UDC]],TableMJRUPRPTY[],7,FALSE),"")</f>
        <v/>
      </c>
      <c r="AL160" s="66" t="str">
        <f>IFERROR(VLOOKUP(TableHandbook[[#This Row],[UDC]],TableMJRUSCRAR[],7,FALSE),"")</f>
        <v/>
      </c>
      <c r="AM160" s="66" t="str">
        <f>IFERROR(VLOOKUP(TableHandbook[[#This Row],[UDC]],TableMJRUTHTRA[],7,FALSE),"")</f>
        <v/>
      </c>
      <c r="AN160" s="66" t="str">
        <f>IFERROR(VLOOKUP(TableHandbook[[#This Row],[UDC]],TableMJRUTRHOS[],7,FALSE),"")</f>
        <v/>
      </c>
    </row>
    <row r="161" spans="1:40" x14ac:dyDescent="0.25">
      <c r="A161" s="8" t="s">
        <v>401</v>
      </c>
      <c r="B161" s="9">
        <v>2</v>
      </c>
      <c r="C161" s="8"/>
      <c r="D161" s="8" t="s">
        <v>697</v>
      </c>
      <c r="E161" s="9">
        <v>25</v>
      </c>
      <c r="F161" s="49" t="s">
        <v>543</v>
      </c>
      <c r="G161" s="67" t="str">
        <f>IFERROR(IF(VLOOKUP(TableHandbook[[#This Row],[UDC]],TableAvailabilities[],2,FALSE)&gt;0,"Y",""),"")</f>
        <v>Y</v>
      </c>
      <c r="H161" s="68" t="str">
        <f>IFERROR(IF(VLOOKUP(TableHandbook[[#This Row],[UDC]],TableAvailabilities[],3,FALSE)&gt;0,"Y",""),"")</f>
        <v>Y</v>
      </c>
      <c r="I161" s="69" t="str">
        <f>IFERROR(IF(VLOOKUP(TableHandbook[[#This Row],[UDC]],TableAvailabilities[],4,FALSE)&gt;0,"Y",""),"")</f>
        <v>Y</v>
      </c>
      <c r="J161" s="70" t="str">
        <f>IFERROR(IF(VLOOKUP(TableHandbook[[#This Row],[UDC]],TableAvailabilities[],5,FALSE)&gt;0,"Y",""),"")</f>
        <v/>
      </c>
      <c r="K161" s="163"/>
      <c r="L161" s="64" t="str">
        <f>IFERROR(VLOOKUP(TableHandbook[[#This Row],[UDC]],TableBARTS[],7,FALSE),"")</f>
        <v/>
      </c>
      <c r="M161" s="65" t="str">
        <f>IFERROR(VLOOKUP(TableHandbook[[#This Row],[UDC]],TableMJRUANTSO[],7,FALSE),"")</f>
        <v/>
      </c>
      <c r="N161" s="65" t="str">
        <f>IFERROR(VLOOKUP(TableHandbook[[#This Row],[UDC]],TableMJRUCHNSE[],7,FALSE),"")</f>
        <v/>
      </c>
      <c r="O161" s="65" t="str">
        <f>IFERROR(VLOOKUP(TableHandbook[[#This Row],[UDC]],TableMJRUCRWRI[],7,FALSE),"")</f>
        <v/>
      </c>
      <c r="P161" s="65" t="str">
        <f>IFERROR(VLOOKUP(TableHandbook[[#This Row],[UDC]],TableMJRUGEOGR[],7,FALSE),"")</f>
        <v/>
      </c>
      <c r="Q161" s="65" t="str">
        <f>IFERROR(VLOOKUP(TableHandbook[[#This Row],[UDC]],TableMJRUHISTR[],7,FALSE),"")</f>
        <v/>
      </c>
      <c r="R161" s="65" t="str">
        <f>IFERROR(VLOOKUP(TableHandbook[[#This Row],[UDC]],TableMJRUINAUC[],7,FALSE),"")</f>
        <v/>
      </c>
      <c r="S161" s="65" t="str">
        <f>IFERROR(VLOOKUP(TableHandbook[[#This Row],[UDC]],TableMJRUINTRL[],7,FALSE),"")</f>
        <v/>
      </c>
      <c r="T161" s="65" t="str">
        <f>IFERROR(VLOOKUP(TableHandbook[[#This Row],[UDC]],TableMJRUJAPAN[],7,FALSE),"")</f>
        <v/>
      </c>
      <c r="U161" s="65" t="str">
        <f>IFERROR(VLOOKUP(TableHandbook[[#This Row],[UDC]],TableMJRUJOURN[],7,FALSE),"")</f>
        <v/>
      </c>
      <c r="V161" s="65" t="str">
        <f>IFERROR(VLOOKUP(TableHandbook[[#This Row],[UDC]],TableMJRUKORES[],7,FALSE),"")</f>
        <v/>
      </c>
      <c r="W161" s="65" t="str">
        <f>IFERROR(VLOOKUP(TableHandbook[[#This Row],[UDC]],TableMJRULITCU[],7,FALSE),"")</f>
        <v/>
      </c>
      <c r="X161" s="65" t="str">
        <f>IFERROR(VLOOKUP(TableHandbook[[#This Row],[UDC]],TableMJRUNETCM[],7,FALSE),"")</f>
        <v/>
      </c>
      <c r="Y161" s="65" t="str">
        <f>IFERROR(VLOOKUP(TableHandbook[[#This Row],[UDC]],TableMJRUPRWRP[],7,FALSE),"")</f>
        <v/>
      </c>
      <c r="Z161" s="66" t="str">
        <f>IFERROR(VLOOKUP(TableHandbook[[#This Row],[UDC]],TableMJRUSCSTR[],7,FALSE),"")</f>
        <v/>
      </c>
      <c r="AA161" s="74"/>
      <c r="AB161" s="66" t="str">
        <f>IFERROR(VLOOKUP(TableHandbook[[#This Row],[UDC]],TableMJRUBSLAW[],7,FALSE),"")</f>
        <v/>
      </c>
      <c r="AC161" s="66" t="str">
        <f>IFERROR(VLOOKUP(TableHandbook[[#This Row],[UDC]],TableMJRUECONS[],7,FALSE),"")</f>
        <v/>
      </c>
      <c r="AD161" s="66" t="str">
        <f>IFERROR(VLOOKUP(TableHandbook[[#This Row],[UDC]],TableMJRUFINAR[],7,FALSE),"")</f>
        <v/>
      </c>
      <c r="AE161" s="66" t="str">
        <f>IFERROR(VLOOKUP(TableHandbook[[#This Row],[UDC]],TableMJRUFINCE[],7,FALSE),"")</f>
        <v/>
      </c>
      <c r="AF161" s="66" t="str">
        <f>IFERROR(VLOOKUP(TableHandbook[[#This Row],[UDC]],TableMJRUHRMGM[],7,FALSE),"")</f>
        <v/>
      </c>
      <c r="AG161" s="66" t="str">
        <f>IFERROR(VLOOKUP(TableHandbook[[#This Row],[UDC]],TableMJRUINTBU[],7,FALSE),"")</f>
        <v/>
      </c>
      <c r="AH161" s="66" t="str">
        <f>IFERROR(VLOOKUP(TableHandbook[[#This Row],[UDC]],TableMJRULGSCM[],7,FALSE),"")</f>
        <v/>
      </c>
      <c r="AI161" s="66" t="str">
        <f>IFERROR(VLOOKUP(TableHandbook[[#This Row],[UDC]],TableMJRUMNGMT[],7,FALSE),"")</f>
        <v>Core</v>
      </c>
      <c r="AJ161" s="66" t="str">
        <f>IFERROR(VLOOKUP(TableHandbook[[#This Row],[UDC]],TableMJRUMRKTG[],7,FALSE),"")</f>
        <v/>
      </c>
      <c r="AK161" s="66" t="str">
        <f>IFERROR(VLOOKUP(TableHandbook[[#This Row],[UDC]],TableMJRUPRPTY[],7,FALSE),"")</f>
        <v/>
      </c>
      <c r="AL161" s="66" t="str">
        <f>IFERROR(VLOOKUP(TableHandbook[[#This Row],[UDC]],TableMJRUSCRAR[],7,FALSE),"")</f>
        <v/>
      </c>
      <c r="AM161" s="66" t="str">
        <f>IFERROR(VLOOKUP(TableHandbook[[#This Row],[UDC]],TableMJRUTHTRA[],7,FALSE),"")</f>
        <v/>
      </c>
      <c r="AN161" s="66" t="str">
        <f>IFERROR(VLOOKUP(TableHandbook[[#This Row],[UDC]],TableMJRUTRHOS[],7,FALSE),"")</f>
        <v/>
      </c>
    </row>
    <row r="162" spans="1:40" x14ac:dyDescent="0.25">
      <c r="A162" s="8" t="s">
        <v>419</v>
      </c>
      <c r="B162" s="9">
        <v>2</v>
      </c>
      <c r="C162" s="8"/>
      <c r="D162" s="8" t="s">
        <v>698</v>
      </c>
      <c r="E162" s="9">
        <v>25</v>
      </c>
      <c r="F162" s="49" t="s">
        <v>699</v>
      </c>
      <c r="G162" s="67" t="str">
        <f>IFERROR(IF(VLOOKUP(TableHandbook[[#This Row],[UDC]],TableAvailabilities[],2,FALSE)&gt;0,"Y",""),"")</f>
        <v>Y</v>
      </c>
      <c r="H162" s="68" t="str">
        <f>IFERROR(IF(VLOOKUP(TableHandbook[[#This Row],[UDC]],TableAvailabilities[],3,FALSE)&gt;0,"Y",""),"")</f>
        <v>Y</v>
      </c>
      <c r="I162" s="69" t="str">
        <f>IFERROR(IF(VLOOKUP(TableHandbook[[#This Row],[UDC]],TableAvailabilities[],4,FALSE)&gt;0,"Y",""),"")</f>
        <v>Y</v>
      </c>
      <c r="J162" s="70" t="str">
        <f>IFERROR(IF(VLOOKUP(TableHandbook[[#This Row],[UDC]],TableAvailabilities[],5,FALSE)&gt;0,"Y",""),"")</f>
        <v>Y</v>
      </c>
      <c r="K162" s="163"/>
      <c r="L162" s="64" t="str">
        <f>IFERROR(VLOOKUP(TableHandbook[[#This Row],[UDC]],TableBARTS[],7,FALSE),"")</f>
        <v/>
      </c>
      <c r="M162" s="65" t="str">
        <f>IFERROR(VLOOKUP(TableHandbook[[#This Row],[UDC]],TableMJRUANTSO[],7,FALSE),"")</f>
        <v/>
      </c>
      <c r="N162" s="65" t="str">
        <f>IFERROR(VLOOKUP(TableHandbook[[#This Row],[UDC]],TableMJRUCHNSE[],7,FALSE),"")</f>
        <v/>
      </c>
      <c r="O162" s="65" t="str">
        <f>IFERROR(VLOOKUP(TableHandbook[[#This Row],[UDC]],TableMJRUCRWRI[],7,FALSE),"")</f>
        <v/>
      </c>
      <c r="P162" s="65" t="str">
        <f>IFERROR(VLOOKUP(TableHandbook[[#This Row],[UDC]],TableMJRUGEOGR[],7,FALSE),"")</f>
        <v/>
      </c>
      <c r="Q162" s="65" t="str">
        <f>IFERROR(VLOOKUP(TableHandbook[[#This Row],[UDC]],TableMJRUHISTR[],7,FALSE),"")</f>
        <v/>
      </c>
      <c r="R162" s="65" t="str">
        <f>IFERROR(VLOOKUP(TableHandbook[[#This Row],[UDC]],TableMJRUINAUC[],7,FALSE),"")</f>
        <v/>
      </c>
      <c r="S162" s="65" t="str">
        <f>IFERROR(VLOOKUP(TableHandbook[[#This Row],[UDC]],TableMJRUINTRL[],7,FALSE),"")</f>
        <v/>
      </c>
      <c r="T162" s="65" t="str">
        <f>IFERROR(VLOOKUP(TableHandbook[[#This Row],[UDC]],TableMJRUJAPAN[],7,FALSE),"")</f>
        <v/>
      </c>
      <c r="U162" s="65" t="str">
        <f>IFERROR(VLOOKUP(TableHandbook[[#This Row],[UDC]],TableMJRUJOURN[],7,FALSE),"")</f>
        <v/>
      </c>
      <c r="V162" s="65" t="str">
        <f>IFERROR(VLOOKUP(TableHandbook[[#This Row],[UDC]],TableMJRUKORES[],7,FALSE),"")</f>
        <v/>
      </c>
      <c r="W162" s="65" t="str">
        <f>IFERROR(VLOOKUP(TableHandbook[[#This Row],[UDC]],TableMJRULITCU[],7,FALSE),"")</f>
        <v/>
      </c>
      <c r="X162" s="65" t="str">
        <f>IFERROR(VLOOKUP(TableHandbook[[#This Row],[UDC]],TableMJRUNETCM[],7,FALSE),"")</f>
        <v/>
      </c>
      <c r="Y162" s="65" t="str">
        <f>IFERROR(VLOOKUP(TableHandbook[[#This Row],[UDC]],TableMJRUPRWRP[],7,FALSE),"")</f>
        <v/>
      </c>
      <c r="Z162" s="66" t="str">
        <f>IFERROR(VLOOKUP(TableHandbook[[#This Row],[UDC]],TableMJRUSCSTR[],7,FALSE),"")</f>
        <v/>
      </c>
      <c r="AA162" s="74"/>
      <c r="AB162" s="66" t="str">
        <f>IFERROR(VLOOKUP(TableHandbook[[#This Row],[UDC]],TableMJRUBSLAW[],7,FALSE),"")</f>
        <v/>
      </c>
      <c r="AC162" s="66" t="str">
        <f>IFERROR(VLOOKUP(TableHandbook[[#This Row],[UDC]],TableMJRUECONS[],7,FALSE),"")</f>
        <v/>
      </c>
      <c r="AD162" s="66" t="str">
        <f>IFERROR(VLOOKUP(TableHandbook[[#This Row],[UDC]],TableMJRUFINAR[],7,FALSE),"")</f>
        <v/>
      </c>
      <c r="AE162" s="66" t="str">
        <f>IFERROR(VLOOKUP(TableHandbook[[#This Row],[UDC]],TableMJRUFINCE[],7,FALSE),"")</f>
        <v/>
      </c>
      <c r="AF162" s="66" t="str">
        <f>IFERROR(VLOOKUP(TableHandbook[[#This Row],[UDC]],TableMJRUHRMGM[],7,FALSE),"")</f>
        <v>AltCore</v>
      </c>
      <c r="AG162" s="66" t="str">
        <f>IFERROR(VLOOKUP(TableHandbook[[#This Row],[UDC]],TableMJRUINTBU[],7,FALSE),"")</f>
        <v/>
      </c>
      <c r="AH162" s="66" t="str">
        <f>IFERROR(VLOOKUP(TableHandbook[[#This Row],[UDC]],TableMJRULGSCM[],7,FALSE),"")</f>
        <v/>
      </c>
      <c r="AI162" s="66" t="str">
        <f>IFERROR(VLOOKUP(TableHandbook[[#This Row],[UDC]],TableMJRUMNGMT[],7,FALSE),"")</f>
        <v/>
      </c>
      <c r="AJ162" s="66" t="str">
        <f>IFERROR(VLOOKUP(TableHandbook[[#This Row],[UDC]],TableMJRUMRKTG[],7,FALSE),"")</f>
        <v/>
      </c>
      <c r="AK162" s="66" t="str">
        <f>IFERROR(VLOOKUP(TableHandbook[[#This Row],[UDC]],TableMJRUPRPTY[],7,FALSE),"")</f>
        <v/>
      </c>
      <c r="AL162" s="66" t="str">
        <f>IFERROR(VLOOKUP(TableHandbook[[#This Row],[UDC]],TableMJRUSCRAR[],7,FALSE),"")</f>
        <v/>
      </c>
      <c r="AM162" s="66" t="str">
        <f>IFERROR(VLOOKUP(TableHandbook[[#This Row],[UDC]],TableMJRUTHTRA[],7,FALSE),"")</f>
        <v/>
      </c>
      <c r="AN162" s="66" t="str">
        <f>IFERROR(VLOOKUP(TableHandbook[[#This Row],[UDC]],TableMJRUTRHOS[],7,FALSE),"")</f>
        <v/>
      </c>
    </row>
    <row r="163" spans="1:40" x14ac:dyDescent="0.25">
      <c r="A163" s="8" t="s">
        <v>383</v>
      </c>
      <c r="B163" s="9">
        <v>2</v>
      </c>
      <c r="C163" s="8"/>
      <c r="D163" s="8" t="s">
        <v>700</v>
      </c>
      <c r="E163" s="9">
        <v>25</v>
      </c>
      <c r="F163" s="49" t="s">
        <v>543</v>
      </c>
      <c r="G163" s="67" t="str">
        <f>IFERROR(IF(VLOOKUP(TableHandbook[[#This Row],[UDC]],TableAvailabilities[],2,FALSE)&gt;0,"Y",""),"")</f>
        <v>Y</v>
      </c>
      <c r="H163" s="68" t="str">
        <f>IFERROR(IF(VLOOKUP(TableHandbook[[#This Row],[UDC]],TableAvailabilities[],3,FALSE)&gt;0,"Y",""),"")</f>
        <v>Y</v>
      </c>
      <c r="I163" s="69" t="str">
        <f>IFERROR(IF(VLOOKUP(TableHandbook[[#This Row],[UDC]],TableAvailabilities[],4,FALSE)&gt;0,"Y",""),"")</f>
        <v>Y</v>
      </c>
      <c r="J163" s="70" t="str">
        <f>IFERROR(IF(VLOOKUP(TableHandbook[[#This Row],[UDC]],TableAvailabilities[],5,FALSE)&gt;0,"Y",""),"")</f>
        <v>Y</v>
      </c>
      <c r="K163" s="163"/>
      <c r="L163" s="64" t="str">
        <f>IFERROR(VLOOKUP(TableHandbook[[#This Row],[UDC]],TableBARTS[],7,FALSE),"")</f>
        <v/>
      </c>
      <c r="M163" s="65" t="str">
        <f>IFERROR(VLOOKUP(TableHandbook[[#This Row],[UDC]],TableMJRUANTSO[],7,FALSE),"")</f>
        <v/>
      </c>
      <c r="N163" s="65" t="str">
        <f>IFERROR(VLOOKUP(TableHandbook[[#This Row],[UDC]],TableMJRUCHNSE[],7,FALSE),"")</f>
        <v/>
      </c>
      <c r="O163" s="65" t="str">
        <f>IFERROR(VLOOKUP(TableHandbook[[#This Row],[UDC]],TableMJRUCRWRI[],7,FALSE),"")</f>
        <v/>
      </c>
      <c r="P163" s="65" t="str">
        <f>IFERROR(VLOOKUP(TableHandbook[[#This Row],[UDC]],TableMJRUGEOGR[],7,FALSE),"")</f>
        <v/>
      </c>
      <c r="Q163" s="65" t="str">
        <f>IFERROR(VLOOKUP(TableHandbook[[#This Row],[UDC]],TableMJRUHISTR[],7,FALSE),"")</f>
        <v/>
      </c>
      <c r="R163" s="65" t="str">
        <f>IFERROR(VLOOKUP(TableHandbook[[#This Row],[UDC]],TableMJRUINAUC[],7,FALSE),"")</f>
        <v/>
      </c>
      <c r="S163" s="65" t="str">
        <f>IFERROR(VLOOKUP(TableHandbook[[#This Row],[UDC]],TableMJRUINTRL[],7,FALSE),"")</f>
        <v/>
      </c>
      <c r="T163" s="65" t="str">
        <f>IFERROR(VLOOKUP(TableHandbook[[#This Row],[UDC]],TableMJRUJAPAN[],7,FALSE),"")</f>
        <v/>
      </c>
      <c r="U163" s="65" t="str">
        <f>IFERROR(VLOOKUP(TableHandbook[[#This Row],[UDC]],TableMJRUJOURN[],7,FALSE),"")</f>
        <v/>
      </c>
      <c r="V163" s="65" t="str">
        <f>IFERROR(VLOOKUP(TableHandbook[[#This Row],[UDC]],TableMJRUKORES[],7,FALSE),"")</f>
        <v/>
      </c>
      <c r="W163" s="65" t="str">
        <f>IFERROR(VLOOKUP(TableHandbook[[#This Row],[UDC]],TableMJRULITCU[],7,FALSE),"")</f>
        <v/>
      </c>
      <c r="X163" s="65" t="str">
        <f>IFERROR(VLOOKUP(TableHandbook[[#This Row],[UDC]],TableMJRUNETCM[],7,FALSE),"")</f>
        <v/>
      </c>
      <c r="Y163" s="65" t="str">
        <f>IFERROR(VLOOKUP(TableHandbook[[#This Row],[UDC]],TableMJRUPRWRP[],7,FALSE),"")</f>
        <v/>
      </c>
      <c r="Z163" s="66" t="str">
        <f>IFERROR(VLOOKUP(TableHandbook[[#This Row],[UDC]],TableMJRUSCSTR[],7,FALSE),"")</f>
        <v/>
      </c>
      <c r="AA163" s="74"/>
      <c r="AB163" s="66" t="str">
        <f>IFERROR(VLOOKUP(TableHandbook[[#This Row],[UDC]],TableMJRUBSLAW[],7,FALSE),"")</f>
        <v/>
      </c>
      <c r="AC163" s="66" t="str">
        <f>IFERROR(VLOOKUP(TableHandbook[[#This Row],[UDC]],TableMJRUECONS[],7,FALSE),"")</f>
        <v/>
      </c>
      <c r="AD163" s="66" t="str">
        <f>IFERROR(VLOOKUP(TableHandbook[[#This Row],[UDC]],TableMJRUFINAR[],7,FALSE),"")</f>
        <v/>
      </c>
      <c r="AE163" s="66" t="str">
        <f>IFERROR(VLOOKUP(TableHandbook[[#This Row],[UDC]],TableMJRUFINCE[],7,FALSE),"")</f>
        <v/>
      </c>
      <c r="AF163" s="66" t="str">
        <f>IFERROR(VLOOKUP(TableHandbook[[#This Row],[UDC]],TableMJRUHRMGM[],7,FALSE),"")</f>
        <v>Core</v>
      </c>
      <c r="AG163" s="66" t="str">
        <f>IFERROR(VLOOKUP(TableHandbook[[#This Row],[UDC]],TableMJRUINTBU[],7,FALSE),"")</f>
        <v/>
      </c>
      <c r="AH163" s="66" t="str">
        <f>IFERROR(VLOOKUP(TableHandbook[[#This Row],[UDC]],TableMJRULGSCM[],7,FALSE),"")</f>
        <v/>
      </c>
      <c r="AI163" s="66" t="str">
        <f>IFERROR(VLOOKUP(TableHandbook[[#This Row],[UDC]],TableMJRUMNGMT[],7,FALSE),"")</f>
        <v>AltCore</v>
      </c>
      <c r="AJ163" s="66" t="str">
        <f>IFERROR(VLOOKUP(TableHandbook[[#This Row],[UDC]],TableMJRUMRKTG[],7,FALSE),"")</f>
        <v/>
      </c>
      <c r="AK163" s="66" t="str">
        <f>IFERROR(VLOOKUP(TableHandbook[[#This Row],[UDC]],TableMJRUPRPTY[],7,FALSE),"")</f>
        <v/>
      </c>
      <c r="AL163" s="66" t="str">
        <f>IFERROR(VLOOKUP(TableHandbook[[#This Row],[UDC]],TableMJRUSCRAR[],7,FALSE),"")</f>
        <v/>
      </c>
      <c r="AM163" s="66" t="str">
        <f>IFERROR(VLOOKUP(TableHandbook[[#This Row],[UDC]],TableMJRUTHTRA[],7,FALSE),"")</f>
        <v/>
      </c>
      <c r="AN163" s="66" t="str">
        <f>IFERROR(VLOOKUP(TableHandbook[[#This Row],[UDC]],TableMJRUTRHOS[],7,FALSE),"")</f>
        <v/>
      </c>
    </row>
    <row r="164" spans="1:40" x14ac:dyDescent="0.25">
      <c r="A164" s="8" t="s">
        <v>437</v>
      </c>
      <c r="B164" s="9">
        <v>2</v>
      </c>
      <c r="C164" s="8"/>
      <c r="D164" s="8" t="s">
        <v>701</v>
      </c>
      <c r="E164" s="9">
        <v>25</v>
      </c>
      <c r="F164" s="49" t="s">
        <v>383</v>
      </c>
      <c r="G164" s="67" t="str">
        <f>IFERROR(IF(VLOOKUP(TableHandbook[[#This Row],[UDC]],TableAvailabilities[],2,FALSE)&gt;0,"Y",""),"")</f>
        <v>Y</v>
      </c>
      <c r="H164" s="68" t="str">
        <f>IFERROR(IF(VLOOKUP(TableHandbook[[#This Row],[UDC]],TableAvailabilities[],3,FALSE)&gt;0,"Y",""),"")</f>
        <v>Y</v>
      </c>
      <c r="I164" s="69" t="str">
        <f>IFERROR(IF(VLOOKUP(TableHandbook[[#This Row],[UDC]],TableAvailabilities[],4,FALSE)&gt;0,"Y",""),"")</f>
        <v>Y</v>
      </c>
      <c r="J164" s="70" t="str">
        <f>IFERROR(IF(VLOOKUP(TableHandbook[[#This Row],[UDC]],TableAvailabilities[],5,FALSE)&gt;0,"Y",""),"")</f>
        <v>Y</v>
      </c>
      <c r="K164" s="163"/>
      <c r="L164" s="64" t="str">
        <f>IFERROR(VLOOKUP(TableHandbook[[#This Row],[UDC]],TableBARTS[],7,FALSE),"")</f>
        <v/>
      </c>
      <c r="M164" s="65" t="str">
        <f>IFERROR(VLOOKUP(TableHandbook[[#This Row],[UDC]],TableMJRUANTSO[],7,FALSE),"")</f>
        <v/>
      </c>
      <c r="N164" s="65" t="str">
        <f>IFERROR(VLOOKUP(TableHandbook[[#This Row],[UDC]],TableMJRUCHNSE[],7,FALSE),"")</f>
        <v/>
      </c>
      <c r="O164" s="65" t="str">
        <f>IFERROR(VLOOKUP(TableHandbook[[#This Row],[UDC]],TableMJRUCRWRI[],7,FALSE),"")</f>
        <v/>
      </c>
      <c r="P164" s="65" t="str">
        <f>IFERROR(VLOOKUP(TableHandbook[[#This Row],[UDC]],TableMJRUGEOGR[],7,FALSE),"")</f>
        <v/>
      </c>
      <c r="Q164" s="65" t="str">
        <f>IFERROR(VLOOKUP(TableHandbook[[#This Row],[UDC]],TableMJRUHISTR[],7,FALSE),"")</f>
        <v/>
      </c>
      <c r="R164" s="65" t="str">
        <f>IFERROR(VLOOKUP(TableHandbook[[#This Row],[UDC]],TableMJRUINAUC[],7,FALSE),"")</f>
        <v/>
      </c>
      <c r="S164" s="65" t="str">
        <f>IFERROR(VLOOKUP(TableHandbook[[#This Row],[UDC]],TableMJRUINTRL[],7,FALSE),"")</f>
        <v/>
      </c>
      <c r="T164" s="65" t="str">
        <f>IFERROR(VLOOKUP(TableHandbook[[#This Row],[UDC]],TableMJRUJAPAN[],7,FALSE),"")</f>
        <v/>
      </c>
      <c r="U164" s="65" t="str">
        <f>IFERROR(VLOOKUP(TableHandbook[[#This Row],[UDC]],TableMJRUJOURN[],7,FALSE),"")</f>
        <v/>
      </c>
      <c r="V164" s="65" t="str">
        <f>IFERROR(VLOOKUP(TableHandbook[[#This Row],[UDC]],TableMJRUKORES[],7,FALSE),"")</f>
        <v/>
      </c>
      <c r="W164" s="65" t="str">
        <f>IFERROR(VLOOKUP(TableHandbook[[#This Row],[UDC]],TableMJRULITCU[],7,FALSE),"")</f>
        <v/>
      </c>
      <c r="X164" s="65" t="str">
        <f>IFERROR(VLOOKUP(TableHandbook[[#This Row],[UDC]],TableMJRUNETCM[],7,FALSE),"")</f>
        <v/>
      </c>
      <c r="Y164" s="65" t="str">
        <f>IFERROR(VLOOKUP(TableHandbook[[#This Row],[UDC]],TableMJRUPRWRP[],7,FALSE),"")</f>
        <v/>
      </c>
      <c r="Z164" s="66" t="str">
        <f>IFERROR(VLOOKUP(TableHandbook[[#This Row],[UDC]],TableMJRUSCSTR[],7,FALSE),"")</f>
        <v/>
      </c>
      <c r="AA164" s="74"/>
      <c r="AB164" s="66" t="str">
        <f>IFERROR(VLOOKUP(TableHandbook[[#This Row],[UDC]],TableMJRUBSLAW[],7,FALSE),"")</f>
        <v/>
      </c>
      <c r="AC164" s="66" t="str">
        <f>IFERROR(VLOOKUP(TableHandbook[[#This Row],[UDC]],TableMJRUECONS[],7,FALSE),"")</f>
        <v/>
      </c>
      <c r="AD164" s="66" t="str">
        <f>IFERROR(VLOOKUP(TableHandbook[[#This Row],[UDC]],TableMJRUFINAR[],7,FALSE),"")</f>
        <v/>
      </c>
      <c r="AE164" s="66" t="str">
        <f>IFERROR(VLOOKUP(TableHandbook[[#This Row],[UDC]],TableMJRUFINCE[],7,FALSE),"")</f>
        <v/>
      </c>
      <c r="AF164" s="66" t="str">
        <f>IFERROR(VLOOKUP(TableHandbook[[#This Row],[UDC]],TableMJRUHRMGM[],7,FALSE),"")</f>
        <v>Core</v>
      </c>
      <c r="AG164" s="66" t="str">
        <f>IFERROR(VLOOKUP(TableHandbook[[#This Row],[UDC]],TableMJRUINTBU[],7,FALSE),"")</f>
        <v/>
      </c>
      <c r="AH164" s="66" t="str">
        <f>IFERROR(VLOOKUP(TableHandbook[[#This Row],[UDC]],TableMJRULGSCM[],7,FALSE),"")</f>
        <v/>
      </c>
      <c r="AI164" s="66" t="str">
        <f>IFERROR(VLOOKUP(TableHandbook[[#This Row],[UDC]],TableMJRUMNGMT[],7,FALSE),"")</f>
        <v/>
      </c>
      <c r="AJ164" s="66" t="str">
        <f>IFERROR(VLOOKUP(TableHandbook[[#This Row],[UDC]],TableMJRUMRKTG[],7,FALSE),"")</f>
        <v/>
      </c>
      <c r="AK164" s="66" t="str">
        <f>IFERROR(VLOOKUP(TableHandbook[[#This Row],[UDC]],TableMJRUPRPTY[],7,FALSE),"")</f>
        <v/>
      </c>
      <c r="AL164" s="66" t="str">
        <f>IFERROR(VLOOKUP(TableHandbook[[#This Row],[UDC]],TableMJRUSCRAR[],7,FALSE),"")</f>
        <v/>
      </c>
      <c r="AM164" s="66" t="str">
        <f>IFERROR(VLOOKUP(TableHandbook[[#This Row],[UDC]],TableMJRUTHTRA[],7,FALSE),"")</f>
        <v/>
      </c>
      <c r="AN164" s="66" t="str">
        <f>IFERROR(VLOOKUP(TableHandbook[[#This Row],[UDC]],TableMJRUTRHOS[],7,FALSE),"")</f>
        <v/>
      </c>
    </row>
    <row r="165" spans="1:40" x14ac:dyDescent="0.25">
      <c r="A165" s="8" t="s">
        <v>385</v>
      </c>
      <c r="B165" s="9">
        <v>1</v>
      </c>
      <c r="C165" s="8"/>
      <c r="D165" s="8" t="s">
        <v>702</v>
      </c>
      <c r="E165" s="9">
        <v>25</v>
      </c>
      <c r="F165" s="49" t="s">
        <v>526</v>
      </c>
      <c r="G165" s="67" t="str">
        <f>IFERROR(IF(VLOOKUP(TableHandbook[[#This Row],[UDC]],TableAvailabilities[],2,FALSE)&gt;0,"Y",""),"")</f>
        <v>Y</v>
      </c>
      <c r="H165" s="68" t="str">
        <f>IFERROR(IF(VLOOKUP(TableHandbook[[#This Row],[UDC]],TableAvailabilities[],3,FALSE)&gt;0,"Y",""),"")</f>
        <v>Y</v>
      </c>
      <c r="I165" s="69" t="str">
        <f>IFERROR(IF(VLOOKUP(TableHandbook[[#This Row],[UDC]],TableAvailabilities[],4,FALSE)&gt;0,"Y",""),"")</f>
        <v>Y</v>
      </c>
      <c r="J165" s="70" t="str">
        <f>IFERROR(IF(VLOOKUP(TableHandbook[[#This Row],[UDC]],TableAvailabilities[],5,FALSE)&gt;0,"Y",""),"")</f>
        <v>Y</v>
      </c>
      <c r="K165" s="163"/>
      <c r="L165" s="64" t="str">
        <f>IFERROR(VLOOKUP(TableHandbook[[#This Row],[UDC]],TableBARTS[],7,FALSE),"")</f>
        <v/>
      </c>
      <c r="M165" s="65" t="str">
        <f>IFERROR(VLOOKUP(TableHandbook[[#This Row],[UDC]],TableMJRUANTSO[],7,FALSE),"")</f>
        <v/>
      </c>
      <c r="N165" s="65" t="str">
        <f>IFERROR(VLOOKUP(TableHandbook[[#This Row],[UDC]],TableMJRUCHNSE[],7,FALSE),"")</f>
        <v/>
      </c>
      <c r="O165" s="65" t="str">
        <f>IFERROR(VLOOKUP(TableHandbook[[#This Row],[UDC]],TableMJRUCRWRI[],7,FALSE),"")</f>
        <v/>
      </c>
      <c r="P165" s="65" t="str">
        <f>IFERROR(VLOOKUP(TableHandbook[[#This Row],[UDC]],TableMJRUGEOGR[],7,FALSE),"")</f>
        <v/>
      </c>
      <c r="Q165" s="65" t="str">
        <f>IFERROR(VLOOKUP(TableHandbook[[#This Row],[UDC]],TableMJRUHISTR[],7,FALSE),"")</f>
        <v/>
      </c>
      <c r="R165" s="65" t="str">
        <f>IFERROR(VLOOKUP(TableHandbook[[#This Row],[UDC]],TableMJRUINAUC[],7,FALSE),"")</f>
        <v/>
      </c>
      <c r="S165" s="65" t="str">
        <f>IFERROR(VLOOKUP(TableHandbook[[#This Row],[UDC]],TableMJRUINTRL[],7,FALSE),"")</f>
        <v/>
      </c>
      <c r="T165" s="65" t="str">
        <f>IFERROR(VLOOKUP(TableHandbook[[#This Row],[UDC]],TableMJRUJAPAN[],7,FALSE),"")</f>
        <v/>
      </c>
      <c r="U165" s="65" t="str">
        <f>IFERROR(VLOOKUP(TableHandbook[[#This Row],[UDC]],TableMJRUJOURN[],7,FALSE),"")</f>
        <v/>
      </c>
      <c r="V165" s="65" t="str">
        <f>IFERROR(VLOOKUP(TableHandbook[[#This Row],[UDC]],TableMJRUKORES[],7,FALSE),"")</f>
        <v/>
      </c>
      <c r="W165" s="65" t="str">
        <f>IFERROR(VLOOKUP(TableHandbook[[#This Row],[UDC]],TableMJRULITCU[],7,FALSE),"")</f>
        <v/>
      </c>
      <c r="X165" s="65" t="str">
        <f>IFERROR(VLOOKUP(TableHandbook[[#This Row],[UDC]],TableMJRUNETCM[],7,FALSE),"")</f>
        <v/>
      </c>
      <c r="Y165" s="65" t="str">
        <f>IFERROR(VLOOKUP(TableHandbook[[#This Row],[UDC]],TableMJRUPRWRP[],7,FALSE),"")</f>
        <v/>
      </c>
      <c r="Z165" s="66" t="str">
        <f>IFERROR(VLOOKUP(TableHandbook[[#This Row],[UDC]],TableMJRUSCSTR[],7,FALSE),"")</f>
        <v/>
      </c>
      <c r="AA165" s="74"/>
      <c r="AB165" s="66" t="str">
        <f>IFERROR(VLOOKUP(TableHandbook[[#This Row],[UDC]],TableMJRUBSLAW[],7,FALSE),"")</f>
        <v/>
      </c>
      <c r="AC165" s="66" t="str">
        <f>IFERROR(VLOOKUP(TableHandbook[[#This Row],[UDC]],TableMJRUECONS[],7,FALSE),"")</f>
        <v/>
      </c>
      <c r="AD165" s="66" t="str">
        <f>IFERROR(VLOOKUP(TableHandbook[[#This Row],[UDC]],TableMJRUFINAR[],7,FALSE),"")</f>
        <v/>
      </c>
      <c r="AE165" s="66" t="str">
        <f>IFERROR(VLOOKUP(TableHandbook[[#This Row],[UDC]],TableMJRUFINCE[],7,FALSE),"")</f>
        <v/>
      </c>
      <c r="AF165" s="66" t="str">
        <f>IFERROR(VLOOKUP(TableHandbook[[#This Row],[UDC]],TableMJRUHRMGM[],7,FALSE),"")</f>
        <v/>
      </c>
      <c r="AG165" s="66" t="str">
        <f>IFERROR(VLOOKUP(TableHandbook[[#This Row],[UDC]],TableMJRUINTBU[],7,FALSE),"")</f>
        <v>Core</v>
      </c>
      <c r="AH165" s="66" t="str">
        <f>IFERROR(VLOOKUP(TableHandbook[[#This Row],[UDC]],TableMJRULGSCM[],7,FALSE),"")</f>
        <v>Core</v>
      </c>
      <c r="AI165" s="66" t="str">
        <f>IFERROR(VLOOKUP(TableHandbook[[#This Row],[UDC]],TableMJRUMNGMT[],7,FALSE),"")</f>
        <v/>
      </c>
      <c r="AJ165" s="66" t="str">
        <f>IFERROR(VLOOKUP(TableHandbook[[#This Row],[UDC]],TableMJRUMRKTG[],7,FALSE),"")</f>
        <v/>
      </c>
      <c r="AK165" s="66" t="str">
        <f>IFERROR(VLOOKUP(TableHandbook[[#This Row],[UDC]],TableMJRUPRPTY[],7,FALSE),"")</f>
        <v/>
      </c>
      <c r="AL165" s="66" t="str">
        <f>IFERROR(VLOOKUP(TableHandbook[[#This Row],[UDC]],TableMJRUSCRAR[],7,FALSE),"")</f>
        <v/>
      </c>
      <c r="AM165" s="66" t="str">
        <f>IFERROR(VLOOKUP(TableHandbook[[#This Row],[UDC]],TableMJRUTHTRA[],7,FALSE),"")</f>
        <v/>
      </c>
      <c r="AN165" s="66" t="str">
        <f>IFERROR(VLOOKUP(TableHandbook[[#This Row],[UDC]],TableMJRUTRHOS[],7,FALSE),"")</f>
        <v/>
      </c>
    </row>
    <row r="166" spans="1:40" x14ac:dyDescent="0.25">
      <c r="A166" s="8" t="s">
        <v>422</v>
      </c>
      <c r="B166" s="9">
        <v>1</v>
      </c>
      <c r="C166" s="8"/>
      <c r="D166" s="8" t="s">
        <v>703</v>
      </c>
      <c r="E166" s="9">
        <v>25</v>
      </c>
      <c r="F166" s="49" t="s">
        <v>526</v>
      </c>
      <c r="G166" s="67" t="str">
        <f>IFERROR(IF(VLOOKUP(TableHandbook[[#This Row],[UDC]],TableAvailabilities[],2,FALSE)&gt;0,"Y",""),"")</f>
        <v>Y</v>
      </c>
      <c r="H166" s="68" t="str">
        <f>IFERROR(IF(VLOOKUP(TableHandbook[[#This Row],[UDC]],TableAvailabilities[],3,FALSE)&gt;0,"Y",""),"")</f>
        <v/>
      </c>
      <c r="I166" s="69" t="str">
        <f>IFERROR(IF(VLOOKUP(TableHandbook[[#This Row],[UDC]],TableAvailabilities[],4,FALSE)&gt;0,"Y",""),"")</f>
        <v/>
      </c>
      <c r="J166" s="70" t="str">
        <f>IFERROR(IF(VLOOKUP(TableHandbook[[#This Row],[UDC]],TableAvailabilities[],5,FALSE)&gt;0,"Y",""),"")</f>
        <v/>
      </c>
      <c r="K166" s="163"/>
      <c r="L166" s="64" t="str">
        <f>IFERROR(VLOOKUP(TableHandbook[[#This Row],[UDC]],TableBARTS[],7,FALSE),"")</f>
        <v/>
      </c>
      <c r="M166" s="65" t="str">
        <f>IFERROR(VLOOKUP(TableHandbook[[#This Row],[UDC]],TableMJRUANTSO[],7,FALSE),"")</f>
        <v/>
      </c>
      <c r="N166" s="65" t="str">
        <f>IFERROR(VLOOKUP(TableHandbook[[#This Row],[UDC]],TableMJRUCHNSE[],7,FALSE),"")</f>
        <v/>
      </c>
      <c r="O166" s="65" t="str">
        <f>IFERROR(VLOOKUP(TableHandbook[[#This Row],[UDC]],TableMJRUCRWRI[],7,FALSE),"")</f>
        <v/>
      </c>
      <c r="P166" s="65" t="str">
        <f>IFERROR(VLOOKUP(TableHandbook[[#This Row],[UDC]],TableMJRUGEOGR[],7,FALSE),"")</f>
        <v/>
      </c>
      <c r="Q166" s="65" t="str">
        <f>IFERROR(VLOOKUP(TableHandbook[[#This Row],[UDC]],TableMJRUHISTR[],7,FALSE),"")</f>
        <v/>
      </c>
      <c r="R166" s="65" t="str">
        <f>IFERROR(VLOOKUP(TableHandbook[[#This Row],[UDC]],TableMJRUINAUC[],7,FALSE),"")</f>
        <v/>
      </c>
      <c r="S166" s="65" t="str">
        <f>IFERROR(VLOOKUP(TableHandbook[[#This Row],[UDC]],TableMJRUINTRL[],7,FALSE),"")</f>
        <v/>
      </c>
      <c r="T166" s="65" t="str">
        <f>IFERROR(VLOOKUP(TableHandbook[[#This Row],[UDC]],TableMJRUJAPAN[],7,FALSE),"")</f>
        <v/>
      </c>
      <c r="U166" s="65" t="str">
        <f>IFERROR(VLOOKUP(TableHandbook[[#This Row],[UDC]],TableMJRUJOURN[],7,FALSE),"")</f>
        <v/>
      </c>
      <c r="V166" s="65" t="str">
        <f>IFERROR(VLOOKUP(TableHandbook[[#This Row],[UDC]],TableMJRUKORES[],7,FALSE),"")</f>
        <v/>
      </c>
      <c r="W166" s="65" t="str">
        <f>IFERROR(VLOOKUP(TableHandbook[[#This Row],[UDC]],TableMJRULITCU[],7,FALSE),"")</f>
        <v/>
      </c>
      <c r="X166" s="65" t="str">
        <f>IFERROR(VLOOKUP(TableHandbook[[#This Row],[UDC]],TableMJRUNETCM[],7,FALSE),"")</f>
        <v/>
      </c>
      <c r="Y166" s="65" t="str">
        <f>IFERROR(VLOOKUP(TableHandbook[[#This Row],[UDC]],TableMJRUPRWRP[],7,FALSE),"")</f>
        <v/>
      </c>
      <c r="Z166" s="66" t="str">
        <f>IFERROR(VLOOKUP(TableHandbook[[#This Row],[UDC]],TableMJRUSCSTR[],7,FALSE),"")</f>
        <v/>
      </c>
      <c r="AA166" s="74"/>
      <c r="AB166" s="66" t="str">
        <f>IFERROR(VLOOKUP(TableHandbook[[#This Row],[UDC]],TableMJRUBSLAW[],7,FALSE),"")</f>
        <v/>
      </c>
      <c r="AC166" s="66" t="str">
        <f>IFERROR(VLOOKUP(TableHandbook[[#This Row],[UDC]],TableMJRUECONS[],7,FALSE),"")</f>
        <v/>
      </c>
      <c r="AD166" s="66" t="str">
        <f>IFERROR(VLOOKUP(TableHandbook[[#This Row],[UDC]],TableMJRUFINAR[],7,FALSE),"")</f>
        <v/>
      </c>
      <c r="AE166" s="66" t="str">
        <f>IFERROR(VLOOKUP(TableHandbook[[#This Row],[UDC]],TableMJRUFINCE[],7,FALSE),"")</f>
        <v/>
      </c>
      <c r="AF166" s="66" t="str">
        <f>IFERROR(VLOOKUP(TableHandbook[[#This Row],[UDC]],TableMJRUHRMGM[],7,FALSE),"")</f>
        <v/>
      </c>
      <c r="AG166" s="66" t="str">
        <f>IFERROR(VLOOKUP(TableHandbook[[#This Row],[UDC]],TableMJRUINTBU[],7,FALSE),"")</f>
        <v/>
      </c>
      <c r="AH166" s="66" t="str">
        <f>IFERROR(VLOOKUP(TableHandbook[[#This Row],[UDC]],TableMJRULGSCM[],7,FALSE),"")</f>
        <v>Core</v>
      </c>
      <c r="AI166" s="66" t="str">
        <f>IFERROR(VLOOKUP(TableHandbook[[#This Row],[UDC]],TableMJRUMNGMT[],7,FALSE),"")</f>
        <v/>
      </c>
      <c r="AJ166" s="66" t="str">
        <f>IFERROR(VLOOKUP(TableHandbook[[#This Row],[UDC]],TableMJRUMRKTG[],7,FALSE),"")</f>
        <v/>
      </c>
      <c r="AK166" s="66" t="str">
        <f>IFERROR(VLOOKUP(TableHandbook[[#This Row],[UDC]],TableMJRUPRPTY[],7,FALSE),"")</f>
        <v/>
      </c>
      <c r="AL166" s="66" t="str">
        <f>IFERROR(VLOOKUP(TableHandbook[[#This Row],[UDC]],TableMJRUSCRAR[],7,FALSE),"")</f>
        <v/>
      </c>
      <c r="AM166" s="66" t="str">
        <f>IFERROR(VLOOKUP(TableHandbook[[#This Row],[UDC]],TableMJRUTHTRA[],7,FALSE),"")</f>
        <v/>
      </c>
      <c r="AN166" s="66" t="str">
        <f>IFERROR(VLOOKUP(TableHandbook[[#This Row],[UDC]],TableMJRUTRHOS[],7,FALSE),"")</f>
        <v/>
      </c>
    </row>
    <row r="167" spans="1:40" x14ac:dyDescent="0.25">
      <c r="A167" s="8" t="s">
        <v>399</v>
      </c>
      <c r="B167" s="9">
        <v>1</v>
      </c>
      <c r="C167" s="8"/>
      <c r="D167" s="8" t="s">
        <v>704</v>
      </c>
      <c r="E167" s="9">
        <v>25</v>
      </c>
      <c r="F167" s="49" t="s">
        <v>526</v>
      </c>
      <c r="G167" s="67" t="str">
        <f>IFERROR(IF(VLOOKUP(TableHandbook[[#This Row],[UDC]],TableAvailabilities[],2,FALSE)&gt;0,"Y",""),"")</f>
        <v>Y</v>
      </c>
      <c r="H167" s="68" t="str">
        <f>IFERROR(IF(VLOOKUP(TableHandbook[[#This Row],[UDC]],TableAvailabilities[],3,FALSE)&gt;0,"Y",""),"")</f>
        <v/>
      </c>
      <c r="I167" s="69" t="str">
        <f>IFERROR(IF(VLOOKUP(TableHandbook[[#This Row],[UDC]],TableAvailabilities[],4,FALSE)&gt;0,"Y",""),"")</f>
        <v/>
      </c>
      <c r="J167" s="70" t="str">
        <f>IFERROR(IF(VLOOKUP(TableHandbook[[#This Row],[UDC]],TableAvailabilities[],5,FALSE)&gt;0,"Y",""),"")</f>
        <v/>
      </c>
      <c r="K167" s="163"/>
      <c r="L167" s="64" t="str">
        <f>IFERROR(VLOOKUP(TableHandbook[[#This Row],[UDC]],TableBARTS[],7,FALSE),"")</f>
        <v/>
      </c>
      <c r="M167" s="65" t="str">
        <f>IFERROR(VLOOKUP(TableHandbook[[#This Row],[UDC]],TableMJRUANTSO[],7,FALSE),"")</f>
        <v/>
      </c>
      <c r="N167" s="65" t="str">
        <f>IFERROR(VLOOKUP(TableHandbook[[#This Row],[UDC]],TableMJRUCHNSE[],7,FALSE),"")</f>
        <v/>
      </c>
      <c r="O167" s="65" t="str">
        <f>IFERROR(VLOOKUP(TableHandbook[[#This Row],[UDC]],TableMJRUCRWRI[],7,FALSE),"")</f>
        <v/>
      </c>
      <c r="P167" s="65" t="str">
        <f>IFERROR(VLOOKUP(TableHandbook[[#This Row],[UDC]],TableMJRUGEOGR[],7,FALSE),"")</f>
        <v/>
      </c>
      <c r="Q167" s="65" t="str">
        <f>IFERROR(VLOOKUP(TableHandbook[[#This Row],[UDC]],TableMJRUHISTR[],7,FALSE),"")</f>
        <v/>
      </c>
      <c r="R167" s="65" t="str">
        <f>IFERROR(VLOOKUP(TableHandbook[[#This Row],[UDC]],TableMJRUINAUC[],7,FALSE),"")</f>
        <v/>
      </c>
      <c r="S167" s="65" t="str">
        <f>IFERROR(VLOOKUP(TableHandbook[[#This Row],[UDC]],TableMJRUINTRL[],7,FALSE),"")</f>
        <v/>
      </c>
      <c r="T167" s="65" t="str">
        <f>IFERROR(VLOOKUP(TableHandbook[[#This Row],[UDC]],TableMJRUJAPAN[],7,FALSE),"")</f>
        <v/>
      </c>
      <c r="U167" s="65" t="str">
        <f>IFERROR(VLOOKUP(TableHandbook[[#This Row],[UDC]],TableMJRUJOURN[],7,FALSE),"")</f>
        <v/>
      </c>
      <c r="V167" s="65" t="str">
        <f>IFERROR(VLOOKUP(TableHandbook[[#This Row],[UDC]],TableMJRUKORES[],7,FALSE),"")</f>
        <v/>
      </c>
      <c r="W167" s="65" t="str">
        <f>IFERROR(VLOOKUP(TableHandbook[[#This Row],[UDC]],TableMJRULITCU[],7,FALSE),"")</f>
        <v/>
      </c>
      <c r="X167" s="65" t="str">
        <f>IFERROR(VLOOKUP(TableHandbook[[#This Row],[UDC]],TableMJRUNETCM[],7,FALSE),"")</f>
        <v/>
      </c>
      <c r="Y167" s="65" t="str">
        <f>IFERROR(VLOOKUP(TableHandbook[[#This Row],[UDC]],TableMJRUPRWRP[],7,FALSE),"")</f>
        <v/>
      </c>
      <c r="Z167" s="66" t="str">
        <f>IFERROR(VLOOKUP(TableHandbook[[#This Row],[UDC]],TableMJRUSCSTR[],7,FALSE),"")</f>
        <v/>
      </c>
      <c r="AA167" s="74"/>
      <c r="AB167" s="66" t="str">
        <f>IFERROR(VLOOKUP(TableHandbook[[#This Row],[UDC]],TableMJRUBSLAW[],7,FALSE),"")</f>
        <v/>
      </c>
      <c r="AC167" s="66" t="str">
        <f>IFERROR(VLOOKUP(TableHandbook[[#This Row],[UDC]],TableMJRUECONS[],7,FALSE),"")</f>
        <v/>
      </c>
      <c r="AD167" s="66" t="str">
        <f>IFERROR(VLOOKUP(TableHandbook[[#This Row],[UDC]],TableMJRUFINAR[],7,FALSE),"")</f>
        <v/>
      </c>
      <c r="AE167" s="66" t="str">
        <f>IFERROR(VLOOKUP(TableHandbook[[#This Row],[UDC]],TableMJRUFINCE[],7,FALSE),"")</f>
        <v/>
      </c>
      <c r="AF167" s="66" t="str">
        <f>IFERROR(VLOOKUP(TableHandbook[[#This Row],[UDC]],TableMJRUHRMGM[],7,FALSE),"")</f>
        <v/>
      </c>
      <c r="AG167" s="66" t="str">
        <f>IFERROR(VLOOKUP(TableHandbook[[#This Row],[UDC]],TableMJRUINTBU[],7,FALSE),"")</f>
        <v/>
      </c>
      <c r="AH167" s="66" t="str">
        <f>IFERROR(VLOOKUP(TableHandbook[[#This Row],[UDC]],TableMJRULGSCM[],7,FALSE),"")</f>
        <v>Core</v>
      </c>
      <c r="AI167" s="66" t="str">
        <f>IFERROR(VLOOKUP(TableHandbook[[#This Row],[UDC]],TableMJRUMNGMT[],7,FALSE),"")</f>
        <v/>
      </c>
      <c r="AJ167" s="66" t="str">
        <f>IFERROR(VLOOKUP(TableHandbook[[#This Row],[UDC]],TableMJRUMRKTG[],7,FALSE),"")</f>
        <v/>
      </c>
      <c r="AK167" s="66" t="str">
        <f>IFERROR(VLOOKUP(TableHandbook[[#This Row],[UDC]],TableMJRUPRPTY[],7,FALSE),"")</f>
        <v/>
      </c>
      <c r="AL167" s="66" t="str">
        <f>IFERROR(VLOOKUP(TableHandbook[[#This Row],[UDC]],TableMJRUSCRAR[],7,FALSE),"")</f>
        <v/>
      </c>
      <c r="AM167" s="66" t="str">
        <f>IFERROR(VLOOKUP(TableHandbook[[#This Row],[UDC]],TableMJRUTHTRA[],7,FALSE),"")</f>
        <v/>
      </c>
      <c r="AN167" s="66" t="str">
        <f>IFERROR(VLOOKUP(TableHandbook[[#This Row],[UDC]],TableMJRUTRHOS[],7,FALSE),"")</f>
        <v/>
      </c>
    </row>
    <row r="168" spans="1:40" x14ac:dyDescent="0.25">
      <c r="A168" s="8" t="s">
        <v>400</v>
      </c>
      <c r="B168" s="9">
        <v>1</v>
      </c>
      <c r="C168" s="8"/>
      <c r="D168" s="8" t="s">
        <v>705</v>
      </c>
      <c r="E168" s="9">
        <v>25</v>
      </c>
      <c r="F168" s="49" t="s">
        <v>526</v>
      </c>
      <c r="G168" s="67" t="str">
        <f>IFERROR(IF(VLOOKUP(TableHandbook[[#This Row],[UDC]],TableAvailabilities[],2,FALSE)&gt;0,"Y",""),"")</f>
        <v/>
      </c>
      <c r="H168" s="68" t="str">
        <f>IFERROR(IF(VLOOKUP(TableHandbook[[#This Row],[UDC]],TableAvailabilities[],3,FALSE)&gt;0,"Y",""),"")</f>
        <v/>
      </c>
      <c r="I168" s="69" t="str">
        <f>IFERROR(IF(VLOOKUP(TableHandbook[[#This Row],[UDC]],TableAvailabilities[],4,FALSE)&gt;0,"Y",""),"")</f>
        <v>Y</v>
      </c>
      <c r="J168" s="70" t="str">
        <f>IFERROR(IF(VLOOKUP(TableHandbook[[#This Row],[UDC]],TableAvailabilities[],5,FALSE)&gt;0,"Y",""),"")</f>
        <v>Y</v>
      </c>
      <c r="K168" s="163"/>
      <c r="L168" s="64" t="str">
        <f>IFERROR(VLOOKUP(TableHandbook[[#This Row],[UDC]],TableBARTS[],7,FALSE),"")</f>
        <v/>
      </c>
      <c r="M168" s="65" t="str">
        <f>IFERROR(VLOOKUP(TableHandbook[[#This Row],[UDC]],TableMJRUANTSO[],7,FALSE),"")</f>
        <v/>
      </c>
      <c r="N168" s="65" t="str">
        <f>IFERROR(VLOOKUP(TableHandbook[[#This Row],[UDC]],TableMJRUCHNSE[],7,FALSE),"")</f>
        <v/>
      </c>
      <c r="O168" s="65" t="str">
        <f>IFERROR(VLOOKUP(TableHandbook[[#This Row],[UDC]],TableMJRUCRWRI[],7,FALSE),"")</f>
        <v/>
      </c>
      <c r="P168" s="65" t="str">
        <f>IFERROR(VLOOKUP(TableHandbook[[#This Row],[UDC]],TableMJRUGEOGR[],7,FALSE),"")</f>
        <v/>
      </c>
      <c r="Q168" s="65" t="str">
        <f>IFERROR(VLOOKUP(TableHandbook[[#This Row],[UDC]],TableMJRUHISTR[],7,FALSE),"")</f>
        <v/>
      </c>
      <c r="R168" s="65" t="str">
        <f>IFERROR(VLOOKUP(TableHandbook[[#This Row],[UDC]],TableMJRUINAUC[],7,FALSE),"")</f>
        <v/>
      </c>
      <c r="S168" s="65" t="str">
        <f>IFERROR(VLOOKUP(TableHandbook[[#This Row],[UDC]],TableMJRUINTRL[],7,FALSE),"")</f>
        <v/>
      </c>
      <c r="T168" s="65" t="str">
        <f>IFERROR(VLOOKUP(TableHandbook[[#This Row],[UDC]],TableMJRUJAPAN[],7,FALSE),"")</f>
        <v/>
      </c>
      <c r="U168" s="65" t="str">
        <f>IFERROR(VLOOKUP(TableHandbook[[#This Row],[UDC]],TableMJRUJOURN[],7,FALSE),"")</f>
        <v/>
      </c>
      <c r="V168" s="65" t="str">
        <f>IFERROR(VLOOKUP(TableHandbook[[#This Row],[UDC]],TableMJRUKORES[],7,FALSE),"")</f>
        <v/>
      </c>
      <c r="W168" s="65" t="str">
        <f>IFERROR(VLOOKUP(TableHandbook[[#This Row],[UDC]],TableMJRULITCU[],7,FALSE),"")</f>
        <v/>
      </c>
      <c r="X168" s="65" t="str">
        <f>IFERROR(VLOOKUP(TableHandbook[[#This Row],[UDC]],TableMJRUNETCM[],7,FALSE),"")</f>
        <v/>
      </c>
      <c r="Y168" s="65" t="str">
        <f>IFERROR(VLOOKUP(TableHandbook[[#This Row],[UDC]],TableMJRUPRWRP[],7,FALSE),"")</f>
        <v/>
      </c>
      <c r="Z168" s="66" t="str">
        <f>IFERROR(VLOOKUP(TableHandbook[[#This Row],[UDC]],TableMJRUSCSTR[],7,FALSE),"")</f>
        <v/>
      </c>
      <c r="AA168" s="74"/>
      <c r="AB168" s="66" t="str">
        <f>IFERROR(VLOOKUP(TableHandbook[[#This Row],[UDC]],TableMJRUBSLAW[],7,FALSE),"")</f>
        <v/>
      </c>
      <c r="AC168" s="66" t="str">
        <f>IFERROR(VLOOKUP(TableHandbook[[#This Row],[UDC]],TableMJRUECONS[],7,FALSE),"")</f>
        <v/>
      </c>
      <c r="AD168" s="66" t="str">
        <f>IFERROR(VLOOKUP(TableHandbook[[#This Row],[UDC]],TableMJRUFINAR[],7,FALSE),"")</f>
        <v/>
      </c>
      <c r="AE168" s="66" t="str">
        <f>IFERROR(VLOOKUP(TableHandbook[[#This Row],[UDC]],TableMJRUFINCE[],7,FALSE),"")</f>
        <v/>
      </c>
      <c r="AF168" s="66" t="str">
        <f>IFERROR(VLOOKUP(TableHandbook[[#This Row],[UDC]],TableMJRUHRMGM[],7,FALSE),"")</f>
        <v/>
      </c>
      <c r="AG168" s="66" t="str">
        <f>IFERROR(VLOOKUP(TableHandbook[[#This Row],[UDC]],TableMJRUINTBU[],7,FALSE),"")</f>
        <v/>
      </c>
      <c r="AH168" s="66" t="str">
        <f>IFERROR(VLOOKUP(TableHandbook[[#This Row],[UDC]],TableMJRULGSCM[],7,FALSE),"")</f>
        <v>Core</v>
      </c>
      <c r="AI168" s="66" t="str">
        <f>IFERROR(VLOOKUP(TableHandbook[[#This Row],[UDC]],TableMJRUMNGMT[],7,FALSE),"")</f>
        <v/>
      </c>
      <c r="AJ168" s="66" t="str">
        <f>IFERROR(VLOOKUP(TableHandbook[[#This Row],[UDC]],TableMJRUMRKTG[],7,FALSE),"")</f>
        <v/>
      </c>
      <c r="AK168" s="66" t="str">
        <f>IFERROR(VLOOKUP(TableHandbook[[#This Row],[UDC]],TableMJRUPRPTY[],7,FALSE),"")</f>
        <v/>
      </c>
      <c r="AL168" s="66" t="str">
        <f>IFERROR(VLOOKUP(TableHandbook[[#This Row],[UDC]],TableMJRUSCRAR[],7,FALSE),"")</f>
        <v/>
      </c>
      <c r="AM168" s="66" t="str">
        <f>IFERROR(VLOOKUP(TableHandbook[[#This Row],[UDC]],TableMJRUTHTRA[],7,FALSE),"")</f>
        <v/>
      </c>
      <c r="AN168" s="66" t="str">
        <f>IFERROR(VLOOKUP(TableHandbook[[#This Row],[UDC]],TableMJRUTRHOS[],7,FALSE),"")</f>
        <v/>
      </c>
    </row>
    <row r="169" spans="1:40" x14ac:dyDescent="0.25">
      <c r="A169" s="8" t="s">
        <v>402</v>
      </c>
      <c r="B169" s="9">
        <v>2</v>
      </c>
      <c r="C169" s="8"/>
      <c r="D169" s="8" t="s">
        <v>706</v>
      </c>
      <c r="E169" s="9">
        <v>25</v>
      </c>
      <c r="F169" s="49" t="s">
        <v>543</v>
      </c>
      <c r="G169" s="67" t="str">
        <f>IFERROR(IF(VLOOKUP(TableHandbook[[#This Row],[UDC]],TableAvailabilities[],2,FALSE)&gt;0,"Y",""),"")</f>
        <v>Y</v>
      </c>
      <c r="H169" s="68" t="str">
        <f>IFERROR(IF(VLOOKUP(TableHandbook[[#This Row],[UDC]],TableAvailabilities[],3,FALSE)&gt;0,"Y",""),"")</f>
        <v>Y</v>
      </c>
      <c r="I169" s="69" t="str">
        <f>IFERROR(IF(VLOOKUP(TableHandbook[[#This Row],[UDC]],TableAvailabilities[],4,FALSE)&gt;0,"Y",""),"")</f>
        <v>Y</v>
      </c>
      <c r="J169" s="70" t="str">
        <f>IFERROR(IF(VLOOKUP(TableHandbook[[#This Row],[UDC]],TableAvailabilities[],5,FALSE)&gt;0,"Y",""),"")</f>
        <v>Y</v>
      </c>
      <c r="K169" s="163"/>
      <c r="L169" s="64" t="str">
        <f>IFERROR(VLOOKUP(TableHandbook[[#This Row],[UDC]],TableBARTS[],7,FALSE),"")</f>
        <v/>
      </c>
      <c r="M169" s="65" t="str">
        <f>IFERROR(VLOOKUP(TableHandbook[[#This Row],[UDC]],TableMJRUANTSO[],7,FALSE),"")</f>
        <v/>
      </c>
      <c r="N169" s="65" t="str">
        <f>IFERROR(VLOOKUP(TableHandbook[[#This Row],[UDC]],TableMJRUCHNSE[],7,FALSE),"")</f>
        <v/>
      </c>
      <c r="O169" s="65" t="str">
        <f>IFERROR(VLOOKUP(TableHandbook[[#This Row],[UDC]],TableMJRUCRWRI[],7,FALSE),"")</f>
        <v/>
      </c>
      <c r="P169" s="65" t="str">
        <f>IFERROR(VLOOKUP(TableHandbook[[#This Row],[UDC]],TableMJRUGEOGR[],7,FALSE),"")</f>
        <v/>
      </c>
      <c r="Q169" s="65" t="str">
        <f>IFERROR(VLOOKUP(TableHandbook[[#This Row],[UDC]],TableMJRUHISTR[],7,FALSE),"")</f>
        <v/>
      </c>
      <c r="R169" s="65" t="str">
        <f>IFERROR(VLOOKUP(TableHandbook[[#This Row],[UDC]],TableMJRUINAUC[],7,FALSE),"")</f>
        <v/>
      </c>
      <c r="S169" s="65" t="str">
        <f>IFERROR(VLOOKUP(TableHandbook[[#This Row],[UDC]],TableMJRUINTRL[],7,FALSE),"")</f>
        <v/>
      </c>
      <c r="T169" s="65" t="str">
        <f>IFERROR(VLOOKUP(TableHandbook[[#This Row],[UDC]],TableMJRUJAPAN[],7,FALSE),"")</f>
        <v/>
      </c>
      <c r="U169" s="65" t="str">
        <f>IFERROR(VLOOKUP(TableHandbook[[#This Row],[UDC]],TableMJRUJOURN[],7,FALSE),"")</f>
        <v/>
      </c>
      <c r="V169" s="65" t="str">
        <f>IFERROR(VLOOKUP(TableHandbook[[#This Row],[UDC]],TableMJRUKORES[],7,FALSE),"")</f>
        <v/>
      </c>
      <c r="W169" s="65" t="str">
        <f>IFERROR(VLOOKUP(TableHandbook[[#This Row],[UDC]],TableMJRULITCU[],7,FALSE),"")</f>
        <v/>
      </c>
      <c r="X169" s="65" t="str">
        <f>IFERROR(VLOOKUP(TableHandbook[[#This Row],[UDC]],TableMJRUNETCM[],7,FALSE),"")</f>
        <v/>
      </c>
      <c r="Y169" s="65" t="str">
        <f>IFERROR(VLOOKUP(TableHandbook[[#This Row],[UDC]],TableMJRUPRWRP[],7,FALSE),"")</f>
        <v/>
      </c>
      <c r="Z169" s="66" t="str">
        <f>IFERROR(VLOOKUP(TableHandbook[[#This Row],[UDC]],TableMJRUSCSTR[],7,FALSE),"")</f>
        <v/>
      </c>
      <c r="AA169" s="74"/>
      <c r="AB169" s="66" t="str">
        <f>IFERROR(VLOOKUP(TableHandbook[[#This Row],[UDC]],TableMJRUBSLAW[],7,FALSE),"")</f>
        <v/>
      </c>
      <c r="AC169" s="66" t="str">
        <f>IFERROR(VLOOKUP(TableHandbook[[#This Row],[UDC]],TableMJRUECONS[],7,FALSE),"")</f>
        <v/>
      </c>
      <c r="AD169" s="66" t="str">
        <f>IFERROR(VLOOKUP(TableHandbook[[#This Row],[UDC]],TableMJRUFINAR[],7,FALSE),"")</f>
        <v/>
      </c>
      <c r="AE169" s="66" t="str">
        <f>IFERROR(VLOOKUP(TableHandbook[[#This Row],[UDC]],TableMJRUFINCE[],7,FALSE),"")</f>
        <v/>
      </c>
      <c r="AF169" s="66" t="str">
        <f>IFERROR(VLOOKUP(TableHandbook[[#This Row],[UDC]],TableMJRUHRMGM[],7,FALSE),"")</f>
        <v/>
      </c>
      <c r="AG169" s="66" t="str">
        <f>IFERROR(VLOOKUP(TableHandbook[[#This Row],[UDC]],TableMJRUINTBU[],7,FALSE),"")</f>
        <v>Core</v>
      </c>
      <c r="AH169" s="66" t="str">
        <f>IFERROR(VLOOKUP(TableHandbook[[#This Row],[UDC]],TableMJRULGSCM[],7,FALSE),"")</f>
        <v/>
      </c>
      <c r="AI169" s="66" t="str">
        <f>IFERROR(VLOOKUP(TableHandbook[[#This Row],[UDC]],TableMJRUMNGMT[],7,FALSE),"")</f>
        <v>Core</v>
      </c>
      <c r="AJ169" s="66" t="str">
        <f>IFERROR(VLOOKUP(TableHandbook[[#This Row],[UDC]],TableMJRUMRKTG[],7,FALSE),"")</f>
        <v/>
      </c>
      <c r="AK169" s="66" t="str">
        <f>IFERROR(VLOOKUP(TableHandbook[[#This Row],[UDC]],TableMJRUPRPTY[],7,FALSE),"")</f>
        <v/>
      </c>
      <c r="AL169" s="66" t="str">
        <f>IFERROR(VLOOKUP(TableHandbook[[#This Row],[UDC]],TableMJRUSCRAR[],7,FALSE),"")</f>
        <v/>
      </c>
      <c r="AM169" s="66" t="str">
        <f>IFERROR(VLOOKUP(TableHandbook[[#This Row],[UDC]],TableMJRUTHTRA[],7,FALSE),"")</f>
        <v/>
      </c>
      <c r="AN169" s="66" t="str">
        <f>IFERROR(VLOOKUP(TableHandbook[[#This Row],[UDC]],TableMJRUTRHOS[],7,FALSE),"")</f>
        <v/>
      </c>
    </row>
    <row r="170" spans="1:40" x14ac:dyDescent="0.25">
      <c r="A170" s="8" t="s">
        <v>440</v>
      </c>
      <c r="B170" s="9">
        <v>1</v>
      </c>
      <c r="C170" s="8"/>
      <c r="D170" s="8" t="s">
        <v>707</v>
      </c>
      <c r="E170" s="9">
        <v>25</v>
      </c>
      <c r="F170" s="49" t="s">
        <v>708</v>
      </c>
      <c r="G170" s="67" t="str">
        <f>IFERROR(IF(VLOOKUP(TableHandbook[[#This Row],[UDC]],TableAvailabilities[],2,FALSE)&gt;0,"Y",""),"")</f>
        <v>Y</v>
      </c>
      <c r="H170" s="68" t="str">
        <f>IFERROR(IF(VLOOKUP(TableHandbook[[#This Row],[UDC]],TableAvailabilities[],3,FALSE)&gt;0,"Y",""),"")</f>
        <v>Y</v>
      </c>
      <c r="I170" s="69" t="str">
        <f>IFERROR(IF(VLOOKUP(TableHandbook[[#This Row],[UDC]],TableAvailabilities[],4,FALSE)&gt;0,"Y",""),"")</f>
        <v>Y</v>
      </c>
      <c r="J170" s="70" t="str">
        <f>IFERROR(IF(VLOOKUP(TableHandbook[[#This Row],[UDC]],TableAvailabilities[],5,FALSE)&gt;0,"Y",""),"")</f>
        <v>Y</v>
      </c>
      <c r="K170" s="163"/>
      <c r="L170" s="64" t="str">
        <f>IFERROR(VLOOKUP(TableHandbook[[#This Row],[UDC]],TableBARTS[],7,FALSE),"")</f>
        <v/>
      </c>
      <c r="M170" s="65" t="str">
        <f>IFERROR(VLOOKUP(TableHandbook[[#This Row],[UDC]],TableMJRUANTSO[],7,FALSE),"")</f>
        <v/>
      </c>
      <c r="N170" s="65" t="str">
        <f>IFERROR(VLOOKUP(TableHandbook[[#This Row],[UDC]],TableMJRUCHNSE[],7,FALSE),"")</f>
        <v/>
      </c>
      <c r="O170" s="65" t="str">
        <f>IFERROR(VLOOKUP(TableHandbook[[#This Row],[UDC]],TableMJRUCRWRI[],7,FALSE),"")</f>
        <v/>
      </c>
      <c r="P170" s="65" t="str">
        <f>IFERROR(VLOOKUP(TableHandbook[[#This Row],[UDC]],TableMJRUGEOGR[],7,FALSE),"")</f>
        <v/>
      </c>
      <c r="Q170" s="65" t="str">
        <f>IFERROR(VLOOKUP(TableHandbook[[#This Row],[UDC]],TableMJRUHISTR[],7,FALSE),"")</f>
        <v/>
      </c>
      <c r="R170" s="65" t="str">
        <f>IFERROR(VLOOKUP(TableHandbook[[#This Row],[UDC]],TableMJRUINAUC[],7,FALSE),"")</f>
        <v/>
      </c>
      <c r="S170" s="65" t="str">
        <f>IFERROR(VLOOKUP(TableHandbook[[#This Row],[UDC]],TableMJRUINTRL[],7,FALSE),"")</f>
        <v/>
      </c>
      <c r="T170" s="65" t="str">
        <f>IFERROR(VLOOKUP(TableHandbook[[#This Row],[UDC]],TableMJRUJAPAN[],7,FALSE),"")</f>
        <v/>
      </c>
      <c r="U170" s="65" t="str">
        <f>IFERROR(VLOOKUP(TableHandbook[[#This Row],[UDC]],TableMJRUJOURN[],7,FALSE),"")</f>
        <v/>
      </c>
      <c r="V170" s="65" t="str">
        <f>IFERROR(VLOOKUP(TableHandbook[[#This Row],[UDC]],TableMJRUKORES[],7,FALSE),"")</f>
        <v/>
      </c>
      <c r="W170" s="65" t="str">
        <f>IFERROR(VLOOKUP(TableHandbook[[#This Row],[UDC]],TableMJRULITCU[],7,FALSE),"")</f>
        <v/>
      </c>
      <c r="X170" s="65" t="str">
        <f>IFERROR(VLOOKUP(TableHandbook[[#This Row],[UDC]],TableMJRUNETCM[],7,FALSE),"")</f>
        <v/>
      </c>
      <c r="Y170" s="65" t="str">
        <f>IFERROR(VLOOKUP(TableHandbook[[#This Row],[UDC]],TableMJRUPRWRP[],7,FALSE),"")</f>
        <v/>
      </c>
      <c r="Z170" s="66" t="str">
        <f>IFERROR(VLOOKUP(TableHandbook[[#This Row],[UDC]],TableMJRUSCSTR[],7,FALSE),"")</f>
        <v/>
      </c>
      <c r="AA170" s="74"/>
      <c r="AB170" s="66" t="str">
        <f>IFERROR(VLOOKUP(TableHandbook[[#This Row],[UDC]],TableMJRUBSLAW[],7,FALSE),"")</f>
        <v/>
      </c>
      <c r="AC170" s="66" t="str">
        <f>IFERROR(VLOOKUP(TableHandbook[[#This Row],[UDC]],TableMJRUECONS[],7,FALSE),"")</f>
        <v/>
      </c>
      <c r="AD170" s="66" t="str">
        <f>IFERROR(VLOOKUP(TableHandbook[[#This Row],[UDC]],TableMJRUFINAR[],7,FALSE),"")</f>
        <v/>
      </c>
      <c r="AE170" s="66" t="str">
        <f>IFERROR(VLOOKUP(TableHandbook[[#This Row],[UDC]],TableMJRUFINCE[],7,FALSE),"")</f>
        <v/>
      </c>
      <c r="AF170" s="66" t="str">
        <f>IFERROR(VLOOKUP(TableHandbook[[#This Row],[UDC]],TableMJRUHRMGM[],7,FALSE),"")</f>
        <v>Core</v>
      </c>
      <c r="AG170" s="66" t="str">
        <f>IFERROR(VLOOKUP(TableHandbook[[#This Row],[UDC]],TableMJRUINTBU[],7,FALSE),"")</f>
        <v/>
      </c>
      <c r="AH170" s="66" t="str">
        <f>IFERROR(VLOOKUP(TableHandbook[[#This Row],[UDC]],TableMJRULGSCM[],7,FALSE),"")</f>
        <v/>
      </c>
      <c r="AI170" s="66" t="str">
        <f>IFERROR(VLOOKUP(TableHandbook[[#This Row],[UDC]],TableMJRUMNGMT[],7,FALSE),"")</f>
        <v>Core</v>
      </c>
      <c r="AJ170" s="66" t="str">
        <f>IFERROR(VLOOKUP(TableHandbook[[#This Row],[UDC]],TableMJRUMRKTG[],7,FALSE),"")</f>
        <v/>
      </c>
      <c r="AK170" s="66" t="str">
        <f>IFERROR(VLOOKUP(TableHandbook[[#This Row],[UDC]],TableMJRUPRPTY[],7,FALSE),"")</f>
        <v/>
      </c>
      <c r="AL170" s="66" t="str">
        <f>IFERROR(VLOOKUP(TableHandbook[[#This Row],[UDC]],TableMJRUSCRAR[],7,FALSE),"")</f>
        <v/>
      </c>
      <c r="AM170" s="66" t="str">
        <f>IFERROR(VLOOKUP(TableHandbook[[#This Row],[UDC]],TableMJRUTHTRA[],7,FALSE),"")</f>
        <v/>
      </c>
      <c r="AN170" s="66" t="str">
        <f>IFERROR(VLOOKUP(TableHandbook[[#This Row],[UDC]],TableMJRUTRHOS[],7,FALSE),"")</f>
        <v/>
      </c>
    </row>
    <row r="171" spans="1:40" x14ac:dyDescent="0.25">
      <c r="A171" s="8" t="s">
        <v>425</v>
      </c>
      <c r="B171" s="9">
        <v>2</v>
      </c>
      <c r="C171" s="8"/>
      <c r="D171" s="8" t="s">
        <v>709</v>
      </c>
      <c r="E171" s="9">
        <v>25</v>
      </c>
      <c r="F171" s="49" t="s">
        <v>543</v>
      </c>
      <c r="G171" s="67" t="str">
        <f>IFERROR(IF(VLOOKUP(TableHandbook[[#This Row],[UDC]],TableAvailabilities[],2,FALSE)&gt;0,"Y",""),"")</f>
        <v>Y</v>
      </c>
      <c r="H171" s="68" t="str">
        <f>IFERROR(IF(VLOOKUP(TableHandbook[[#This Row],[UDC]],TableAvailabilities[],3,FALSE)&gt;0,"Y",""),"")</f>
        <v>Y</v>
      </c>
      <c r="I171" s="69" t="str">
        <f>IFERROR(IF(VLOOKUP(TableHandbook[[#This Row],[UDC]],TableAvailabilities[],4,FALSE)&gt;0,"Y",""),"")</f>
        <v>Y</v>
      </c>
      <c r="J171" s="70" t="str">
        <f>IFERROR(IF(VLOOKUP(TableHandbook[[#This Row],[UDC]],TableAvailabilities[],5,FALSE)&gt;0,"Y",""),"")</f>
        <v>Y</v>
      </c>
      <c r="K171" s="163" t="s">
        <v>533</v>
      </c>
      <c r="L171" s="64" t="str">
        <f>IFERROR(VLOOKUP(TableHandbook[[#This Row],[UDC]],TableBARTS[],7,FALSE),"")</f>
        <v/>
      </c>
      <c r="M171" s="65" t="str">
        <f>IFERROR(VLOOKUP(TableHandbook[[#This Row],[UDC]],TableMJRUANTSO[],7,FALSE),"")</f>
        <v/>
      </c>
      <c r="N171" s="65" t="str">
        <f>IFERROR(VLOOKUP(TableHandbook[[#This Row],[UDC]],TableMJRUCHNSE[],7,FALSE),"")</f>
        <v/>
      </c>
      <c r="O171" s="65" t="str">
        <f>IFERROR(VLOOKUP(TableHandbook[[#This Row],[UDC]],TableMJRUCRWRI[],7,FALSE),"")</f>
        <v/>
      </c>
      <c r="P171" s="65" t="str">
        <f>IFERROR(VLOOKUP(TableHandbook[[#This Row],[UDC]],TableMJRUGEOGR[],7,FALSE),"")</f>
        <v/>
      </c>
      <c r="Q171" s="65" t="str">
        <f>IFERROR(VLOOKUP(TableHandbook[[#This Row],[UDC]],TableMJRUHISTR[],7,FALSE),"")</f>
        <v/>
      </c>
      <c r="R171" s="65" t="str">
        <f>IFERROR(VLOOKUP(TableHandbook[[#This Row],[UDC]],TableMJRUINAUC[],7,FALSE),"")</f>
        <v/>
      </c>
      <c r="S171" s="65" t="str">
        <f>IFERROR(VLOOKUP(TableHandbook[[#This Row],[UDC]],TableMJRUINTRL[],7,FALSE),"")</f>
        <v/>
      </c>
      <c r="T171" s="65" t="str">
        <f>IFERROR(VLOOKUP(TableHandbook[[#This Row],[UDC]],TableMJRUJAPAN[],7,FALSE),"")</f>
        <v/>
      </c>
      <c r="U171" s="65" t="str">
        <f>IFERROR(VLOOKUP(TableHandbook[[#This Row],[UDC]],TableMJRUJOURN[],7,FALSE),"")</f>
        <v/>
      </c>
      <c r="V171" s="65" t="str">
        <f>IFERROR(VLOOKUP(TableHandbook[[#This Row],[UDC]],TableMJRUKORES[],7,FALSE),"")</f>
        <v/>
      </c>
      <c r="W171" s="65" t="str">
        <f>IFERROR(VLOOKUP(TableHandbook[[#This Row],[UDC]],TableMJRULITCU[],7,FALSE),"")</f>
        <v/>
      </c>
      <c r="X171" s="65" t="str">
        <f>IFERROR(VLOOKUP(TableHandbook[[#This Row],[UDC]],TableMJRUNETCM[],7,FALSE),"")</f>
        <v/>
      </c>
      <c r="Y171" s="65" t="str">
        <f>IFERROR(VLOOKUP(TableHandbook[[#This Row],[UDC]],TableMJRUPRWRP[],7,FALSE),"")</f>
        <v/>
      </c>
      <c r="Z171" s="66" t="str">
        <f>IFERROR(VLOOKUP(TableHandbook[[#This Row],[UDC]],TableMJRUSCSTR[],7,FALSE),"")</f>
        <v/>
      </c>
      <c r="AA171" s="74"/>
      <c r="AB171" s="66" t="str">
        <f>IFERROR(VLOOKUP(TableHandbook[[#This Row],[UDC]],TableMJRUBSLAW[],7,FALSE),"")</f>
        <v/>
      </c>
      <c r="AC171" s="66" t="str">
        <f>IFERROR(VLOOKUP(TableHandbook[[#This Row],[UDC]],TableMJRUECONS[],7,FALSE),"")</f>
        <v/>
      </c>
      <c r="AD171" s="66" t="str">
        <f>IFERROR(VLOOKUP(TableHandbook[[#This Row],[UDC]],TableMJRUFINAR[],7,FALSE),"")</f>
        <v/>
      </c>
      <c r="AE171" s="66" t="str">
        <f>IFERROR(VLOOKUP(TableHandbook[[#This Row],[UDC]],TableMJRUFINCE[],7,FALSE),"")</f>
        <v/>
      </c>
      <c r="AF171" s="66" t="str">
        <f>IFERROR(VLOOKUP(TableHandbook[[#This Row],[UDC]],TableMJRUHRMGM[],7,FALSE),"")</f>
        <v/>
      </c>
      <c r="AG171" s="66" t="str">
        <f>IFERROR(VLOOKUP(TableHandbook[[#This Row],[UDC]],TableMJRUINTBU[],7,FALSE),"")</f>
        <v/>
      </c>
      <c r="AH171" s="66" t="str">
        <f>IFERROR(VLOOKUP(TableHandbook[[#This Row],[UDC]],TableMJRULGSCM[],7,FALSE),"")</f>
        <v/>
      </c>
      <c r="AI171" s="66" t="str">
        <f>IFERROR(VLOOKUP(TableHandbook[[#This Row],[UDC]],TableMJRUMNGMT[],7,FALSE),"")</f>
        <v>Core</v>
      </c>
      <c r="AJ171" s="66" t="str">
        <f>IFERROR(VLOOKUP(TableHandbook[[#This Row],[UDC]],TableMJRUMRKTG[],7,FALSE),"")</f>
        <v/>
      </c>
      <c r="AK171" s="66" t="str">
        <f>IFERROR(VLOOKUP(TableHandbook[[#This Row],[UDC]],TableMJRUPRPTY[],7,FALSE),"")</f>
        <v/>
      </c>
      <c r="AL171" s="66" t="str">
        <f>IFERROR(VLOOKUP(TableHandbook[[#This Row],[UDC]],TableMJRUSCRAR[],7,FALSE),"")</f>
        <v/>
      </c>
      <c r="AM171" s="66" t="str">
        <f>IFERROR(VLOOKUP(TableHandbook[[#This Row],[UDC]],TableMJRUTHTRA[],7,FALSE),"")</f>
        <v/>
      </c>
      <c r="AN171" s="66" t="str">
        <f>IFERROR(VLOOKUP(TableHandbook[[#This Row],[UDC]],TableMJRUTRHOS[],7,FALSE),"")</f>
        <v/>
      </c>
    </row>
    <row r="172" spans="1:40" x14ac:dyDescent="0.25">
      <c r="A172" s="8" t="s">
        <v>710</v>
      </c>
      <c r="B172" s="9">
        <v>1</v>
      </c>
      <c r="C172" s="8"/>
      <c r="D172" s="8" t="s">
        <v>709</v>
      </c>
      <c r="E172" s="9">
        <v>25</v>
      </c>
      <c r="F172" s="49" t="s">
        <v>543</v>
      </c>
      <c r="G172" s="67" t="str">
        <f>IFERROR(IF(VLOOKUP(TableHandbook[[#This Row],[UDC]],TableAvailabilities[],2,FALSE)&gt;0,"Y",""),"")</f>
        <v/>
      </c>
      <c r="H172" s="68" t="str">
        <f>IFERROR(IF(VLOOKUP(TableHandbook[[#This Row],[UDC]],TableAvailabilities[],3,FALSE)&gt;0,"Y",""),"")</f>
        <v/>
      </c>
      <c r="I172" s="69" t="str">
        <f>IFERROR(IF(VLOOKUP(TableHandbook[[#This Row],[UDC]],TableAvailabilities[],4,FALSE)&gt;0,"Y",""),"")</f>
        <v/>
      </c>
      <c r="J172" s="70" t="str">
        <f>IFERROR(IF(VLOOKUP(TableHandbook[[#This Row],[UDC]],TableAvailabilities[],5,FALSE)&gt;0,"Y",""),"")</f>
        <v/>
      </c>
      <c r="K172" s="163" t="s">
        <v>535</v>
      </c>
      <c r="L172" s="64" t="str">
        <f>IFERROR(VLOOKUP(TableHandbook[[#This Row],[UDC]],TableBARTS[],7,FALSE),"")</f>
        <v/>
      </c>
      <c r="M172" s="65" t="str">
        <f>IFERROR(VLOOKUP(TableHandbook[[#This Row],[UDC]],TableMJRUANTSO[],7,FALSE),"")</f>
        <v/>
      </c>
      <c r="N172" s="65" t="str">
        <f>IFERROR(VLOOKUP(TableHandbook[[#This Row],[UDC]],TableMJRUCHNSE[],7,FALSE),"")</f>
        <v/>
      </c>
      <c r="O172" s="65" t="str">
        <f>IFERROR(VLOOKUP(TableHandbook[[#This Row],[UDC]],TableMJRUCRWRI[],7,FALSE),"")</f>
        <v/>
      </c>
      <c r="P172" s="65" t="str">
        <f>IFERROR(VLOOKUP(TableHandbook[[#This Row],[UDC]],TableMJRUGEOGR[],7,FALSE),"")</f>
        <v/>
      </c>
      <c r="Q172" s="65" t="str">
        <f>IFERROR(VLOOKUP(TableHandbook[[#This Row],[UDC]],TableMJRUHISTR[],7,FALSE),"")</f>
        <v/>
      </c>
      <c r="R172" s="65" t="str">
        <f>IFERROR(VLOOKUP(TableHandbook[[#This Row],[UDC]],TableMJRUINAUC[],7,FALSE),"")</f>
        <v/>
      </c>
      <c r="S172" s="65" t="str">
        <f>IFERROR(VLOOKUP(TableHandbook[[#This Row],[UDC]],TableMJRUINTRL[],7,FALSE),"")</f>
        <v/>
      </c>
      <c r="T172" s="65" t="str">
        <f>IFERROR(VLOOKUP(TableHandbook[[#This Row],[UDC]],TableMJRUJAPAN[],7,FALSE),"")</f>
        <v/>
      </c>
      <c r="U172" s="65" t="str">
        <f>IFERROR(VLOOKUP(TableHandbook[[#This Row],[UDC]],TableMJRUJOURN[],7,FALSE),"")</f>
        <v/>
      </c>
      <c r="V172" s="65" t="str">
        <f>IFERROR(VLOOKUP(TableHandbook[[#This Row],[UDC]],TableMJRUKORES[],7,FALSE),"")</f>
        <v/>
      </c>
      <c r="W172" s="65" t="str">
        <f>IFERROR(VLOOKUP(TableHandbook[[#This Row],[UDC]],TableMJRULITCU[],7,FALSE),"")</f>
        <v/>
      </c>
      <c r="X172" s="65" t="str">
        <f>IFERROR(VLOOKUP(TableHandbook[[#This Row],[UDC]],TableMJRUNETCM[],7,FALSE),"")</f>
        <v/>
      </c>
      <c r="Y172" s="65" t="str">
        <f>IFERROR(VLOOKUP(TableHandbook[[#This Row],[UDC]],TableMJRUPRWRP[],7,FALSE),"")</f>
        <v/>
      </c>
      <c r="Z172" s="66" t="str">
        <f>IFERROR(VLOOKUP(TableHandbook[[#This Row],[UDC]],TableMJRUSCSTR[],7,FALSE),"")</f>
        <v/>
      </c>
      <c r="AA172" s="74"/>
      <c r="AB172" s="66" t="str">
        <f>IFERROR(VLOOKUP(TableHandbook[[#This Row],[UDC]],TableMJRUBSLAW[],7,FALSE),"")</f>
        <v/>
      </c>
      <c r="AC172" s="66" t="str">
        <f>IFERROR(VLOOKUP(TableHandbook[[#This Row],[UDC]],TableMJRUECONS[],7,FALSE),"")</f>
        <v/>
      </c>
      <c r="AD172" s="66" t="str">
        <f>IFERROR(VLOOKUP(TableHandbook[[#This Row],[UDC]],TableMJRUFINAR[],7,FALSE),"")</f>
        <v/>
      </c>
      <c r="AE172" s="66" t="str">
        <f>IFERROR(VLOOKUP(TableHandbook[[#This Row],[UDC]],TableMJRUFINCE[],7,FALSE),"")</f>
        <v/>
      </c>
      <c r="AF172" s="66" t="str">
        <f>IFERROR(VLOOKUP(TableHandbook[[#This Row],[UDC]],TableMJRUHRMGM[],7,FALSE),"")</f>
        <v/>
      </c>
      <c r="AG172" s="66" t="str">
        <f>IFERROR(VLOOKUP(TableHandbook[[#This Row],[UDC]],TableMJRUINTBU[],7,FALSE),"")</f>
        <v/>
      </c>
      <c r="AH172" s="66" t="str">
        <f>IFERROR(VLOOKUP(TableHandbook[[#This Row],[UDC]],TableMJRULGSCM[],7,FALSE),"")</f>
        <v/>
      </c>
      <c r="AI172" s="66" t="str">
        <f>IFERROR(VLOOKUP(TableHandbook[[#This Row],[UDC]],TableMJRUMNGMT[],7,FALSE),"")</f>
        <v/>
      </c>
      <c r="AJ172" s="66" t="str">
        <f>IFERROR(VLOOKUP(TableHandbook[[#This Row],[UDC]],TableMJRUMRKTG[],7,FALSE),"")</f>
        <v/>
      </c>
      <c r="AK172" s="66" t="str">
        <f>IFERROR(VLOOKUP(TableHandbook[[#This Row],[UDC]],TableMJRUPRPTY[],7,FALSE),"")</f>
        <v/>
      </c>
      <c r="AL172" s="66" t="str">
        <f>IFERROR(VLOOKUP(TableHandbook[[#This Row],[UDC]],TableMJRUSCRAR[],7,FALSE),"")</f>
        <v/>
      </c>
      <c r="AM172" s="66" t="str">
        <f>IFERROR(VLOOKUP(TableHandbook[[#This Row],[UDC]],TableMJRUTHTRA[],7,FALSE),"")</f>
        <v/>
      </c>
      <c r="AN172" s="66" t="str">
        <f>IFERROR(VLOOKUP(TableHandbook[[#This Row],[UDC]],TableMJRUTRHOS[],7,FALSE),"")</f>
        <v/>
      </c>
    </row>
    <row r="173" spans="1:40" x14ac:dyDescent="0.25">
      <c r="A173" s="8" t="s">
        <v>451</v>
      </c>
      <c r="B173" s="9">
        <v>1</v>
      </c>
      <c r="C173" s="8"/>
      <c r="D173" s="8" t="s">
        <v>711</v>
      </c>
      <c r="E173" s="9">
        <v>25</v>
      </c>
      <c r="F173" s="49" t="s">
        <v>681</v>
      </c>
      <c r="G173" s="67" t="str">
        <f>IFERROR(IF(VLOOKUP(TableHandbook[[#This Row],[UDC]],TableAvailabilities[],2,FALSE)&gt;0,"Y",""),"")</f>
        <v>Y</v>
      </c>
      <c r="H173" s="68" t="str">
        <f>IFERROR(IF(VLOOKUP(TableHandbook[[#This Row],[UDC]],TableAvailabilities[],3,FALSE)&gt;0,"Y",""),"")</f>
        <v>Y</v>
      </c>
      <c r="I173" s="69" t="str">
        <f>IFERROR(IF(VLOOKUP(TableHandbook[[#This Row],[UDC]],TableAvailabilities[],4,FALSE)&gt;0,"Y",""),"")</f>
        <v>Y</v>
      </c>
      <c r="J173" s="70" t="str">
        <f>IFERROR(IF(VLOOKUP(TableHandbook[[#This Row],[UDC]],TableAvailabilities[],5,FALSE)&gt;0,"Y",""),"")</f>
        <v>Y</v>
      </c>
      <c r="K173" s="163"/>
      <c r="L173" s="64" t="str">
        <f>IFERROR(VLOOKUP(TableHandbook[[#This Row],[UDC]],TableBARTS[],7,FALSE),"")</f>
        <v/>
      </c>
      <c r="M173" s="65" t="str">
        <f>IFERROR(VLOOKUP(TableHandbook[[#This Row],[UDC]],TableMJRUANTSO[],7,FALSE),"")</f>
        <v/>
      </c>
      <c r="N173" s="65" t="str">
        <f>IFERROR(VLOOKUP(TableHandbook[[#This Row],[UDC]],TableMJRUCHNSE[],7,FALSE),"")</f>
        <v/>
      </c>
      <c r="O173" s="65" t="str">
        <f>IFERROR(VLOOKUP(TableHandbook[[#This Row],[UDC]],TableMJRUCRWRI[],7,FALSE),"")</f>
        <v/>
      </c>
      <c r="P173" s="65" t="str">
        <f>IFERROR(VLOOKUP(TableHandbook[[#This Row],[UDC]],TableMJRUGEOGR[],7,FALSE),"")</f>
        <v/>
      </c>
      <c r="Q173" s="65" t="str">
        <f>IFERROR(VLOOKUP(TableHandbook[[#This Row],[UDC]],TableMJRUHISTR[],7,FALSE),"")</f>
        <v/>
      </c>
      <c r="R173" s="65" t="str">
        <f>IFERROR(VLOOKUP(TableHandbook[[#This Row],[UDC]],TableMJRUINAUC[],7,FALSE),"")</f>
        <v/>
      </c>
      <c r="S173" s="65" t="str">
        <f>IFERROR(VLOOKUP(TableHandbook[[#This Row],[UDC]],TableMJRUINTRL[],7,FALSE),"")</f>
        <v/>
      </c>
      <c r="T173" s="65" t="str">
        <f>IFERROR(VLOOKUP(TableHandbook[[#This Row],[UDC]],TableMJRUJAPAN[],7,FALSE),"")</f>
        <v/>
      </c>
      <c r="U173" s="65" t="str">
        <f>IFERROR(VLOOKUP(TableHandbook[[#This Row],[UDC]],TableMJRUJOURN[],7,FALSE),"")</f>
        <v/>
      </c>
      <c r="V173" s="65" t="str">
        <f>IFERROR(VLOOKUP(TableHandbook[[#This Row],[UDC]],TableMJRUKORES[],7,FALSE),"")</f>
        <v/>
      </c>
      <c r="W173" s="65" t="str">
        <f>IFERROR(VLOOKUP(TableHandbook[[#This Row],[UDC]],TableMJRULITCU[],7,FALSE),"")</f>
        <v/>
      </c>
      <c r="X173" s="65" t="str">
        <f>IFERROR(VLOOKUP(TableHandbook[[#This Row],[UDC]],TableMJRUNETCM[],7,FALSE),"")</f>
        <v/>
      </c>
      <c r="Y173" s="65" t="str">
        <f>IFERROR(VLOOKUP(TableHandbook[[#This Row],[UDC]],TableMJRUPRWRP[],7,FALSE),"")</f>
        <v/>
      </c>
      <c r="Z173" s="66" t="str">
        <f>IFERROR(VLOOKUP(TableHandbook[[#This Row],[UDC]],TableMJRUSCSTR[],7,FALSE),"")</f>
        <v/>
      </c>
      <c r="AA173" s="74"/>
      <c r="AB173" s="66" t="str">
        <f>IFERROR(VLOOKUP(TableHandbook[[#This Row],[UDC]],TableMJRUBSLAW[],7,FALSE),"")</f>
        <v/>
      </c>
      <c r="AC173" s="66" t="str">
        <f>IFERROR(VLOOKUP(TableHandbook[[#This Row],[UDC]],TableMJRUECONS[],7,FALSE),"")</f>
        <v/>
      </c>
      <c r="AD173" s="66" t="str">
        <f>IFERROR(VLOOKUP(TableHandbook[[#This Row],[UDC]],TableMJRUFINAR[],7,FALSE),"")</f>
        <v/>
      </c>
      <c r="AE173" s="66" t="str">
        <f>IFERROR(VLOOKUP(TableHandbook[[#This Row],[UDC]],TableMJRUFINCE[],7,FALSE),"")</f>
        <v/>
      </c>
      <c r="AF173" s="66" t="str">
        <f>IFERROR(VLOOKUP(TableHandbook[[#This Row],[UDC]],TableMJRUHRMGM[],7,FALSE),"")</f>
        <v/>
      </c>
      <c r="AG173" s="66" t="str">
        <f>IFERROR(VLOOKUP(TableHandbook[[#This Row],[UDC]],TableMJRUINTBU[],7,FALSE),"")</f>
        <v/>
      </c>
      <c r="AH173" s="66" t="str">
        <f>IFERROR(VLOOKUP(TableHandbook[[#This Row],[UDC]],TableMJRULGSCM[],7,FALSE),"")</f>
        <v/>
      </c>
      <c r="AI173" s="66" t="str">
        <f>IFERROR(VLOOKUP(TableHandbook[[#This Row],[UDC]],TableMJRUMNGMT[],7,FALSE),"")</f>
        <v>Core</v>
      </c>
      <c r="AJ173" s="66" t="str">
        <f>IFERROR(VLOOKUP(TableHandbook[[#This Row],[UDC]],TableMJRUMRKTG[],7,FALSE),"")</f>
        <v/>
      </c>
      <c r="AK173" s="66" t="str">
        <f>IFERROR(VLOOKUP(TableHandbook[[#This Row],[UDC]],TableMJRUPRPTY[],7,FALSE),"")</f>
        <v/>
      </c>
      <c r="AL173" s="66" t="str">
        <f>IFERROR(VLOOKUP(TableHandbook[[#This Row],[UDC]],TableMJRUSCRAR[],7,FALSE),"")</f>
        <v/>
      </c>
      <c r="AM173" s="66" t="str">
        <f>IFERROR(VLOOKUP(TableHandbook[[#This Row],[UDC]],TableMJRUTHTRA[],7,FALSE),"")</f>
        <v/>
      </c>
      <c r="AN173" s="66" t="str">
        <f>IFERROR(VLOOKUP(TableHandbook[[#This Row],[UDC]],TableMJRUTRHOS[],7,FALSE),"")</f>
        <v/>
      </c>
    </row>
    <row r="174" spans="1:40" x14ac:dyDescent="0.25">
      <c r="A174" s="8" t="s">
        <v>465</v>
      </c>
      <c r="B174" s="9">
        <v>1</v>
      </c>
      <c r="C174" s="8"/>
      <c r="D174" s="8" t="s">
        <v>712</v>
      </c>
      <c r="E174" s="9">
        <v>25</v>
      </c>
      <c r="F174" s="49" t="s">
        <v>708</v>
      </c>
      <c r="G174" s="67" t="str">
        <f>IFERROR(IF(VLOOKUP(TableHandbook[[#This Row],[UDC]],TableAvailabilities[],2,FALSE)&gt;0,"Y",""),"")</f>
        <v>Y</v>
      </c>
      <c r="H174" s="68" t="str">
        <f>IFERROR(IF(VLOOKUP(TableHandbook[[#This Row],[UDC]],TableAvailabilities[],3,FALSE)&gt;0,"Y",""),"")</f>
        <v>Y</v>
      </c>
      <c r="I174" s="69" t="str">
        <f>IFERROR(IF(VLOOKUP(TableHandbook[[#This Row],[UDC]],TableAvailabilities[],4,FALSE)&gt;0,"Y",""),"")</f>
        <v/>
      </c>
      <c r="J174" s="70" t="str">
        <f>IFERROR(IF(VLOOKUP(TableHandbook[[#This Row],[UDC]],TableAvailabilities[],5,FALSE)&gt;0,"Y",""),"")</f>
        <v/>
      </c>
      <c r="K174" s="163"/>
      <c r="L174" s="64" t="str">
        <f>IFERROR(VLOOKUP(TableHandbook[[#This Row],[UDC]],TableBARTS[],7,FALSE),"")</f>
        <v/>
      </c>
      <c r="M174" s="65" t="str">
        <f>IFERROR(VLOOKUP(TableHandbook[[#This Row],[UDC]],TableMJRUANTSO[],7,FALSE),"")</f>
        <v/>
      </c>
      <c r="N174" s="65" t="str">
        <f>IFERROR(VLOOKUP(TableHandbook[[#This Row],[UDC]],TableMJRUCHNSE[],7,FALSE),"")</f>
        <v/>
      </c>
      <c r="O174" s="65" t="str">
        <f>IFERROR(VLOOKUP(TableHandbook[[#This Row],[UDC]],TableMJRUCRWRI[],7,FALSE),"")</f>
        <v/>
      </c>
      <c r="P174" s="65" t="str">
        <f>IFERROR(VLOOKUP(TableHandbook[[#This Row],[UDC]],TableMJRUGEOGR[],7,FALSE),"")</f>
        <v/>
      </c>
      <c r="Q174" s="65" t="str">
        <f>IFERROR(VLOOKUP(TableHandbook[[#This Row],[UDC]],TableMJRUHISTR[],7,FALSE),"")</f>
        <v/>
      </c>
      <c r="R174" s="65" t="str">
        <f>IFERROR(VLOOKUP(TableHandbook[[#This Row],[UDC]],TableMJRUINAUC[],7,FALSE),"")</f>
        <v/>
      </c>
      <c r="S174" s="65" t="str">
        <f>IFERROR(VLOOKUP(TableHandbook[[#This Row],[UDC]],TableMJRUINTRL[],7,FALSE),"")</f>
        <v/>
      </c>
      <c r="T174" s="65" t="str">
        <f>IFERROR(VLOOKUP(TableHandbook[[#This Row],[UDC]],TableMJRUJAPAN[],7,FALSE),"")</f>
        <v/>
      </c>
      <c r="U174" s="65" t="str">
        <f>IFERROR(VLOOKUP(TableHandbook[[#This Row],[UDC]],TableMJRUJOURN[],7,FALSE),"")</f>
        <v/>
      </c>
      <c r="V174" s="65" t="str">
        <f>IFERROR(VLOOKUP(TableHandbook[[#This Row],[UDC]],TableMJRUKORES[],7,FALSE),"")</f>
        <v/>
      </c>
      <c r="W174" s="65" t="str">
        <f>IFERROR(VLOOKUP(TableHandbook[[#This Row],[UDC]],TableMJRULITCU[],7,FALSE),"")</f>
        <v/>
      </c>
      <c r="X174" s="65" t="str">
        <f>IFERROR(VLOOKUP(TableHandbook[[#This Row],[UDC]],TableMJRUNETCM[],7,FALSE),"")</f>
        <v/>
      </c>
      <c r="Y174" s="65" t="str">
        <f>IFERROR(VLOOKUP(TableHandbook[[#This Row],[UDC]],TableMJRUPRWRP[],7,FALSE),"")</f>
        <v/>
      </c>
      <c r="Z174" s="66" t="str">
        <f>IFERROR(VLOOKUP(TableHandbook[[#This Row],[UDC]],TableMJRUSCSTR[],7,FALSE),"")</f>
        <v/>
      </c>
      <c r="AA174" s="74"/>
      <c r="AB174" s="66" t="str">
        <f>IFERROR(VLOOKUP(TableHandbook[[#This Row],[UDC]],TableMJRUBSLAW[],7,FALSE),"")</f>
        <v/>
      </c>
      <c r="AC174" s="66" t="str">
        <f>IFERROR(VLOOKUP(TableHandbook[[#This Row],[UDC]],TableMJRUECONS[],7,FALSE),"")</f>
        <v/>
      </c>
      <c r="AD174" s="66" t="str">
        <f>IFERROR(VLOOKUP(TableHandbook[[#This Row],[UDC]],TableMJRUFINAR[],7,FALSE),"")</f>
        <v/>
      </c>
      <c r="AE174" s="66" t="str">
        <f>IFERROR(VLOOKUP(TableHandbook[[#This Row],[UDC]],TableMJRUFINCE[],7,FALSE),"")</f>
        <v/>
      </c>
      <c r="AF174" s="66" t="str">
        <f>IFERROR(VLOOKUP(TableHandbook[[#This Row],[UDC]],TableMJRUHRMGM[],7,FALSE),"")</f>
        <v/>
      </c>
      <c r="AG174" s="66" t="str">
        <f>IFERROR(VLOOKUP(TableHandbook[[#This Row],[UDC]],TableMJRUINTBU[],7,FALSE),"")</f>
        <v>Core</v>
      </c>
      <c r="AH174" s="66" t="str">
        <f>IFERROR(VLOOKUP(TableHandbook[[#This Row],[UDC]],TableMJRULGSCM[],7,FALSE),"")</f>
        <v/>
      </c>
      <c r="AI174" s="66" t="str">
        <f>IFERROR(VLOOKUP(TableHandbook[[#This Row],[UDC]],TableMJRUMNGMT[],7,FALSE),"")</f>
        <v>Core</v>
      </c>
      <c r="AJ174" s="66" t="str">
        <f>IFERROR(VLOOKUP(TableHandbook[[#This Row],[UDC]],TableMJRUMRKTG[],7,FALSE),"")</f>
        <v/>
      </c>
      <c r="AK174" s="66" t="str">
        <f>IFERROR(VLOOKUP(TableHandbook[[#This Row],[UDC]],TableMJRUPRPTY[],7,FALSE),"")</f>
        <v/>
      </c>
      <c r="AL174" s="66" t="str">
        <f>IFERROR(VLOOKUP(TableHandbook[[#This Row],[UDC]],TableMJRUSCRAR[],7,FALSE),"")</f>
        <v/>
      </c>
      <c r="AM174" s="66" t="str">
        <f>IFERROR(VLOOKUP(TableHandbook[[#This Row],[UDC]],TableMJRUTHTRA[],7,FALSE),"")</f>
        <v/>
      </c>
      <c r="AN174" s="66" t="str">
        <f>IFERROR(VLOOKUP(TableHandbook[[#This Row],[UDC]],TableMJRUTRHOS[],7,FALSE),"")</f>
        <v/>
      </c>
    </row>
    <row r="175" spans="1:40" x14ac:dyDescent="0.25">
      <c r="A175" s="8" t="s">
        <v>464</v>
      </c>
      <c r="B175" s="9">
        <v>2</v>
      </c>
      <c r="C175" s="8"/>
      <c r="D175" s="8" t="s">
        <v>713</v>
      </c>
      <c r="E175" s="9">
        <v>25</v>
      </c>
      <c r="F175" s="49" t="s">
        <v>383</v>
      </c>
      <c r="G175" s="67" t="str">
        <f>IFERROR(IF(VLOOKUP(TableHandbook[[#This Row],[UDC]],TableAvailabilities[],2,FALSE)&gt;0,"Y",""),"")</f>
        <v>Y</v>
      </c>
      <c r="H175" s="68" t="str">
        <f>IFERROR(IF(VLOOKUP(TableHandbook[[#This Row],[UDC]],TableAvailabilities[],3,FALSE)&gt;0,"Y",""),"")</f>
        <v>Y</v>
      </c>
      <c r="I175" s="69" t="str">
        <f>IFERROR(IF(VLOOKUP(TableHandbook[[#This Row],[UDC]],TableAvailabilities[],4,FALSE)&gt;0,"Y",""),"")</f>
        <v>Y</v>
      </c>
      <c r="J175" s="70" t="str">
        <f>IFERROR(IF(VLOOKUP(TableHandbook[[#This Row],[UDC]],TableAvailabilities[],5,FALSE)&gt;0,"Y",""),"")</f>
        <v/>
      </c>
      <c r="K175" s="163"/>
      <c r="L175" s="64" t="str">
        <f>IFERROR(VLOOKUP(TableHandbook[[#This Row],[UDC]],TableBARTS[],7,FALSE),"")</f>
        <v/>
      </c>
      <c r="M175" s="65" t="str">
        <f>IFERROR(VLOOKUP(TableHandbook[[#This Row],[UDC]],TableMJRUANTSO[],7,FALSE),"")</f>
        <v/>
      </c>
      <c r="N175" s="65" t="str">
        <f>IFERROR(VLOOKUP(TableHandbook[[#This Row],[UDC]],TableMJRUCHNSE[],7,FALSE),"")</f>
        <v/>
      </c>
      <c r="O175" s="65" t="str">
        <f>IFERROR(VLOOKUP(TableHandbook[[#This Row],[UDC]],TableMJRUCRWRI[],7,FALSE),"")</f>
        <v/>
      </c>
      <c r="P175" s="65" t="str">
        <f>IFERROR(VLOOKUP(TableHandbook[[#This Row],[UDC]],TableMJRUGEOGR[],7,FALSE),"")</f>
        <v/>
      </c>
      <c r="Q175" s="65" t="str">
        <f>IFERROR(VLOOKUP(TableHandbook[[#This Row],[UDC]],TableMJRUHISTR[],7,FALSE),"")</f>
        <v/>
      </c>
      <c r="R175" s="65" t="str">
        <f>IFERROR(VLOOKUP(TableHandbook[[#This Row],[UDC]],TableMJRUINAUC[],7,FALSE),"")</f>
        <v/>
      </c>
      <c r="S175" s="65" t="str">
        <f>IFERROR(VLOOKUP(TableHandbook[[#This Row],[UDC]],TableMJRUINTRL[],7,FALSE),"")</f>
        <v/>
      </c>
      <c r="T175" s="65" t="str">
        <f>IFERROR(VLOOKUP(TableHandbook[[#This Row],[UDC]],TableMJRUJAPAN[],7,FALSE),"")</f>
        <v/>
      </c>
      <c r="U175" s="65" t="str">
        <f>IFERROR(VLOOKUP(TableHandbook[[#This Row],[UDC]],TableMJRUJOURN[],7,FALSE),"")</f>
        <v/>
      </c>
      <c r="V175" s="65" t="str">
        <f>IFERROR(VLOOKUP(TableHandbook[[#This Row],[UDC]],TableMJRUKORES[],7,FALSE),"")</f>
        <v/>
      </c>
      <c r="W175" s="65" t="str">
        <f>IFERROR(VLOOKUP(TableHandbook[[#This Row],[UDC]],TableMJRULITCU[],7,FALSE),"")</f>
        <v/>
      </c>
      <c r="X175" s="65" t="str">
        <f>IFERROR(VLOOKUP(TableHandbook[[#This Row],[UDC]],TableMJRUNETCM[],7,FALSE),"")</f>
        <v/>
      </c>
      <c r="Y175" s="65" t="str">
        <f>IFERROR(VLOOKUP(TableHandbook[[#This Row],[UDC]],TableMJRUPRWRP[],7,FALSE),"")</f>
        <v/>
      </c>
      <c r="Z175" s="66" t="str">
        <f>IFERROR(VLOOKUP(TableHandbook[[#This Row],[UDC]],TableMJRUSCSTR[],7,FALSE),"")</f>
        <v/>
      </c>
      <c r="AA175" s="74"/>
      <c r="AB175" s="66" t="str">
        <f>IFERROR(VLOOKUP(TableHandbook[[#This Row],[UDC]],TableMJRUBSLAW[],7,FALSE),"")</f>
        <v/>
      </c>
      <c r="AC175" s="66" t="str">
        <f>IFERROR(VLOOKUP(TableHandbook[[#This Row],[UDC]],TableMJRUECONS[],7,FALSE),"")</f>
        <v/>
      </c>
      <c r="AD175" s="66" t="str">
        <f>IFERROR(VLOOKUP(TableHandbook[[#This Row],[UDC]],TableMJRUFINAR[],7,FALSE),"")</f>
        <v/>
      </c>
      <c r="AE175" s="66" t="str">
        <f>IFERROR(VLOOKUP(TableHandbook[[#This Row],[UDC]],TableMJRUFINCE[],7,FALSE),"")</f>
        <v/>
      </c>
      <c r="AF175" s="66" t="str">
        <f>IFERROR(VLOOKUP(TableHandbook[[#This Row],[UDC]],TableMJRUHRMGM[],7,FALSE),"")</f>
        <v>Core</v>
      </c>
      <c r="AG175" s="66" t="str">
        <f>IFERROR(VLOOKUP(TableHandbook[[#This Row],[UDC]],TableMJRUINTBU[],7,FALSE),"")</f>
        <v/>
      </c>
      <c r="AH175" s="66" t="str">
        <f>IFERROR(VLOOKUP(TableHandbook[[#This Row],[UDC]],TableMJRULGSCM[],7,FALSE),"")</f>
        <v/>
      </c>
      <c r="AI175" s="66" t="str">
        <f>IFERROR(VLOOKUP(TableHandbook[[#This Row],[UDC]],TableMJRUMNGMT[],7,FALSE),"")</f>
        <v/>
      </c>
      <c r="AJ175" s="66" t="str">
        <f>IFERROR(VLOOKUP(TableHandbook[[#This Row],[UDC]],TableMJRUMRKTG[],7,FALSE),"")</f>
        <v/>
      </c>
      <c r="AK175" s="66" t="str">
        <f>IFERROR(VLOOKUP(TableHandbook[[#This Row],[UDC]],TableMJRUPRPTY[],7,FALSE),"")</f>
        <v/>
      </c>
      <c r="AL175" s="66" t="str">
        <f>IFERROR(VLOOKUP(TableHandbook[[#This Row],[UDC]],TableMJRUSCRAR[],7,FALSE),"")</f>
        <v/>
      </c>
      <c r="AM175" s="66" t="str">
        <f>IFERROR(VLOOKUP(TableHandbook[[#This Row],[UDC]],TableMJRUTHTRA[],7,FALSE),"")</f>
        <v/>
      </c>
      <c r="AN175" s="66" t="str">
        <f>IFERROR(VLOOKUP(TableHandbook[[#This Row],[UDC]],TableMJRUTRHOS[],7,FALSE),"")</f>
        <v/>
      </c>
    </row>
    <row r="176" spans="1:40" x14ac:dyDescent="0.25">
      <c r="A176" s="8" t="s">
        <v>447</v>
      </c>
      <c r="B176" s="9">
        <v>2</v>
      </c>
      <c r="C176" s="8"/>
      <c r="D176" s="8" t="s">
        <v>714</v>
      </c>
      <c r="E176" s="9">
        <v>25</v>
      </c>
      <c r="F176" s="49" t="s">
        <v>383</v>
      </c>
      <c r="G176" s="67" t="str">
        <f>IFERROR(IF(VLOOKUP(TableHandbook[[#This Row],[UDC]],TableAvailabilities[],2,FALSE)&gt;0,"Y",""),"")</f>
        <v>Y</v>
      </c>
      <c r="H176" s="68" t="str">
        <f>IFERROR(IF(VLOOKUP(TableHandbook[[#This Row],[UDC]],TableAvailabilities[],3,FALSE)&gt;0,"Y",""),"")</f>
        <v>Y</v>
      </c>
      <c r="I176" s="69" t="str">
        <f>IFERROR(IF(VLOOKUP(TableHandbook[[#This Row],[UDC]],TableAvailabilities[],4,FALSE)&gt;0,"Y",""),"")</f>
        <v>Y</v>
      </c>
      <c r="J176" s="70" t="str">
        <f>IFERROR(IF(VLOOKUP(TableHandbook[[#This Row],[UDC]],TableAvailabilities[],5,FALSE)&gt;0,"Y",""),"")</f>
        <v/>
      </c>
      <c r="K176" s="163"/>
      <c r="L176" s="64" t="str">
        <f>IFERROR(VLOOKUP(TableHandbook[[#This Row],[UDC]],TableBARTS[],7,FALSE),"")</f>
        <v/>
      </c>
      <c r="M176" s="65" t="str">
        <f>IFERROR(VLOOKUP(TableHandbook[[#This Row],[UDC]],TableMJRUANTSO[],7,FALSE),"")</f>
        <v/>
      </c>
      <c r="N176" s="65" t="str">
        <f>IFERROR(VLOOKUP(TableHandbook[[#This Row],[UDC]],TableMJRUCHNSE[],7,FALSE),"")</f>
        <v/>
      </c>
      <c r="O176" s="65" t="str">
        <f>IFERROR(VLOOKUP(TableHandbook[[#This Row],[UDC]],TableMJRUCRWRI[],7,FALSE),"")</f>
        <v/>
      </c>
      <c r="P176" s="65" t="str">
        <f>IFERROR(VLOOKUP(TableHandbook[[#This Row],[UDC]],TableMJRUGEOGR[],7,FALSE),"")</f>
        <v/>
      </c>
      <c r="Q176" s="65" t="str">
        <f>IFERROR(VLOOKUP(TableHandbook[[#This Row],[UDC]],TableMJRUHISTR[],7,FALSE),"")</f>
        <v/>
      </c>
      <c r="R176" s="65" t="str">
        <f>IFERROR(VLOOKUP(TableHandbook[[#This Row],[UDC]],TableMJRUINAUC[],7,FALSE),"")</f>
        <v/>
      </c>
      <c r="S176" s="65" t="str">
        <f>IFERROR(VLOOKUP(TableHandbook[[#This Row],[UDC]],TableMJRUINTRL[],7,FALSE),"")</f>
        <v/>
      </c>
      <c r="T176" s="65" t="str">
        <f>IFERROR(VLOOKUP(TableHandbook[[#This Row],[UDC]],TableMJRUJAPAN[],7,FALSE),"")</f>
        <v/>
      </c>
      <c r="U176" s="65" t="str">
        <f>IFERROR(VLOOKUP(TableHandbook[[#This Row],[UDC]],TableMJRUJOURN[],7,FALSE),"")</f>
        <v/>
      </c>
      <c r="V176" s="65" t="str">
        <f>IFERROR(VLOOKUP(TableHandbook[[#This Row],[UDC]],TableMJRUKORES[],7,FALSE),"")</f>
        <v/>
      </c>
      <c r="W176" s="65" t="str">
        <f>IFERROR(VLOOKUP(TableHandbook[[#This Row],[UDC]],TableMJRULITCU[],7,FALSE),"")</f>
        <v/>
      </c>
      <c r="X176" s="65" t="str">
        <f>IFERROR(VLOOKUP(TableHandbook[[#This Row],[UDC]],TableMJRUNETCM[],7,FALSE),"")</f>
        <v/>
      </c>
      <c r="Y176" s="65" t="str">
        <f>IFERROR(VLOOKUP(TableHandbook[[#This Row],[UDC]],TableMJRUPRWRP[],7,FALSE),"")</f>
        <v/>
      </c>
      <c r="Z176" s="66" t="str">
        <f>IFERROR(VLOOKUP(TableHandbook[[#This Row],[UDC]],TableMJRUSCSTR[],7,FALSE),"")</f>
        <v/>
      </c>
      <c r="AA176" s="74"/>
      <c r="AB176" s="66" t="str">
        <f>IFERROR(VLOOKUP(TableHandbook[[#This Row],[UDC]],TableMJRUBSLAW[],7,FALSE),"")</f>
        <v/>
      </c>
      <c r="AC176" s="66" t="str">
        <f>IFERROR(VLOOKUP(TableHandbook[[#This Row],[UDC]],TableMJRUECONS[],7,FALSE),"")</f>
        <v/>
      </c>
      <c r="AD176" s="66" t="str">
        <f>IFERROR(VLOOKUP(TableHandbook[[#This Row],[UDC]],TableMJRUFINAR[],7,FALSE),"")</f>
        <v/>
      </c>
      <c r="AE176" s="66" t="str">
        <f>IFERROR(VLOOKUP(TableHandbook[[#This Row],[UDC]],TableMJRUFINCE[],7,FALSE),"")</f>
        <v/>
      </c>
      <c r="AF176" s="66" t="str">
        <f>IFERROR(VLOOKUP(TableHandbook[[#This Row],[UDC]],TableMJRUHRMGM[],7,FALSE),"")</f>
        <v>Core</v>
      </c>
      <c r="AG176" s="66" t="str">
        <f>IFERROR(VLOOKUP(TableHandbook[[#This Row],[UDC]],TableMJRUINTBU[],7,FALSE),"")</f>
        <v/>
      </c>
      <c r="AH176" s="66" t="str">
        <f>IFERROR(VLOOKUP(TableHandbook[[#This Row],[UDC]],TableMJRULGSCM[],7,FALSE),"")</f>
        <v/>
      </c>
      <c r="AI176" s="66" t="str">
        <f>IFERROR(VLOOKUP(TableHandbook[[#This Row],[UDC]],TableMJRUMNGMT[],7,FALSE),"")</f>
        <v/>
      </c>
      <c r="AJ176" s="66" t="str">
        <f>IFERROR(VLOOKUP(TableHandbook[[#This Row],[UDC]],TableMJRUMRKTG[],7,FALSE),"")</f>
        <v/>
      </c>
      <c r="AK176" s="66" t="str">
        <f>IFERROR(VLOOKUP(TableHandbook[[#This Row],[UDC]],TableMJRUPRPTY[],7,FALSE),"")</f>
        <v/>
      </c>
      <c r="AL176" s="66" t="str">
        <f>IFERROR(VLOOKUP(TableHandbook[[#This Row],[UDC]],TableMJRUSCRAR[],7,FALSE),"")</f>
        <v/>
      </c>
      <c r="AM176" s="66" t="str">
        <f>IFERROR(VLOOKUP(TableHandbook[[#This Row],[UDC]],TableMJRUTHTRA[],7,FALSE),"")</f>
        <v/>
      </c>
      <c r="AN176" s="66" t="str">
        <f>IFERROR(VLOOKUP(TableHandbook[[#This Row],[UDC]],TableMJRUTRHOS[],7,FALSE),"")</f>
        <v/>
      </c>
    </row>
    <row r="177" spans="1:40" x14ac:dyDescent="0.25">
      <c r="A177" s="8" t="s">
        <v>448</v>
      </c>
      <c r="B177" s="9">
        <v>3</v>
      </c>
      <c r="C177" s="8"/>
      <c r="D177" s="8" t="s">
        <v>715</v>
      </c>
      <c r="E177" s="9">
        <v>25</v>
      </c>
      <c r="F177" s="49" t="s">
        <v>526</v>
      </c>
      <c r="G177" s="67" t="str">
        <f>IFERROR(IF(VLOOKUP(TableHandbook[[#This Row],[UDC]],TableAvailabilities[],2,FALSE)&gt;0,"Y",""),"")</f>
        <v/>
      </c>
      <c r="H177" s="68" t="str">
        <f>IFERROR(IF(VLOOKUP(TableHandbook[[#This Row],[UDC]],TableAvailabilities[],3,FALSE)&gt;0,"Y",""),"")</f>
        <v/>
      </c>
      <c r="I177" s="69" t="str">
        <f>IFERROR(IF(VLOOKUP(TableHandbook[[#This Row],[UDC]],TableAvailabilities[],4,FALSE)&gt;0,"Y",""),"")</f>
        <v>Y</v>
      </c>
      <c r="J177" s="70" t="str">
        <f>IFERROR(IF(VLOOKUP(TableHandbook[[#This Row],[UDC]],TableAvailabilities[],5,FALSE)&gt;0,"Y",""),"")</f>
        <v/>
      </c>
      <c r="K177" s="163"/>
      <c r="L177" s="64" t="str">
        <f>IFERROR(VLOOKUP(TableHandbook[[#This Row],[UDC]],TableBARTS[],7,FALSE),"")</f>
        <v/>
      </c>
      <c r="M177" s="65" t="str">
        <f>IFERROR(VLOOKUP(TableHandbook[[#This Row],[UDC]],TableMJRUANTSO[],7,FALSE),"")</f>
        <v/>
      </c>
      <c r="N177" s="65" t="str">
        <f>IFERROR(VLOOKUP(TableHandbook[[#This Row],[UDC]],TableMJRUCHNSE[],7,FALSE),"")</f>
        <v/>
      </c>
      <c r="O177" s="65" t="str">
        <f>IFERROR(VLOOKUP(TableHandbook[[#This Row],[UDC]],TableMJRUCRWRI[],7,FALSE),"")</f>
        <v/>
      </c>
      <c r="P177" s="65" t="str">
        <f>IFERROR(VLOOKUP(TableHandbook[[#This Row],[UDC]],TableMJRUGEOGR[],7,FALSE),"")</f>
        <v/>
      </c>
      <c r="Q177" s="65" t="str">
        <f>IFERROR(VLOOKUP(TableHandbook[[#This Row],[UDC]],TableMJRUHISTR[],7,FALSE),"")</f>
        <v/>
      </c>
      <c r="R177" s="65" t="str">
        <f>IFERROR(VLOOKUP(TableHandbook[[#This Row],[UDC]],TableMJRUINAUC[],7,FALSE),"")</f>
        <v/>
      </c>
      <c r="S177" s="65" t="str">
        <f>IFERROR(VLOOKUP(TableHandbook[[#This Row],[UDC]],TableMJRUINTRL[],7,FALSE),"")</f>
        <v/>
      </c>
      <c r="T177" s="65" t="str">
        <f>IFERROR(VLOOKUP(TableHandbook[[#This Row],[UDC]],TableMJRUJAPAN[],7,FALSE),"")</f>
        <v/>
      </c>
      <c r="U177" s="65" t="str">
        <f>IFERROR(VLOOKUP(TableHandbook[[#This Row],[UDC]],TableMJRUJOURN[],7,FALSE),"")</f>
        <v/>
      </c>
      <c r="V177" s="65" t="str">
        <f>IFERROR(VLOOKUP(TableHandbook[[#This Row],[UDC]],TableMJRUKORES[],7,FALSE),"")</f>
        <v/>
      </c>
      <c r="W177" s="65" t="str">
        <f>IFERROR(VLOOKUP(TableHandbook[[#This Row],[UDC]],TableMJRULITCU[],7,FALSE),"")</f>
        <v/>
      </c>
      <c r="X177" s="65" t="str">
        <f>IFERROR(VLOOKUP(TableHandbook[[#This Row],[UDC]],TableMJRUNETCM[],7,FALSE),"")</f>
        <v/>
      </c>
      <c r="Y177" s="65" t="str">
        <f>IFERROR(VLOOKUP(TableHandbook[[#This Row],[UDC]],TableMJRUPRWRP[],7,FALSE),"")</f>
        <v/>
      </c>
      <c r="Z177" s="66" t="str">
        <f>IFERROR(VLOOKUP(TableHandbook[[#This Row],[UDC]],TableMJRUSCSTR[],7,FALSE),"")</f>
        <v/>
      </c>
      <c r="AA177" s="74"/>
      <c r="AB177" s="66" t="str">
        <f>IFERROR(VLOOKUP(TableHandbook[[#This Row],[UDC]],TableMJRUBSLAW[],7,FALSE),"")</f>
        <v/>
      </c>
      <c r="AC177" s="66" t="str">
        <f>IFERROR(VLOOKUP(TableHandbook[[#This Row],[UDC]],TableMJRUECONS[],7,FALSE),"")</f>
        <v/>
      </c>
      <c r="AD177" s="66" t="str">
        <f>IFERROR(VLOOKUP(TableHandbook[[#This Row],[UDC]],TableMJRUFINAR[],7,FALSE),"")</f>
        <v/>
      </c>
      <c r="AE177" s="66" t="str">
        <f>IFERROR(VLOOKUP(TableHandbook[[#This Row],[UDC]],TableMJRUFINCE[],7,FALSE),"")</f>
        <v/>
      </c>
      <c r="AF177" s="66" t="str">
        <f>IFERROR(VLOOKUP(TableHandbook[[#This Row],[UDC]],TableMJRUHRMGM[],7,FALSE),"")</f>
        <v>Core</v>
      </c>
      <c r="AG177" s="66" t="str">
        <f>IFERROR(VLOOKUP(TableHandbook[[#This Row],[UDC]],TableMJRUINTBU[],7,FALSE),"")</f>
        <v/>
      </c>
      <c r="AH177" s="66" t="str">
        <f>IFERROR(VLOOKUP(TableHandbook[[#This Row],[UDC]],TableMJRULGSCM[],7,FALSE),"")</f>
        <v/>
      </c>
      <c r="AI177" s="66" t="str">
        <f>IFERROR(VLOOKUP(TableHandbook[[#This Row],[UDC]],TableMJRUMNGMT[],7,FALSE),"")</f>
        <v/>
      </c>
      <c r="AJ177" s="66" t="str">
        <f>IFERROR(VLOOKUP(TableHandbook[[#This Row],[UDC]],TableMJRUMRKTG[],7,FALSE),"")</f>
        <v/>
      </c>
      <c r="AK177" s="66" t="str">
        <f>IFERROR(VLOOKUP(TableHandbook[[#This Row],[UDC]],TableMJRUPRPTY[],7,FALSE),"")</f>
        <v/>
      </c>
      <c r="AL177" s="66" t="str">
        <f>IFERROR(VLOOKUP(TableHandbook[[#This Row],[UDC]],TableMJRUSCRAR[],7,FALSE),"")</f>
        <v/>
      </c>
      <c r="AM177" s="66" t="str">
        <f>IFERROR(VLOOKUP(TableHandbook[[#This Row],[UDC]],TableMJRUTHTRA[],7,FALSE),"")</f>
        <v/>
      </c>
      <c r="AN177" s="66" t="str">
        <f>IFERROR(VLOOKUP(TableHandbook[[#This Row],[UDC]],TableMJRUTRHOS[],7,FALSE),"")</f>
        <v/>
      </c>
    </row>
    <row r="178" spans="1:40" x14ac:dyDescent="0.25">
      <c r="A178" s="8" t="s">
        <v>449</v>
      </c>
      <c r="B178" s="9">
        <v>2</v>
      </c>
      <c r="C178" s="8"/>
      <c r="D178" s="8" t="s">
        <v>716</v>
      </c>
      <c r="E178" s="9">
        <v>25</v>
      </c>
      <c r="F178" s="49" t="s">
        <v>526</v>
      </c>
      <c r="G178" s="67" t="str">
        <f>IFERROR(IF(VLOOKUP(TableHandbook[[#This Row],[UDC]],TableAvailabilities[],2,FALSE)&gt;0,"Y",""),"")</f>
        <v/>
      </c>
      <c r="H178" s="68" t="str">
        <f>IFERROR(IF(VLOOKUP(TableHandbook[[#This Row],[UDC]],TableAvailabilities[],3,FALSE)&gt;0,"Y",""),"")</f>
        <v/>
      </c>
      <c r="I178" s="69" t="str">
        <f>IFERROR(IF(VLOOKUP(TableHandbook[[#This Row],[UDC]],TableAvailabilities[],4,FALSE)&gt;0,"Y",""),"")</f>
        <v>Y</v>
      </c>
      <c r="J178" s="70" t="str">
        <f>IFERROR(IF(VLOOKUP(TableHandbook[[#This Row],[UDC]],TableAvailabilities[],5,FALSE)&gt;0,"Y",""),"")</f>
        <v/>
      </c>
      <c r="K178" s="163"/>
      <c r="L178" s="64" t="str">
        <f>IFERROR(VLOOKUP(TableHandbook[[#This Row],[UDC]],TableBARTS[],7,FALSE),"")</f>
        <v/>
      </c>
      <c r="M178" s="65" t="str">
        <f>IFERROR(VLOOKUP(TableHandbook[[#This Row],[UDC]],TableMJRUANTSO[],7,FALSE),"")</f>
        <v/>
      </c>
      <c r="N178" s="65" t="str">
        <f>IFERROR(VLOOKUP(TableHandbook[[#This Row],[UDC]],TableMJRUCHNSE[],7,FALSE),"")</f>
        <v/>
      </c>
      <c r="O178" s="65" t="str">
        <f>IFERROR(VLOOKUP(TableHandbook[[#This Row],[UDC]],TableMJRUCRWRI[],7,FALSE),"")</f>
        <v/>
      </c>
      <c r="P178" s="65" t="str">
        <f>IFERROR(VLOOKUP(TableHandbook[[#This Row],[UDC]],TableMJRUGEOGR[],7,FALSE),"")</f>
        <v/>
      </c>
      <c r="Q178" s="65" t="str">
        <f>IFERROR(VLOOKUP(TableHandbook[[#This Row],[UDC]],TableMJRUHISTR[],7,FALSE),"")</f>
        <v/>
      </c>
      <c r="R178" s="65" t="str">
        <f>IFERROR(VLOOKUP(TableHandbook[[#This Row],[UDC]],TableMJRUINAUC[],7,FALSE),"")</f>
        <v/>
      </c>
      <c r="S178" s="65" t="str">
        <f>IFERROR(VLOOKUP(TableHandbook[[#This Row],[UDC]],TableMJRUINTRL[],7,FALSE),"")</f>
        <v/>
      </c>
      <c r="T178" s="65" t="str">
        <f>IFERROR(VLOOKUP(TableHandbook[[#This Row],[UDC]],TableMJRUJAPAN[],7,FALSE),"")</f>
        <v/>
      </c>
      <c r="U178" s="65" t="str">
        <f>IFERROR(VLOOKUP(TableHandbook[[#This Row],[UDC]],TableMJRUJOURN[],7,FALSE),"")</f>
        <v/>
      </c>
      <c r="V178" s="65" t="str">
        <f>IFERROR(VLOOKUP(TableHandbook[[#This Row],[UDC]],TableMJRUKORES[],7,FALSE),"")</f>
        <v/>
      </c>
      <c r="W178" s="65" t="str">
        <f>IFERROR(VLOOKUP(TableHandbook[[#This Row],[UDC]],TableMJRULITCU[],7,FALSE),"")</f>
        <v/>
      </c>
      <c r="X178" s="65" t="str">
        <f>IFERROR(VLOOKUP(TableHandbook[[#This Row],[UDC]],TableMJRUNETCM[],7,FALSE),"")</f>
        <v/>
      </c>
      <c r="Y178" s="65" t="str">
        <f>IFERROR(VLOOKUP(TableHandbook[[#This Row],[UDC]],TableMJRUPRWRP[],7,FALSE),"")</f>
        <v/>
      </c>
      <c r="Z178" s="66" t="str">
        <f>IFERROR(VLOOKUP(TableHandbook[[#This Row],[UDC]],TableMJRUSCSTR[],7,FALSE),"")</f>
        <v/>
      </c>
      <c r="AA178" s="74"/>
      <c r="AB178" s="66" t="str">
        <f>IFERROR(VLOOKUP(TableHandbook[[#This Row],[UDC]],TableMJRUBSLAW[],7,FALSE),"")</f>
        <v/>
      </c>
      <c r="AC178" s="66" t="str">
        <f>IFERROR(VLOOKUP(TableHandbook[[#This Row],[UDC]],TableMJRUECONS[],7,FALSE),"")</f>
        <v/>
      </c>
      <c r="AD178" s="66" t="str">
        <f>IFERROR(VLOOKUP(TableHandbook[[#This Row],[UDC]],TableMJRUFINAR[],7,FALSE),"")</f>
        <v/>
      </c>
      <c r="AE178" s="66" t="str">
        <f>IFERROR(VLOOKUP(TableHandbook[[#This Row],[UDC]],TableMJRUFINCE[],7,FALSE),"")</f>
        <v/>
      </c>
      <c r="AF178" s="66" t="str">
        <f>IFERROR(VLOOKUP(TableHandbook[[#This Row],[UDC]],TableMJRUHRMGM[],7,FALSE),"")</f>
        <v/>
      </c>
      <c r="AG178" s="66" t="str">
        <f>IFERROR(VLOOKUP(TableHandbook[[#This Row],[UDC]],TableMJRUINTBU[],7,FALSE),"")</f>
        <v>Core</v>
      </c>
      <c r="AH178" s="66" t="str">
        <f>IFERROR(VLOOKUP(TableHandbook[[#This Row],[UDC]],TableMJRULGSCM[],7,FALSE),"")</f>
        <v/>
      </c>
      <c r="AI178" s="66" t="str">
        <f>IFERROR(VLOOKUP(TableHandbook[[#This Row],[UDC]],TableMJRUMNGMT[],7,FALSE),"")</f>
        <v/>
      </c>
      <c r="AJ178" s="66" t="str">
        <f>IFERROR(VLOOKUP(TableHandbook[[#This Row],[UDC]],TableMJRUMRKTG[],7,FALSE),"")</f>
        <v/>
      </c>
      <c r="AK178" s="66" t="str">
        <f>IFERROR(VLOOKUP(TableHandbook[[#This Row],[UDC]],TableMJRUPRPTY[],7,FALSE),"")</f>
        <v/>
      </c>
      <c r="AL178" s="66" t="str">
        <f>IFERROR(VLOOKUP(TableHandbook[[#This Row],[UDC]],TableMJRUSCRAR[],7,FALSE),"")</f>
        <v/>
      </c>
      <c r="AM178" s="66" t="str">
        <f>IFERROR(VLOOKUP(TableHandbook[[#This Row],[UDC]],TableMJRUTHTRA[],7,FALSE),"")</f>
        <v/>
      </c>
      <c r="AN178" s="66" t="str">
        <f>IFERROR(VLOOKUP(TableHandbook[[#This Row],[UDC]],TableMJRUTRHOS[],7,FALSE),"")</f>
        <v/>
      </c>
    </row>
    <row r="179" spans="1:40" x14ac:dyDescent="0.25">
      <c r="A179" s="8" t="s">
        <v>450</v>
      </c>
      <c r="B179" s="9">
        <v>2</v>
      </c>
      <c r="C179" s="8"/>
      <c r="D179" s="8" t="s">
        <v>717</v>
      </c>
      <c r="E179" s="9">
        <v>25</v>
      </c>
      <c r="F179" s="49" t="s">
        <v>526</v>
      </c>
      <c r="G179" s="67" t="str">
        <f>IFERROR(IF(VLOOKUP(TableHandbook[[#This Row],[UDC]],TableAvailabilities[],2,FALSE)&gt;0,"Y",""),"")</f>
        <v/>
      </c>
      <c r="H179" s="68" t="str">
        <f>IFERROR(IF(VLOOKUP(TableHandbook[[#This Row],[UDC]],TableAvailabilities[],3,FALSE)&gt;0,"Y",""),"")</f>
        <v/>
      </c>
      <c r="I179" s="69" t="str">
        <f>IFERROR(IF(VLOOKUP(TableHandbook[[#This Row],[UDC]],TableAvailabilities[],4,FALSE)&gt;0,"Y",""),"")</f>
        <v>Y</v>
      </c>
      <c r="J179" s="70" t="str">
        <f>IFERROR(IF(VLOOKUP(TableHandbook[[#This Row],[UDC]],TableAvailabilities[],5,FALSE)&gt;0,"Y",""),"")</f>
        <v/>
      </c>
      <c r="K179" s="163"/>
      <c r="L179" s="64" t="str">
        <f>IFERROR(VLOOKUP(TableHandbook[[#This Row],[UDC]],TableBARTS[],7,FALSE),"")</f>
        <v/>
      </c>
      <c r="M179" s="65" t="str">
        <f>IFERROR(VLOOKUP(TableHandbook[[#This Row],[UDC]],TableMJRUANTSO[],7,FALSE),"")</f>
        <v/>
      </c>
      <c r="N179" s="65" t="str">
        <f>IFERROR(VLOOKUP(TableHandbook[[#This Row],[UDC]],TableMJRUCHNSE[],7,FALSE),"")</f>
        <v/>
      </c>
      <c r="O179" s="65" t="str">
        <f>IFERROR(VLOOKUP(TableHandbook[[#This Row],[UDC]],TableMJRUCRWRI[],7,FALSE),"")</f>
        <v/>
      </c>
      <c r="P179" s="65" t="str">
        <f>IFERROR(VLOOKUP(TableHandbook[[#This Row],[UDC]],TableMJRUGEOGR[],7,FALSE),"")</f>
        <v/>
      </c>
      <c r="Q179" s="65" t="str">
        <f>IFERROR(VLOOKUP(TableHandbook[[#This Row],[UDC]],TableMJRUHISTR[],7,FALSE),"")</f>
        <v/>
      </c>
      <c r="R179" s="65" t="str">
        <f>IFERROR(VLOOKUP(TableHandbook[[#This Row],[UDC]],TableMJRUINAUC[],7,FALSE),"")</f>
        <v/>
      </c>
      <c r="S179" s="65" t="str">
        <f>IFERROR(VLOOKUP(TableHandbook[[#This Row],[UDC]],TableMJRUINTRL[],7,FALSE),"")</f>
        <v/>
      </c>
      <c r="T179" s="65" t="str">
        <f>IFERROR(VLOOKUP(TableHandbook[[#This Row],[UDC]],TableMJRUJAPAN[],7,FALSE),"")</f>
        <v/>
      </c>
      <c r="U179" s="65" t="str">
        <f>IFERROR(VLOOKUP(TableHandbook[[#This Row],[UDC]],TableMJRUJOURN[],7,FALSE),"")</f>
        <v/>
      </c>
      <c r="V179" s="65" t="str">
        <f>IFERROR(VLOOKUP(TableHandbook[[#This Row],[UDC]],TableMJRUKORES[],7,FALSE),"")</f>
        <v/>
      </c>
      <c r="W179" s="65" t="str">
        <f>IFERROR(VLOOKUP(TableHandbook[[#This Row],[UDC]],TableMJRULITCU[],7,FALSE),"")</f>
        <v/>
      </c>
      <c r="X179" s="65" t="str">
        <f>IFERROR(VLOOKUP(TableHandbook[[#This Row],[UDC]],TableMJRUNETCM[],7,FALSE),"")</f>
        <v/>
      </c>
      <c r="Y179" s="65" t="str">
        <f>IFERROR(VLOOKUP(TableHandbook[[#This Row],[UDC]],TableMJRUPRWRP[],7,FALSE),"")</f>
        <v/>
      </c>
      <c r="Z179" s="66" t="str">
        <f>IFERROR(VLOOKUP(TableHandbook[[#This Row],[UDC]],TableMJRUSCSTR[],7,FALSE),"")</f>
        <v/>
      </c>
      <c r="AA179" s="74"/>
      <c r="AB179" s="66" t="str">
        <f>IFERROR(VLOOKUP(TableHandbook[[#This Row],[UDC]],TableMJRUBSLAW[],7,FALSE),"")</f>
        <v/>
      </c>
      <c r="AC179" s="66" t="str">
        <f>IFERROR(VLOOKUP(TableHandbook[[#This Row],[UDC]],TableMJRUECONS[],7,FALSE),"")</f>
        <v/>
      </c>
      <c r="AD179" s="66" t="str">
        <f>IFERROR(VLOOKUP(TableHandbook[[#This Row],[UDC]],TableMJRUFINAR[],7,FALSE),"")</f>
        <v/>
      </c>
      <c r="AE179" s="66" t="str">
        <f>IFERROR(VLOOKUP(TableHandbook[[#This Row],[UDC]],TableMJRUFINCE[],7,FALSE),"")</f>
        <v/>
      </c>
      <c r="AF179" s="66" t="str">
        <f>IFERROR(VLOOKUP(TableHandbook[[#This Row],[UDC]],TableMJRUHRMGM[],7,FALSE),"")</f>
        <v/>
      </c>
      <c r="AG179" s="66" t="str">
        <f>IFERROR(VLOOKUP(TableHandbook[[#This Row],[UDC]],TableMJRUINTBU[],7,FALSE),"")</f>
        <v/>
      </c>
      <c r="AH179" s="66" t="str">
        <f>IFERROR(VLOOKUP(TableHandbook[[#This Row],[UDC]],TableMJRULGSCM[],7,FALSE),"")</f>
        <v>Core</v>
      </c>
      <c r="AI179" s="66" t="str">
        <f>IFERROR(VLOOKUP(TableHandbook[[#This Row],[UDC]],TableMJRUMNGMT[],7,FALSE),"")</f>
        <v/>
      </c>
      <c r="AJ179" s="66" t="str">
        <f>IFERROR(VLOOKUP(TableHandbook[[#This Row],[UDC]],TableMJRUMRKTG[],7,FALSE),"")</f>
        <v/>
      </c>
      <c r="AK179" s="66" t="str">
        <f>IFERROR(VLOOKUP(TableHandbook[[#This Row],[UDC]],TableMJRUPRPTY[],7,FALSE),"")</f>
        <v/>
      </c>
      <c r="AL179" s="66" t="str">
        <f>IFERROR(VLOOKUP(TableHandbook[[#This Row],[UDC]],TableMJRUSCRAR[],7,FALSE),"")</f>
        <v/>
      </c>
      <c r="AM179" s="66" t="str">
        <f>IFERROR(VLOOKUP(TableHandbook[[#This Row],[UDC]],TableMJRUTHTRA[],7,FALSE),"")</f>
        <v/>
      </c>
      <c r="AN179" s="66" t="str">
        <f>IFERROR(VLOOKUP(TableHandbook[[#This Row],[UDC]],TableMJRUTRHOS[],7,FALSE),"")</f>
        <v/>
      </c>
    </row>
    <row r="180" spans="1:40" x14ac:dyDescent="0.25">
      <c r="A180" s="8" t="s">
        <v>423</v>
      </c>
      <c r="B180" s="9">
        <v>1</v>
      </c>
      <c r="C180" s="8"/>
      <c r="D180" s="8" t="s">
        <v>718</v>
      </c>
      <c r="E180" s="9">
        <v>25</v>
      </c>
      <c r="F180" s="49" t="s">
        <v>526</v>
      </c>
      <c r="G180" s="67" t="str">
        <f>IFERROR(IF(VLOOKUP(TableHandbook[[#This Row],[UDC]],TableAvailabilities[],2,FALSE)&gt;0,"Y",""),"")</f>
        <v/>
      </c>
      <c r="H180" s="68" t="str">
        <f>IFERROR(IF(VLOOKUP(TableHandbook[[#This Row],[UDC]],TableAvailabilities[],3,FALSE)&gt;0,"Y",""),"")</f>
        <v/>
      </c>
      <c r="I180" s="69" t="str">
        <f>IFERROR(IF(VLOOKUP(TableHandbook[[#This Row],[UDC]],TableAvailabilities[],4,FALSE)&gt;0,"Y",""),"")</f>
        <v>Y</v>
      </c>
      <c r="J180" s="70" t="str">
        <f>IFERROR(IF(VLOOKUP(TableHandbook[[#This Row],[UDC]],TableAvailabilities[],5,FALSE)&gt;0,"Y",""),"")</f>
        <v/>
      </c>
      <c r="K180" s="163"/>
      <c r="L180" s="64" t="str">
        <f>IFERROR(VLOOKUP(TableHandbook[[#This Row],[UDC]],TableBARTS[],7,FALSE),"")</f>
        <v/>
      </c>
      <c r="M180" s="65" t="str">
        <f>IFERROR(VLOOKUP(TableHandbook[[#This Row],[UDC]],TableMJRUANTSO[],7,FALSE),"")</f>
        <v/>
      </c>
      <c r="N180" s="65" t="str">
        <f>IFERROR(VLOOKUP(TableHandbook[[#This Row],[UDC]],TableMJRUCHNSE[],7,FALSE),"")</f>
        <v/>
      </c>
      <c r="O180" s="65" t="str">
        <f>IFERROR(VLOOKUP(TableHandbook[[#This Row],[UDC]],TableMJRUCRWRI[],7,FALSE),"")</f>
        <v/>
      </c>
      <c r="P180" s="65" t="str">
        <f>IFERROR(VLOOKUP(TableHandbook[[#This Row],[UDC]],TableMJRUGEOGR[],7,FALSE),"")</f>
        <v/>
      </c>
      <c r="Q180" s="65" t="str">
        <f>IFERROR(VLOOKUP(TableHandbook[[#This Row],[UDC]],TableMJRUHISTR[],7,FALSE),"")</f>
        <v/>
      </c>
      <c r="R180" s="65" t="str">
        <f>IFERROR(VLOOKUP(TableHandbook[[#This Row],[UDC]],TableMJRUINAUC[],7,FALSE),"")</f>
        <v/>
      </c>
      <c r="S180" s="65" t="str">
        <f>IFERROR(VLOOKUP(TableHandbook[[#This Row],[UDC]],TableMJRUINTRL[],7,FALSE),"")</f>
        <v/>
      </c>
      <c r="T180" s="65" t="str">
        <f>IFERROR(VLOOKUP(TableHandbook[[#This Row],[UDC]],TableMJRUJAPAN[],7,FALSE),"")</f>
        <v/>
      </c>
      <c r="U180" s="65" t="str">
        <f>IFERROR(VLOOKUP(TableHandbook[[#This Row],[UDC]],TableMJRUJOURN[],7,FALSE),"")</f>
        <v/>
      </c>
      <c r="V180" s="65" t="str">
        <f>IFERROR(VLOOKUP(TableHandbook[[#This Row],[UDC]],TableMJRUKORES[],7,FALSE),"")</f>
        <v/>
      </c>
      <c r="W180" s="65" t="str">
        <f>IFERROR(VLOOKUP(TableHandbook[[#This Row],[UDC]],TableMJRULITCU[],7,FALSE),"")</f>
        <v/>
      </c>
      <c r="X180" s="65" t="str">
        <f>IFERROR(VLOOKUP(TableHandbook[[#This Row],[UDC]],TableMJRUNETCM[],7,FALSE),"")</f>
        <v/>
      </c>
      <c r="Y180" s="65" t="str">
        <f>IFERROR(VLOOKUP(TableHandbook[[#This Row],[UDC]],TableMJRUPRWRP[],7,FALSE),"")</f>
        <v/>
      </c>
      <c r="Z180" s="66" t="str">
        <f>IFERROR(VLOOKUP(TableHandbook[[#This Row],[UDC]],TableMJRUSCSTR[],7,FALSE),"")</f>
        <v/>
      </c>
      <c r="AA180" s="74"/>
      <c r="AB180" s="66" t="str">
        <f>IFERROR(VLOOKUP(TableHandbook[[#This Row],[UDC]],TableMJRUBSLAW[],7,FALSE),"")</f>
        <v/>
      </c>
      <c r="AC180" s="66" t="str">
        <f>IFERROR(VLOOKUP(TableHandbook[[#This Row],[UDC]],TableMJRUECONS[],7,FALSE),"")</f>
        <v/>
      </c>
      <c r="AD180" s="66" t="str">
        <f>IFERROR(VLOOKUP(TableHandbook[[#This Row],[UDC]],TableMJRUFINAR[],7,FALSE),"")</f>
        <v/>
      </c>
      <c r="AE180" s="66" t="str">
        <f>IFERROR(VLOOKUP(TableHandbook[[#This Row],[UDC]],TableMJRUFINCE[],7,FALSE),"")</f>
        <v/>
      </c>
      <c r="AF180" s="66" t="str">
        <f>IFERROR(VLOOKUP(TableHandbook[[#This Row],[UDC]],TableMJRUHRMGM[],7,FALSE),"")</f>
        <v/>
      </c>
      <c r="AG180" s="66" t="str">
        <f>IFERROR(VLOOKUP(TableHandbook[[#This Row],[UDC]],TableMJRUINTBU[],7,FALSE),"")</f>
        <v/>
      </c>
      <c r="AH180" s="66" t="str">
        <f>IFERROR(VLOOKUP(TableHandbook[[#This Row],[UDC]],TableMJRULGSCM[],7,FALSE),"")</f>
        <v>Core</v>
      </c>
      <c r="AI180" s="66" t="str">
        <f>IFERROR(VLOOKUP(TableHandbook[[#This Row],[UDC]],TableMJRUMNGMT[],7,FALSE),"")</f>
        <v/>
      </c>
      <c r="AJ180" s="66" t="str">
        <f>IFERROR(VLOOKUP(TableHandbook[[#This Row],[UDC]],TableMJRUMRKTG[],7,FALSE),"")</f>
        <v/>
      </c>
      <c r="AK180" s="66" t="str">
        <f>IFERROR(VLOOKUP(TableHandbook[[#This Row],[UDC]],TableMJRUPRPTY[],7,FALSE),"")</f>
        <v/>
      </c>
      <c r="AL180" s="66" t="str">
        <f>IFERROR(VLOOKUP(TableHandbook[[#This Row],[UDC]],TableMJRUSCRAR[],7,FALSE),"")</f>
        <v/>
      </c>
      <c r="AM180" s="66" t="str">
        <f>IFERROR(VLOOKUP(TableHandbook[[#This Row],[UDC]],TableMJRUTHTRA[],7,FALSE),"")</f>
        <v/>
      </c>
      <c r="AN180" s="66" t="str">
        <f>IFERROR(VLOOKUP(TableHandbook[[#This Row],[UDC]],TableMJRUTRHOS[],7,FALSE),"")</f>
        <v/>
      </c>
    </row>
    <row r="181" spans="1:40" x14ac:dyDescent="0.25">
      <c r="A181" s="8" t="s">
        <v>490</v>
      </c>
      <c r="B181" s="9">
        <v>2</v>
      </c>
      <c r="C181" s="8"/>
      <c r="D181" s="8" t="s">
        <v>719</v>
      </c>
      <c r="E181" s="9">
        <v>25</v>
      </c>
      <c r="F181" s="49" t="s">
        <v>594</v>
      </c>
      <c r="G181" s="67" t="str">
        <f>IFERROR(IF(VLOOKUP(TableHandbook[[#This Row],[UDC]],TableAvailabilities[],2,FALSE)&gt;0,"Y",""),"")</f>
        <v/>
      </c>
      <c r="H181" s="68" t="str">
        <f>IFERROR(IF(VLOOKUP(TableHandbook[[#This Row],[UDC]],TableAvailabilities[],3,FALSE)&gt;0,"Y",""),"")</f>
        <v/>
      </c>
      <c r="I181" s="69" t="str">
        <f>IFERROR(IF(VLOOKUP(TableHandbook[[#This Row],[UDC]],TableAvailabilities[],4,FALSE)&gt;0,"Y",""),"")</f>
        <v/>
      </c>
      <c r="J181" s="70" t="str">
        <f>IFERROR(IF(VLOOKUP(TableHandbook[[#This Row],[UDC]],TableAvailabilities[],5,FALSE)&gt;0,"Y",""),"")</f>
        <v/>
      </c>
      <c r="K181" s="175" t="s">
        <v>720</v>
      </c>
      <c r="L181" s="64" t="str">
        <f>IFERROR(VLOOKUP(TableHandbook[[#This Row],[UDC]],TableBARTS[],7,FALSE),"")</f>
        <v/>
      </c>
      <c r="M181" s="65" t="str">
        <f>IFERROR(VLOOKUP(TableHandbook[[#This Row],[UDC]],TableMJRUANTSO[],7,FALSE),"")</f>
        <v/>
      </c>
      <c r="N181" s="65" t="str">
        <f>IFERROR(VLOOKUP(TableHandbook[[#This Row],[UDC]],TableMJRUCHNSE[],7,FALSE),"")</f>
        <v/>
      </c>
      <c r="O181" s="65" t="str">
        <f>IFERROR(VLOOKUP(TableHandbook[[#This Row],[UDC]],TableMJRUCRWRI[],7,FALSE),"")</f>
        <v/>
      </c>
      <c r="P181" s="65" t="str">
        <f>IFERROR(VLOOKUP(TableHandbook[[#This Row],[UDC]],TableMJRUGEOGR[],7,FALSE),"")</f>
        <v/>
      </c>
      <c r="Q181" s="65" t="str">
        <f>IFERROR(VLOOKUP(TableHandbook[[#This Row],[UDC]],TableMJRUHISTR[],7,FALSE),"")</f>
        <v/>
      </c>
      <c r="R181" s="65" t="str">
        <f>IFERROR(VLOOKUP(TableHandbook[[#This Row],[UDC]],TableMJRUINAUC[],7,FALSE),"")</f>
        <v/>
      </c>
      <c r="S181" s="65" t="str">
        <f>IFERROR(VLOOKUP(TableHandbook[[#This Row],[UDC]],TableMJRUINTRL[],7,FALSE),"")</f>
        <v/>
      </c>
      <c r="T181" s="65" t="str">
        <f>IFERROR(VLOOKUP(TableHandbook[[#This Row],[UDC]],TableMJRUJAPAN[],7,FALSE),"")</f>
        <v/>
      </c>
      <c r="U181" s="65" t="str">
        <f>IFERROR(VLOOKUP(TableHandbook[[#This Row],[UDC]],TableMJRUJOURN[],7,FALSE),"")</f>
        <v/>
      </c>
      <c r="V181" s="65" t="str">
        <f>IFERROR(VLOOKUP(TableHandbook[[#This Row],[UDC]],TableMJRUKORES[],7,FALSE),"")</f>
        <v/>
      </c>
      <c r="W181" s="65" t="str">
        <f>IFERROR(VLOOKUP(TableHandbook[[#This Row],[UDC]],TableMJRULITCU[],7,FALSE),"")</f>
        <v/>
      </c>
      <c r="X181" s="65" t="str">
        <f>IFERROR(VLOOKUP(TableHandbook[[#This Row],[UDC]],TableMJRUNETCM[],7,FALSE),"")</f>
        <v/>
      </c>
      <c r="Y181" s="65" t="str">
        <f>IFERROR(VLOOKUP(TableHandbook[[#This Row],[UDC]],TableMJRUPRWRP[],7,FALSE),"")</f>
        <v/>
      </c>
      <c r="Z181" s="66" t="str">
        <f>IFERROR(VLOOKUP(TableHandbook[[#This Row],[UDC]],TableMJRUSCSTR[],7,FALSE),"")</f>
        <v/>
      </c>
      <c r="AA181" s="74"/>
      <c r="AB181" s="66" t="str">
        <f>IFERROR(VLOOKUP(TableHandbook[[#This Row],[UDC]],TableMJRUBSLAW[],7,FALSE),"")</f>
        <v/>
      </c>
      <c r="AC181" s="66" t="str">
        <f>IFERROR(VLOOKUP(TableHandbook[[#This Row],[UDC]],TableMJRUECONS[],7,FALSE),"")</f>
        <v/>
      </c>
      <c r="AD181" s="66" t="str">
        <f>IFERROR(VLOOKUP(TableHandbook[[#This Row],[UDC]],TableMJRUFINAR[],7,FALSE),"")</f>
        <v/>
      </c>
      <c r="AE181" s="66" t="str">
        <f>IFERROR(VLOOKUP(TableHandbook[[#This Row],[UDC]],TableMJRUFINCE[],7,FALSE),"")</f>
        <v/>
      </c>
      <c r="AF181" s="66" t="str">
        <f>IFERROR(VLOOKUP(TableHandbook[[#This Row],[UDC]],TableMJRUHRMGM[],7,FALSE),"")</f>
        <v/>
      </c>
      <c r="AG181" s="66" t="str">
        <f>IFERROR(VLOOKUP(TableHandbook[[#This Row],[UDC]],TableMJRUINTBU[],7,FALSE),"")</f>
        <v/>
      </c>
      <c r="AH181" s="66" t="str">
        <f>IFERROR(VLOOKUP(TableHandbook[[#This Row],[UDC]],TableMJRULGSCM[],7,FALSE),"")</f>
        <v/>
      </c>
      <c r="AI181" s="66" t="str">
        <f>IFERROR(VLOOKUP(TableHandbook[[#This Row],[UDC]],TableMJRUMNGMT[],7,FALSE),"")</f>
        <v/>
      </c>
      <c r="AJ181" s="66" t="str">
        <f>IFERROR(VLOOKUP(TableHandbook[[#This Row],[UDC]],TableMJRUMRKTG[],7,FALSE),"")</f>
        <v/>
      </c>
      <c r="AK181" s="66" t="str">
        <f>IFERROR(VLOOKUP(TableHandbook[[#This Row],[UDC]],TableMJRUPRPTY[],7,FALSE),"")</f>
        <v/>
      </c>
      <c r="AL181" s="66" t="str">
        <f>IFERROR(VLOOKUP(TableHandbook[[#This Row],[UDC]],TableMJRUSCRAR[],7,FALSE),"")</f>
        <v/>
      </c>
      <c r="AM181" s="66" t="str">
        <f>IFERROR(VLOOKUP(TableHandbook[[#This Row],[UDC]],TableMJRUTHTRA[],7,FALSE),"")</f>
        <v/>
      </c>
      <c r="AN181" s="66" t="str">
        <f>IFERROR(VLOOKUP(TableHandbook[[#This Row],[UDC]],TableMJRUTRHOS[],7,FALSE),"")</f>
        <v>AltCore</v>
      </c>
    </row>
    <row r="182" spans="1:40" x14ac:dyDescent="0.25">
      <c r="A182" s="8" t="s">
        <v>466</v>
      </c>
      <c r="B182" s="9">
        <v>1</v>
      </c>
      <c r="C182" s="8"/>
      <c r="D182" s="8" t="s">
        <v>721</v>
      </c>
      <c r="E182" s="9">
        <v>25</v>
      </c>
      <c r="F182" s="49" t="s">
        <v>526</v>
      </c>
      <c r="G182" s="67" t="str">
        <f>IFERROR(IF(VLOOKUP(TableHandbook[[#This Row],[UDC]],TableAvailabilities[],2,FALSE)&gt;0,"Y",""),"")</f>
        <v/>
      </c>
      <c r="H182" s="68" t="str">
        <f>IFERROR(IF(VLOOKUP(TableHandbook[[#This Row],[UDC]],TableAvailabilities[],3,FALSE)&gt;0,"Y",""),"")</f>
        <v/>
      </c>
      <c r="I182" s="69" t="str">
        <f>IFERROR(IF(VLOOKUP(TableHandbook[[#This Row],[UDC]],TableAvailabilities[],4,FALSE)&gt;0,"Y",""),"")</f>
        <v>Y</v>
      </c>
      <c r="J182" s="70" t="str">
        <f>IFERROR(IF(VLOOKUP(TableHandbook[[#This Row],[UDC]],TableAvailabilities[],5,FALSE)&gt;0,"Y",""),"")</f>
        <v/>
      </c>
      <c r="K182" s="163"/>
      <c r="L182" s="64" t="str">
        <f>IFERROR(VLOOKUP(TableHandbook[[#This Row],[UDC]],TableBARTS[],7,FALSE),"")</f>
        <v/>
      </c>
      <c r="M182" s="65" t="str">
        <f>IFERROR(VLOOKUP(TableHandbook[[#This Row],[UDC]],TableMJRUANTSO[],7,FALSE),"")</f>
        <v/>
      </c>
      <c r="N182" s="65" t="str">
        <f>IFERROR(VLOOKUP(TableHandbook[[#This Row],[UDC]],TableMJRUCHNSE[],7,FALSE),"")</f>
        <v/>
      </c>
      <c r="O182" s="65" t="str">
        <f>IFERROR(VLOOKUP(TableHandbook[[#This Row],[UDC]],TableMJRUCRWRI[],7,FALSE),"")</f>
        <v/>
      </c>
      <c r="P182" s="65" t="str">
        <f>IFERROR(VLOOKUP(TableHandbook[[#This Row],[UDC]],TableMJRUGEOGR[],7,FALSE),"")</f>
        <v/>
      </c>
      <c r="Q182" s="65" t="str">
        <f>IFERROR(VLOOKUP(TableHandbook[[#This Row],[UDC]],TableMJRUHISTR[],7,FALSE),"")</f>
        <v/>
      </c>
      <c r="R182" s="65" t="str">
        <f>IFERROR(VLOOKUP(TableHandbook[[#This Row],[UDC]],TableMJRUINAUC[],7,FALSE),"")</f>
        <v/>
      </c>
      <c r="S182" s="65" t="str">
        <f>IFERROR(VLOOKUP(TableHandbook[[#This Row],[UDC]],TableMJRUINTRL[],7,FALSE),"")</f>
        <v/>
      </c>
      <c r="T182" s="65" t="str">
        <f>IFERROR(VLOOKUP(TableHandbook[[#This Row],[UDC]],TableMJRUJAPAN[],7,FALSE),"")</f>
        <v/>
      </c>
      <c r="U182" s="65" t="str">
        <f>IFERROR(VLOOKUP(TableHandbook[[#This Row],[UDC]],TableMJRUJOURN[],7,FALSE),"")</f>
        <v/>
      </c>
      <c r="V182" s="65" t="str">
        <f>IFERROR(VLOOKUP(TableHandbook[[#This Row],[UDC]],TableMJRUKORES[],7,FALSE),"")</f>
        <v/>
      </c>
      <c r="W182" s="65" t="str">
        <f>IFERROR(VLOOKUP(TableHandbook[[#This Row],[UDC]],TableMJRULITCU[],7,FALSE),"")</f>
        <v/>
      </c>
      <c r="X182" s="65" t="str">
        <f>IFERROR(VLOOKUP(TableHandbook[[#This Row],[UDC]],TableMJRUNETCM[],7,FALSE),"")</f>
        <v/>
      </c>
      <c r="Y182" s="65" t="str">
        <f>IFERROR(VLOOKUP(TableHandbook[[#This Row],[UDC]],TableMJRUPRWRP[],7,FALSE),"")</f>
        <v/>
      </c>
      <c r="Z182" s="66" t="str">
        <f>IFERROR(VLOOKUP(TableHandbook[[#This Row],[UDC]],TableMJRUSCSTR[],7,FALSE),"")</f>
        <v/>
      </c>
      <c r="AA182" s="74"/>
      <c r="AB182" s="66" t="str">
        <f>IFERROR(VLOOKUP(TableHandbook[[#This Row],[UDC]],TableMJRUBSLAW[],7,FALSE),"")</f>
        <v/>
      </c>
      <c r="AC182" s="66" t="str">
        <f>IFERROR(VLOOKUP(TableHandbook[[#This Row],[UDC]],TableMJRUECONS[],7,FALSE),"")</f>
        <v/>
      </c>
      <c r="AD182" s="66" t="str">
        <f>IFERROR(VLOOKUP(TableHandbook[[#This Row],[UDC]],TableMJRUFINAR[],7,FALSE),"")</f>
        <v/>
      </c>
      <c r="AE182" s="66" t="str">
        <f>IFERROR(VLOOKUP(TableHandbook[[#This Row],[UDC]],TableMJRUFINCE[],7,FALSE),"")</f>
        <v/>
      </c>
      <c r="AF182" s="66" t="str">
        <f>IFERROR(VLOOKUP(TableHandbook[[#This Row],[UDC]],TableMJRUHRMGM[],7,FALSE),"")</f>
        <v/>
      </c>
      <c r="AG182" s="66" t="str">
        <f>IFERROR(VLOOKUP(TableHandbook[[#This Row],[UDC]],TableMJRUINTBU[],7,FALSE),"")</f>
        <v/>
      </c>
      <c r="AH182" s="66" t="str">
        <f>IFERROR(VLOOKUP(TableHandbook[[#This Row],[UDC]],TableMJRULGSCM[],7,FALSE),"")</f>
        <v>Core</v>
      </c>
      <c r="AI182" s="66" t="str">
        <f>IFERROR(VLOOKUP(TableHandbook[[#This Row],[UDC]],TableMJRUMNGMT[],7,FALSE),"")</f>
        <v/>
      </c>
      <c r="AJ182" s="66" t="str">
        <f>IFERROR(VLOOKUP(TableHandbook[[#This Row],[UDC]],TableMJRUMRKTG[],7,FALSE),"")</f>
        <v/>
      </c>
      <c r="AK182" s="66" t="str">
        <f>IFERROR(VLOOKUP(TableHandbook[[#This Row],[UDC]],TableMJRUPRPTY[],7,FALSE),"")</f>
        <v/>
      </c>
      <c r="AL182" s="66" t="str">
        <f>IFERROR(VLOOKUP(TableHandbook[[#This Row],[UDC]],TableMJRUSCRAR[],7,FALSE),"")</f>
        <v/>
      </c>
      <c r="AM182" s="66" t="str">
        <f>IFERROR(VLOOKUP(TableHandbook[[#This Row],[UDC]],TableMJRUTHTRA[],7,FALSE),"")</f>
        <v/>
      </c>
      <c r="AN182" s="66" t="str">
        <f>IFERROR(VLOOKUP(TableHandbook[[#This Row],[UDC]],TableMJRUTRHOS[],7,FALSE),"")</f>
        <v/>
      </c>
    </row>
    <row r="183" spans="1:40" x14ac:dyDescent="0.25">
      <c r="A183" s="8" t="s">
        <v>110</v>
      </c>
      <c r="B183" s="9">
        <v>2</v>
      </c>
      <c r="C183" s="8"/>
      <c r="D183" s="8" t="s">
        <v>109</v>
      </c>
      <c r="E183" s="9">
        <v>200</v>
      </c>
      <c r="F183" s="49" t="s">
        <v>277</v>
      </c>
      <c r="G183" s="67" t="str">
        <f>IFERROR(IF(VLOOKUP(TableHandbook[[#This Row],[UDC]],TableAvailabilities[],2,FALSE)&gt;0,"Y",""),"")</f>
        <v/>
      </c>
      <c r="H183" s="68" t="str">
        <f>IFERROR(IF(VLOOKUP(TableHandbook[[#This Row],[UDC]],TableAvailabilities[],3,FALSE)&gt;0,"Y",""),"")</f>
        <v/>
      </c>
      <c r="I183" s="69" t="str">
        <f>IFERROR(IF(VLOOKUP(TableHandbook[[#This Row],[UDC]],TableAvailabilities[],4,FALSE)&gt;0,"Y",""),"")</f>
        <v/>
      </c>
      <c r="J183" s="70" t="str">
        <f>IFERROR(IF(VLOOKUP(TableHandbook[[#This Row],[UDC]],TableAvailabilities[],5,FALSE)&gt;0,"Y",""),"")</f>
        <v/>
      </c>
      <c r="K183" s="163"/>
      <c r="L183" s="64" t="str">
        <f>IFERROR(VLOOKUP(TableHandbook[[#This Row],[UDC]],TableBARTS[],7,FALSE),"")</f>
        <v>Core/Option</v>
      </c>
      <c r="M183" s="65" t="str">
        <f>IFERROR(VLOOKUP(TableHandbook[[#This Row],[UDC]],TableMJRUANTSO[],7,FALSE),"")</f>
        <v/>
      </c>
      <c r="N183" s="65" t="str">
        <f>IFERROR(VLOOKUP(TableHandbook[[#This Row],[UDC]],TableMJRUCHNSE[],7,FALSE),"")</f>
        <v/>
      </c>
      <c r="O183" s="65" t="str">
        <f>IFERROR(VLOOKUP(TableHandbook[[#This Row],[UDC]],TableMJRUCRWRI[],7,FALSE),"")</f>
        <v/>
      </c>
      <c r="P183" s="65" t="str">
        <f>IFERROR(VLOOKUP(TableHandbook[[#This Row],[UDC]],TableMJRUGEOGR[],7,FALSE),"")</f>
        <v/>
      </c>
      <c r="Q183" s="65" t="str">
        <f>IFERROR(VLOOKUP(TableHandbook[[#This Row],[UDC]],TableMJRUHISTR[],7,FALSE),"")</f>
        <v/>
      </c>
      <c r="R183" s="65" t="str">
        <f>IFERROR(VLOOKUP(TableHandbook[[#This Row],[UDC]],TableMJRUINAUC[],7,FALSE),"")</f>
        <v/>
      </c>
      <c r="S183" s="65" t="str">
        <f>IFERROR(VLOOKUP(TableHandbook[[#This Row],[UDC]],TableMJRUINTRL[],7,FALSE),"")</f>
        <v/>
      </c>
      <c r="T183" s="65" t="str">
        <f>IFERROR(VLOOKUP(TableHandbook[[#This Row],[UDC]],TableMJRUJAPAN[],7,FALSE),"")</f>
        <v/>
      </c>
      <c r="U183" s="65" t="str">
        <f>IFERROR(VLOOKUP(TableHandbook[[#This Row],[UDC]],TableMJRUJOURN[],7,FALSE),"")</f>
        <v/>
      </c>
      <c r="V183" s="65" t="str">
        <f>IFERROR(VLOOKUP(TableHandbook[[#This Row],[UDC]],TableMJRUKORES[],7,FALSE),"")</f>
        <v/>
      </c>
      <c r="W183" s="65" t="str">
        <f>IFERROR(VLOOKUP(TableHandbook[[#This Row],[UDC]],TableMJRULITCU[],7,FALSE),"")</f>
        <v/>
      </c>
      <c r="X183" s="65" t="str">
        <f>IFERROR(VLOOKUP(TableHandbook[[#This Row],[UDC]],TableMJRUNETCM[],7,FALSE),"")</f>
        <v/>
      </c>
      <c r="Y183" s="65" t="str">
        <f>IFERROR(VLOOKUP(TableHandbook[[#This Row],[UDC]],TableMJRUPRWRP[],7,FALSE),"")</f>
        <v/>
      </c>
      <c r="Z183" s="66" t="str">
        <f>IFERROR(VLOOKUP(TableHandbook[[#This Row],[UDC]],TableMJRUSCSTR[],7,FALSE),"")</f>
        <v/>
      </c>
      <c r="AA183" s="74"/>
      <c r="AB183" s="66" t="str">
        <f>IFERROR(VLOOKUP(TableHandbook[[#This Row],[UDC]],TableMJRUBSLAW[],7,FALSE),"")</f>
        <v/>
      </c>
      <c r="AC183" s="66" t="str">
        <f>IFERROR(VLOOKUP(TableHandbook[[#This Row],[UDC]],TableMJRUECONS[],7,FALSE),"")</f>
        <v/>
      </c>
      <c r="AD183" s="66" t="str">
        <f>IFERROR(VLOOKUP(TableHandbook[[#This Row],[UDC]],TableMJRUFINAR[],7,FALSE),"")</f>
        <v/>
      </c>
      <c r="AE183" s="66" t="str">
        <f>IFERROR(VLOOKUP(TableHandbook[[#This Row],[UDC]],TableMJRUFINCE[],7,FALSE),"")</f>
        <v/>
      </c>
      <c r="AF183" s="66" t="str">
        <f>IFERROR(VLOOKUP(TableHandbook[[#This Row],[UDC]],TableMJRUHRMGM[],7,FALSE),"")</f>
        <v/>
      </c>
      <c r="AG183" s="66" t="str">
        <f>IFERROR(VLOOKUP(TableHandbook[[#This Row],[UDC]],TableMJRUINTBU[],7,FALSE),"")</f>
        <v/>
      </c>
      <c r="AH183" s="66" t="str">
        <f>IFERROR(VLOOKUP(TableHandbook[[#This Row],[UDC]],TableMJRULGSCM[],7,FALSE),"")</f>
        <v/>
      </c>
      <c r="AI183" s="66" t="str">
        <f>IFERROR(VLOOKUP(TableHandbook[[#This Row],[UDC]],TableMJRUMNGMT[],7,FALSE),"")</f>
        <v/>
      </c>
      <c r="AJ183" s="66" t="str">
        <f>IFERROR(VLOOKUP(TableHandbook[[#This Row],[UDC]],TableMJRUMRKTG[],7,FALSE),"")</f>
        <v/>
      </c>
      <c r="AK183" s="66" t="str">
        <f>IFERROR(VLOOKUP(TableHandbook[[#This Row],[UDC]],TableMJRUPRPTY[],7,FALSE),"")</f>
        <v/>
      </c>
      <c r="AL183" s="66" t="str">
        <f>IFERROR(VLOOKUP(TableHandbook[[#This Row],[UDC]],TableMJRUSCRAR[],7,FALSE),"")</f>
        <v/>
      </c>
      <c r="AM183" s="66" t="str">
        <f>IFERROR(VLOOKUP(TableHandbook[[#This Row],[UDC]],TableMJRUTHTRA[],7,FALSE),"")</f>
        <v/>
      </c>
      <c r="AN183" s="66" t="str">
        <f>IFERROR(VLOOKUP(TableHandbook[[#This Row],[UDC]],TableMJRUTRHOS[],7,FALSE),"")</f>
        <v/>
      </c>
    </row>
    <row r="184" spans="1:40" x14ac:dyDescent="0.25">
      <c r="A184" s="8" t="s">
        <v>313</v>
      </c>
      <c r="B184" s="9">
        <v>2</v>
      </c>
      <c r="C184" s="8"/>
      <c r="D184" s="8" t="s">
        <v>312</v>
      </c>
      <c r="E184" s="9">
        <v>200</v>
      </c>
      <c r="F184" s="49" t="s">
        <v>277</v>
      </c>
      <c r="G184" s="67" t="str">
        <f>IFERROR(IF(VLOOKUP(TableHandbook[[#This Row],[UDC]],TableAvailabilities[],2,FALSE)&gt;0,"Y",""),"")</f>
        <v/>
      </c>
      <c r="H184" s="68" t="str">
        <f>IFERROR(IF(VLOOKUP(TableHandbook[[#This Row],[UDC]],TableAvailabilities[],3,FALSE)&gt;0,"Y",""),"")</f>
        <v/>
      </c>
      <c r="I184" s="69" t="str">
        <f>IFERROR(IF(VLOOKUP(TableHandbook[[#This Row],[UDC]],TableAvailabilities[],4,FALSE)&gt;0,"Y",""),"")</f>
        <v/>
      </c>
      <c r="J184" s="70" t="str">
        <f>IFERROR(IF(VLOOKUP(TableHandbook[[#This Row],[UDC]],TableAvailabilities[],5,FALSE)&gt;0,"Y",""),"")</f>
        <v/>
      </c>
      <c r="K184" s="163" t="s">
        <v>533</v>
      </c>
      <c r="L184" s="64" t="str">
        <f>IFERROR(VLOOKUP(TableHandbook[[#This Row],[UDC]],TableBARTS[],7,FALSE),"")</f>
        <v>Option</v>
      </c>
      <c r="M184" s="65" t="str">
        <f>IFERROR(VLOOKUP(TableHandbook[[#This Row],[UDC]],TableMJRUANTSO[],7,FALSE),"")</f>
        <v/>
      </c>
      <c r="N184" s="65" t="str">
        <f>IFERROR(VLOOKUP(TableHandbook[[#This Row],[UDC]],TableMJRUCHNSE[],7,FALSE),"")</f>
        <v/>
      </c>
      <c r="O184" s="65" t="str">
        <f>IFERROR(VLOOKUP(TableHandbook[[#This Row],[UDC]],TableMJRUCRWRI[],7,FALSE),"")</f>
        <v/>
      </c>
      <c r="P184" s="65" t="str">
        <f>IFERROR(VLOOKUP(TableHandbook[[#This Row],[UDC]],TableMJRUGEOGR[],7,FALSE),"")</f>
        <v/>
      </c>
      <c r="Q184" s="65" t="str">
        <f>IFERROR(VLOOKUP(TableHandbook[[#This Row],[UDC]],TableMJRUHISTR[],7,FALSE),"")</f>
        <v/>
      </c>
      <c r="R184" s="65" t="str">
        <f>IFERROR(VLOOKUP(TableHandbook[[#This Row],[UDC]],TableMJRUINAUC[],7,FALSE),"")</f>
        <v/>
      </c>
      <c r="S184" s="65" t="str">
        <f>IFERROR(VLOOKUP(TableHandbook[[#This Row],[UDC]],TableMJRUINTRL[],7,FALSE),"")</f>
        <v/>
      </c>
      <c r="T184" s="65" t="str">
        <f>IFERROR(VLOOKUP(TableHandbook[[#This Row],[UDC]],TableMJRUJAPAN[],7,FALSE),"")</f>
        <v/>
      </c>
      <c r="U184" s="65" t="str">
        <f>IFERROR(VLOOKUP(TableHandbook[[#This Row],[UDC]],TableMJRUJOURN[],7,FALSE),"")</f>
        <v/>
      </c>
      <c r="V184" s="65" t="str">
        <f>IFERROR(VLOOKUP(TableHandbook[[#This Row],[UDC]],TableMJRUKORES[],7,FALSE),"")</f>
        <v/>
      </c>
      <c r="W184" s="65" t="str">
        <f>IFERROR(VLOOKUP(TableHandbook[[#This Row],[UDC]],TableMJRULITCU[],7,FALSE),"")</f>
        <v/>
      </c>
      <c r="X184" s="65" t="str">
        <f>IFERROR(VLOOKUP(TableHandbook[[#This Row],[UDC]],TableMJRUNETCM[],7,FALSE),"")</f>
        <v/>
      </c>
      <c r="Y184" s="65" t="str">
        <f>IFERROR(VLOOKUP(TableHandbook[[#This Row],[UDC]],TableMJRUPRWRP[],7,FALSE),"")</f>
        <v/>
      </c>
      <c r="Z184" s="66" t="str">
        <f>IFERROR(VLOOKUP(TableHandbook[[#This Row],[UDC]],TableMJRUSCSTR[],7,FALSE),"")</f>
        <v/>
      </c>
      <c r="AA184" s="74"/>
      <c r="AB184" s="66" t="str">
        <f>IFERROR(VLOOKUP(TableHandbook[[#This Row],[UDC]],TableMJRUBSLAW[],7,FALSE),"")</f>
        <v/>
      </c>
      <c r="AC184" s="66" t="str">
        <f>IFERROR(VLOOKUP(TableHandbook[[#This Row],[UDC]],TableMJRUECONS[],7,FALSE),"")</f>
        <v/>
      </c>
      <c r="AD184" s="66" t="str">
        <f>IFERROR(VLOOKUP(TableHandbook[[#This Row],[UDC]],TableMJRUFINAR[],7,FALSE),"")</f>
        <v/>
      </c>
      <c r="AE184" s="66" t="str">
        <f>IFERROR(VLOOKUP(TableHandbook[[#This Row],[UDC]],TableMJRUFINCE[],7,FALSE),"")</f>
        <v/>
      </c>
      <c r="AF184" s="66" t="str">
        <f>IFERROR(VLOOKUP(TableHandbook[[#This Row],[UDC]],TableMJRUHRMGM[],7,FALSE),"")</f>
        <v/>
      </c>
      <c r="AG184" s="66" t="str">
        <f>IFERROR(VLOOKUP(TableHandbook[[#This Row],[UDC]],TableMJRUINTBU[],7,FALSE),"")</f>
        <v/>
      </c>
      <c r="AH184" s="66" t="str">
        <f>IFERROR(VLOOKUP(TableHandbook[[#This Row],[UDC]],TableMJRULGSCM[],7,FALSE),"")</f>
        <v/>
      </c>
      <c r="AI184" s="66" t="str">
        <f>IFERROR(VLOOKUP(TableHandbook[[#This Row],[UDC]],TableMJRUMNGMT[],7,FALSE),"")</f>
        <v/>
      </c>
      <c r="AJ184" s="66" t="str">
        <f>IFERROR(VLOOKUP(TableHandbook[[#This Row],[UDC]],TableMJRUMRKTG[],7,FALSE),"")</f>
        <v/>
      </c>
      <c r="AK184" s="66" t="str">
        <f>IFERROR(VLOOKUP(TableHandbook[[#This Row],[UDC]],TableMJRUPRPTY[],7,FALSE),"")</f>
        <v/>
      </c>
      <c r="AL184" s="66" t="str">
        <f>IFERROR(VLOOKUP(TableHandbook[[#This Row],[UDC]],TableMJRUSCRAR[],7,FALSE),"")</f>
        <v/>
      </c>
      <c r="AM184" s="66" t="str">
        <f>IFERROR(VLOOKUP(TableHandbook[[#This Row],[UDC]],TableMJRUTHTRA[],7,FALSE),"")</f>
        <v/>
      </c>
      <c r="AN184" s="66" t="str">
        <f>IFERROR(VLOOKUP(TableHandbook[[#This Row],[UDC]],TableMJRUTRHOS[],7,FALSE),"")</f>
        <v/>
      </c>
    </row>
    <row r="185" spans="1:40" x14ac:dyDescent="0.25">
      <c r="A185" s="8" t="s">
        <v>722</v>
      </c>
      <c r="B185" s="9">
        <v>1</v>
      </c>
      <c r="C185" s="8"/>
      <c r="D185" s="8" t="s">
        <v>723</v>
      </c>
      <c r="E185" s="9">
        <v>200</v>
      </c>
      <c r="F185" s="49" t="s">
        <v>277</v>
      </c>
      <c r="G185" s="67" t="str">
        <f>IFERROR(IF(VLOOKUP(TableHandbook[[#This Row],[UDC]],TableAvailabilities[],2,FALSE)&gt;0,"Y",""),"")</f>
        <v/>
      </c>
      <c r="H185" s="68" t="str">
        <f>IFERROR(IF(VLOOKUP(TableHandbook[[#This Row],[UDC]],TableAvailabilities[],3,FALSE)&gt;0,"Y",""),"")</f>
        <v/>
      </c>
      <c r="I185" s="69" t="str">
        <f>IFERROR(IF(VLOOKUP(TableHandbook[[#This Row],[UDC]],TableAvailabilities[],4,FALSE)&gt;0,"Y",""),"")</f>
        <v/>
      </c>
      <c r="J185" s="70" t="str">
        <f>IFERROR(IF(VLOOKUP(TableHandbook[[#This Row],[UDC]],TableAvailabilities[],5,FALSE)&gt;0,"Y",""),"")</f>
        <v/>
      </c>
      <c r="K185" s="163" t="s">
        <v>535</v>
      </c>
      <c r="L185" s="64" t="str">
        <f>IFERROR(VLOOKUP(TableHandbook[[#This Row],[UDC]],TableBARTS[],7,FALSE),"")</f>
        <v/>
      </c>
      <c r="M185" s="65" t="str">
        <f>IFERROR(VLOOKUP(TableHandbook[[#This Row],[UDC]],TableMJRUANTSO[],7,FALSE),"")</f>
        <v/>
      </c>
      <c r="N185" s="65" t="str">
        <f>IFERROR(VLOOKUP(TableHandbook[[#This Row],[UDC]],TableMJRUCHNSE[],7,FALSE),"")</f>
        <v/>
      </c>
      <c r="O185" s="65" t="str">
        <f>IFERROR(VLOOKUP(TableHandbook[[#This Row],[UDC]],TableMJRUCRWRI[],7,FALSE),"")</f>
        <v/>
      </c>
      <c r="P185" s="65" t="str">
        <f>IFERROR(VLOOKUP(TableHandbook[[#This Row],[UDC]],TableMJRUGEOGR[],7,FALSE),"")</f>
        <v/>
      </c>
      <c r="Q185" s="65" t="str">
        <f>IFERROR(VLOOKUP(TableHandbook[[#This Row],[UDC]],TableMJRUHISTR[],7,FALSE),"")</f>
        <v/>
      </c>
      <c r="R185" s="65" t="str">
        <f>IFERROR(VLOOKUP(TableHandbook[[#This Row],[UDC]],TableMJRUINAUC[],7,FALSE),"")</f>
        <v/>
      </c>
      <c r="S185" s="65" t="str">
        <f>IFERROR(VLOOKUP(TableHandbook[[#This Row],[UDC]],TableMJRUINTRL[],7,FALSE),"")</f>
        <v/>
      </c>
      <c r="T185" s="65" t="str">
        <f>IFERROR(VLOOKUP(TableHandbook[[#This Row],[UDC]],TableMJRUJAPAN[],7,FALSE),"")</f>
        <v/>
      </c>
      <c r="U185" s="65" t="str">
        <f>IFERROR(VLOOKUP(TableHandbook[[#This Row],[UDC]],TableMJRUJOURN[],7,FALSE),"")</f>
        <v/>
      </c>
      <c r="V185" s="65" t="str">
        <f>IFERROR(VLOOKUP(TableHandbook[[#This Row],[UDC]],TableMJRUKORES[],7,FALSE),"")</f>
        <v/>
      </c>
      <c r="W185" s="65" t="str">
        <f>IFERROR(VLOOKUP(TableHandbook[[#This Row],[UDC]],TableMJRULITCU[],7,FALSE),"")</f>
        <v/>
      </c>
      <c r="X185" s="65" t="str">
        <f>IFERROR(VLOOKUP(TableHandbook[[#This Row],[UDC]],TableMJRUNETCM[],7,FALSE),"")</f>
        <v/>
      </c>
      <c r="Y185" s="65" t="str">
        <f>IFERROR(VLOOKUP(TableHandbook[[#This Row],[UDC]],TableMJRUPRWRP[],7,FALSE),"")</f>
        <v/>
      </c>
      <c r="Z185" s="66" t="str">
        <f>IFERROR(VLOOKUP(TableHandbook[[#This Row],[UDC]],TableMJRUSCSTR[],7,FALSE),"")</f>
        <v/>
      </c>
      <c r="AA185" s="74"/>
      <c r="AB185" s="66" t="str">
        <f>IFERROR(VLOOKUP(TableHandbook[[#This Row],[UDC]],TableMJRUBSLAW[],7,FALSE),"")</f>
        <v/>
      </c>
      <c r="AC185" s="66" t="str">
        <f>IFERROR(VLOOKUP(TableHandbook[[#This Row],[UDC]],TableMJRUECONS[],7,FALSE),"")</f>
        <v/>
      </c>
      <c r="AD185" s="66" t="str">
        <f>IFERROR(VLOOKUP(TableHandbook[[#This Row],[UDC]],TableMJRUFINAR[],7,FALSE),"")</f>
        <v/>
      </c>
      <c r="AE185" s="66" t="str">
        <f>IFERROR(VLOOKUP(TableHandbook[[#This Row],[UDC]],TableMJRUFINCE[],7,FALSE),"")</f>
        <v/>
      </c>
      <c r="AF185" s="66" t="str">
        <f>IFERROR(VLOOKUP(TableHandbook[[#This Row],[UDC]],TableMJRUHRMGM[],7,FALSE),"")</f>
        <v/>
      </c>
      <c r="AG185" s="66" t="str">
        <f>IFERROR(VLOOKUP(TableHandbook[[#This Row],[UDC]],TableMJRUINTBU[],7,FALSE),"")</f>
        <v/>
      </c>
      <c r="AH185" s="66" t="str">
        <f>IFERROR(VLOOKUP(TableHandbook[[#This Row],[UDC]],TableMJRULGSCM[],7,FALSE),"")</f>
        <v/>
      </c>
      <c r="AI185" s="66" t="str">
        <f>IFERROR(VLOOKUP(TableHandbook[[#This Row],[UDC]],TableMJRUMNGMT[],7,FALSE),"")</f>
        <v/>
      </c>
      <c r="AJ185" s="66" t="str">
        <f>IFERROR(VLOOKUP(TableHandbook[[#This Row],[UDC]],TableMJRUMRKTG[],7,FALSE),"")</f>
        <v/>
      </c>
      <c r="AK185" s="66" t="str">
        <f>IFERROR(VLOOKUP(TableHandbook[[#This Row],[UDC]],TableMJRUPRPTY[],7,FALSE),"")</f>
        <v/>
      </c>
      <c r="AL185" s="66" t="str">
        <f>IFERROR(VLOOKUP(TableHandbook[[#This Row],[UDC]],TableMJRUSCRAR[],7,FALSE),"")</f>
        <v/>
      </c>
      <c r="AM185" s="66" t="str">
        <f>IFERROR(VLOOKUP(TableHandbook[[#This Row],[UDC]],TableMJRUTHTRA[],7,FALSE),"")</f>
        <v/>
      </c>
      <c r="AN185" s="66" t="str">
        <f>IFERROR(VLOOKUP(TableHandbook[[#This Row],[UDC]],TableMJRUTRHOS[],7,FALSE),"")</f>
        <v/>
      </c>
    </row>
    <row r="186" spans="1:40" x14ac:dyDescent="0.25">
      <c r="A186" s="8" t="s">
        <v>115</v>
      </c>
      <c r="B186" s="9">
        <v>1</v>
      </c>
      <c r="C186" s="8"/>
      <c r="D186" s="8" t="s">
        <v>114</v>
      </c>
      <c r="E186" s="9">
        <v>200</v>
      </c>
      <c r="F186" s="49" t="s">
        <v>277</v>
      </c>
      <c r="G186" s="67" t="str">
        <f>IFERROR(IF(VLOOKUP(TableHandbook[[#This Row],[UDC]],TableAvailabilities[],2,FALSE)&gt;0,"Y",""),"")</f>
        <v/>
      </c>
      <c r="H186" s="68" t="str">
        <f>IFERROR(IF(VLOOKUP(TableHandbook[[#This Row],[UDC]],TableAvailabilities[],3,FALSE)&gt;0,"Y",""),"")</f>
        <v/>
      </c>
      <c r="I186" s="69" t="str">
        <f>IFERROR(IF(VLOOKUP(TableHandbook[[#This Row],[UDC]],TableAvailabilities[],4,FALSE)&gt;0,"Y",""),"")</f>
        <v/>
      </c>
      <c r="J186" s="70" t="str">
        <f>IFERROR(IF(VLOOKUP(TableHandbook[[#This Row],[UDC]],TableAvailabilities[],5,FALSE)&gt;0,"Y",""),"")</f>
        <v/>
      </c>
      <c r="K186" s="163"/>
      <c r="L186" s="64" t="str">
        <f>IFERROR(VLOOKUP(TableHandbook[[#This Row],[UDC]],TableBARTS[],7,FALSE),"")</f>
        <v>Core/Option</v>
      </c>
      <c r="M186" s="65" t="str">
        <f>IFERROR(VLOOKUP(TableHandbook[[#This Row],[UDC]],TableMJRUANTSO[],7,FALSE),"")</f>
        <v/>
      </c>
      <c r="N186" s="65" t="str">
        <f>IFERROR(VLOOKUP(TableHandbook[[#This Row],[UDC]],TableMJRUCHNSE[],7,FALSE),"")</f>
        <v/>
      </c>
      <c r="O186" s="65" t="str">
        <f>IFERROR(VLOOKUP(TableHandbook[[#This Row],[UDC]],TableMJRUCRWRI[],7,FALSE),"")</f>
        <v/>
      </c>
      <c r="P186" s="65" t="str">
        <f>IFERROR(VLOOKUP(TableHandbook[[#This Row],[UDC]],TableMJRUGEOGR[],7,FALSE),"")</f>
        <v/>
      </c>
      <c r="Q186" s="65" t="str">
        <f>IFERROR(VLOOKUP(TableHandbook[[#This Row],[UDC]],TableMJRUHISTR[],7,FALSE),"")</f>
        <v/>
      </c>
      <c r="R186" s="65" t="str">
        <f>IFERROR(VLOOKUP(TableHandbook[[#This Row],[UDC]],TableMJRUINAUC[],7,FALSE),"")</f>
        <v/>
      </c>
      <c r="S186" s="65" t="str">
        <f>IFERROR(VLOOKUP(TableHandbook[[#This Row],[UDC]],TableMJRUINTRL[],7,FALSE),"")</f>
        <v/>
      </c>
      <c r="T186" s="65" t="str">
        <f>IFERROR(VLOOKUP(TableHandbook[[#This Row],[UDC]],TableMJRUJAPAN[],7,FALSE),"")</f>
        <v/>
      </c>
      <c r="U186" s="65" t="str">
        <f>IFERROR(VLOOKUP(TableHandbook[[#This Row],[UDC]],TableMJRUJOURN[],7,FALSE),"")</f>
        <v/>
      </c>
      <c r="V186" s="65" t="str">
        <f>IFERROR(VLOOKUP(TableHandbook[[#This Row],[UDC]],TableMJRUKORES[],7,FALSE),"")</f>
        <v/>
      </c>
      <c r="W186" s="65" t="str">
        <f>IFERROR(VLOOKUP(TableHandbook[[#This Row],[UDC]],TableMJRULITCU[],7,FALSE),"")</f>
        <v/>
      </c>
      <c r="X186" s="65" t="str">
        <f>IFERROR(VLOOKUP(TableHandbook[[#This Row],[UDC]],TableMJRUNETCM[],7,FALSE),"")</f>
        <v/>
      </c>
      <c r="Y186" s="65" t="str">
        <f>IFERROR(VLOOKUP(TableHandbook[[#This Row],[UDC]],TableMJRUPRWRP[],7,FALSE),"")</f>
        <v/>
      </c>
      <c r="Z186" s="66" t="str">
        <f>IFERROR(VLOOKUP(TableHandbook[[#This Row],[UDC]],TableMJRUSCSTR[],7,FALSE),"")</f>
        <v/>
      </c>
      <c r="AA186" s="74"/>
      <c r="AB186" s="66" t="str">
        <f>IFERROR(VLOOKUP(TableHandbook[[#This Row],[UDC]],TableMJRUBSLAW[],7,FALSE),"")</f>
        <v/>
      </c>
      <c r="AC186" s="66" t="str">
        <f>IFERROR(VLOOKUP(TableHandbook[[#This Row],[UDC]],TableMJRUECONS[],7,FALSE),"")</f>
        <v/>
      </c>
      <c r="AD186" s="66" t="str">
        <f>IFERROR(VLOOKUP(TableHandbook[[#This Row],[UDC]],TableMJRUFINAR[],7,FALSE),"")</f>
        <v/>
      </c>
      <c r="AE186" s="66" t="str">
        <f>IFERROR(VLOOKUP(TableHandbook[[#This Row],[UDC]],TableMJRUFINCE[],7,FALSE),"")</f>
        <v/>
      </c>
      <c r="AF186" s="66" t="str">
        <f>IFERROR(VLOOKUP(TableHandbook[[#This Row],[UDC]],TableMJRUHRMGM[],7,FALSE),"")</f>
        <v/>
      </c>
      <c r="AG186" s="66" t="str">
        <f>IFERROR(VLOOKUP(TableHandbook[[#This Row],[UDC]],TableMJRUINTBU[],7,FALSE),"")</f>
        <v/>
      </c>
      <c r="AH186" s="66" t="str">
        <f>IFERROR(VLOOKUP(TableHandbook[[#This Row],[UDC]],TableMJRULGSCM[],7,FALSE),"")</f>
        <v/>
      </c>
      <c r="AI186" s="66" t="str">
        <f>IFERROR(VLOOKUP(TableHandbook[[#This Row],[UDC]],TableMJRUMNGMT[],7,FALSE),"")</f>
        <v/>
      </c>
      <c r="AJ186" s="66" t="str">
        <f>IFERROR(VLOOKUP(TableHandbook[[#This Row],[UDC]],TableMJRUMRKTG[],7,FALSE),"")</f>
        <v/>
      </c>
      <c r="AK186" s="66" t="str">
        <f>IFERROR(VLOOKUP(TableHandbook[[#This Row],[UDC]],TableMJRUPRPTY[],7,FALSE),"")</f>
        <v/>
      </c>
      <c r="AL186" s="66" t="str">
        <f>IFERROR(VLOOKUP(TableHandbook[[#This Row],[UDC]],TableMJRUSCRAR[],7,FALSE),"")</f>
        <v/>
      </c>
      <c r="AM186" s="66" t="str">
        <f>IFERROR(VLOOKUP(TableHandbook[[#This Row],[UDC]],TableMJRUTHTRA[],7,FALSE),"")</f>
        <v/>
      </c>
      <c r="AN186" s="66" t="str">
        <f>IFERROR(VLOOKUP(TableHandbook[[#This Row],[UDC]],TableMJRUTRHOS[],7,FALSE),"")</f>
        <v/>
      </c>
    </row>
    <row r="187" spans="1:40" x14ac:dyDescent="0.25">
      <c r="A187" s="8" t="s">
        <v>119</v>
      </c>
      <c r="B187" s="9">
        <v>1</v>
      </c>
      <c r="C187" s="8"/>
      <c r="D187" s="8" t="s">
        <v>118</v>
      </c>
      <c r="E187" s="9">
        <v>200</v>
      </c>
      <c r="F187" s="49" t="s">
        <v>277</v>
      </c>
      <c r="G187" s="67" t="str">
        <f>IFERROR(IF(VLOOKUP(TableHandbook[[#This Row],[UDC]],TableAvailabilities[],2,FALSE)&gt;0,"Y",""),"")</f>
        <v/>
      </c>
      <c r="H187" s="68" t="str">
        <f>IFERROR(IF(VLOOKUP(TableHandbook[[#This Row],[UDC]],TableAvailabilities[],3,FALSE)&gt;0,"Y",""),"")</f>
        <v/>
      </c>
      <c r="I187" s="69" t="str">
        <f>IFERROR(IF(VLOOKUP(TableHandbook[[#This Row],[UDC]],TableAvailabilities[],4,FALSE)&gt;0,"Y",""),"")</f>
        <v/>
      </c>
      <c r="J187" s="70" t="str">
        <f>IFERROR(IF(VLOOKUP(TableHandbook[[#This Row],[UDC]],TableAvailabilities[],5,FALSE)&gt;0,"Y",""),"")</f>
        <v/>
      </c>
      <c r="K187" s="163"/>
      <c r="L187" s="64" t="str">
        <f>IFERROR(VLOOKUP(TableHandbook[[#This Row],[UDC]],TableBARTS[],7,FALSE),"")</f>
        <v>Core/Option</v>
      </c>
      <c r="M187" s="65" t="str">
        <f>IFERROR(VLOOKUP(TableHandbook[[#This Row],[UDC]],TableMJRUANTSO[],7,FALSE),"")</f>
        <v/>
      </c>
      <c r="N187" s="65" t="str">
        <f>IFERROR(VLOOKUP(TableHandbook[[#This Row],[UDC]],TableMJRUCHNSE[],7,FALSE),"")</f>
        <v/>
      </c>
      <c r="O187" s="65" t="str">
        <f>IFERROR(VLOOKUP(TableHandbook[[#This Row],[UDC]],TableMJRUCRWRI[],7,FALSE),"")</f>
        <v/>
      </c>
      <c r="P187" s="65" t="str">
        <f>IFERROR(VLOOKUP(TableHandbook[[#This Row],[UDC]],TableMJRUGEOGR[],7,FALSE),"")</f>
        <v/>
      </c>
      <c r="Q187" s="65" t="str">
        <f>IFERROR(VLOOKUP(TableHandbook[[#This Row],[UDC]],TableMJRUHISTR[],7,FALSE),"")</f>
        <v/>
      </c>
      <c r="R187" s="65" t="str">
        <f>IFERROR(VLOOKUP(TableHandbook[[#This Row],[UDC]],TableMJRUINAUC[],7,FALSE),"")</f>
        <v/>
      </c>
      <c r="S187" s="65" t="str">
        <f>IFERROR(VLOOKUP(TableHandbook[[#This Row],[UDC]],TableMJRUINTRL[],7,FALSE),"")</f>
        <v/>
      </c>
      <c r="T187" s="65" t="str">
        <f>IFERROR(VLOOKUP(TableHandbook[[#This Row],[UDC]],TableMJRUJAPAN[],7,FALSE),"")</f>
        <v/>
      </c>
      <c r="U187" s="65" t="str">
        <f>IFERROR(VLOOKUP(TableHandbook[[#This Row],[UDC]],TableMJRUJOURN[],7,FALSE),"")</f>
        <v/>
      </c>
      <c r="V187" s="65" t="str">
        <f>IFERROR(VLOOKUP(TableHandbook[[#This Row],[UDC]],TableMJRUKORES[],7,FALSE),"")</f>
        <v/>
      </c>
      <c r="W187" s="65" t="str">
        <f>IFERROR(VLOOKUP(TableHandbook[[#This Row],[UDC]],TableMJRULITCU[],7,FALSE),"")</f>
        <v/>
      </c>
      <c r="X187" s="65" t="str">
        <f>IFERROR(VLOOKUP(TableHandbook[[#This Row],[UDC]],TableMJRUNETCM[],7,FALSE),"")</f>
        <v/>
      </c>
      <c r="Y187" s="65" t="str">
        <f>IFERROR(VLOOKUP(TableHandbook[[#This Row],[UDC]],TableMJRUPRWRP[],7,FALSE),"")</f>
        <v/>
      </c>
      <c r="Z187" s="66" t="str">
        <f>IFERROR(VLOOKUP(TableHandbook[[#This Row],[UDC]],TableMJRUSCSTR[],7,FALSE),"")</f>
        <v/>
      </c>
      <c r="AA187" s="74"/>
      <c r="AB187" s="66" t="str">
        <f>IFERROR(VLOOKUP(TableHandbook[[#This Row],[UDC]],TableMJRUBSLAW[],7,FALSE),"")</f>
        <v/>
      </c>
      <c r="AC187" s="66" t="str">
        <f>IFERROR(VLOOKUP(TableHandbook[[#This Row],[UDC]],TableMJRUECONS[],7,FALSE),"")</f>
        <v/>
      </c>
      <c r="AD187" s="66" t="str">
        <f>IFERROR(VLOOKUP(TableHandbook[[#This Row],[UDC]],TableMJRUFINAR[],7,FALSE),"")</f>
        <v/>
      </c>
      <c r="AE187" s="66" t="str">
        <f>IFERROR(VLOOKUP(TableHandbook[[#This Row],[UDC]],TableMJRUFINCE[],7,FALSE),"")</f>
        <v/>
      </c>
      <c r="AF187" s="66" t="str">
        <f>IFERROR(VLOOKUP(TableHandbook[[#This Row],[UDC]],TableMJRUHRMGM[],7,FALSE),"")</f>
        <v/>
      </c>
      <c r="AG187" s="66" t="str">
        <f>IFERROR(VLOOKUP(TableHandbook[[#This Row],[UDC]],TableMJRUINTBU[],7,FALSE),"")</f>
        <v/>
      </c>
      <c r="AH187" s="66" t="str">
        <f>IFERROR(VLOOKUP(TableHandbook[[#This Row],[UDC]],TableMJRULGSCM[],7,FALSE),"")</f>
        <v/>
      </c>
      <c r="AI187" s="66" t="str">
        <f>IFERROR(VLOOKUP(TableHandbook[[#This Row],[UDC]],TableMJRUMNGMT[],7,FALSE),"")</f>
        <v/>
      </c>
      <c r="AJ187" s="66" t="str">
        <f>IFERROR(VLOOKUP(TableHandbook[[#This Row],[UDC]],TableMJRUMRKTG[],7,FALSE),"")</f>
        <v/>
      </c>
      <c r="AK187" s="66" t="str">
        <f>IFERROR(VLOOKUP(TableHandbook[[#This Row],[UDC]],TableMJRUPRPTY[],7,FALSE),"")</f>
        <v/>
      </c>
      <c r="AL187" s="66" t="str">
        <f>IFERROR(VLOOKUP(TableHandbook[[#This Row],[UDC]],TableMJRUSCRAR[],7,FALSE),"")</f>
        <v/>
      </c>
      <c r="AM187" s="66" t="str">
        <f>IFERROR(VLOOKUP(TableHandbook[[#This Row],[UDC]],TableMJRUTHTRA[],7,FALSE),"")</f>
        <v/>
      </c>
      <c r="AN187" s="66" t="str">
        <f>IFERROR(VLOOKUP(TableHandbook[[#This Row],[UDC]],TableMJRUTRHOS[],7,FALSE),"")</f>
        <v/>
      </c>
    </row>
    <row r="188" spans="1:40" x14ac:dyDescent="0.25">
      <c r="A188" s="8" t="s">
        <v>315</v>
      </c>
      <c r="B188" s="9">
        <v>2</v>
      </c>
      <c r="C188" s="8"/>
      <c r="D188" s="8" t="s">
        <v>314</v>
      </c>
      <c r="E188" s="9">
        <v>200</v>
      </c>
      <c r="F188" s="49" t="s">
        <v>277</v>
      </c>
      <c r="G188" s="67" t="str">
        <f>IFERROR(IF(VLOOKUP(TableHandbook[[#This Row],[UDC]],TableAvailabilities[],2,FALSE)&gt;0,"Y",""),"")</f>
        <v/>
      </c>
      <c r="H188" s="68" t="str">
        <f>IFERROR(IF(VLOOKUP(TableHandbook[[#This Row],[UDC]],TableAvailabilities[],3,FALSE)&gt;0,"Y",""),"")</f>
        <v/>
      </c>
      <c r="I188" s="69" t="str">
        <f>IFERROR(IF(VLOOKUP(TableHandbook[[#This Row],[UDC]],TableAvailabilities[],4,FALSE)&gt;0,"Y",""),"")</f>
        <v/>
      </c>
      <c r="J188" s="70" t="str">
        <f>IFERROR(IF(VLOOKUP(TableHandbook[[#This Row],[UDC]],TableAvailabilities[],5,FALSE)&gt;0,"Y",""),"")</f>
        <v/>
      </c>
      <c r="K188" s="163" t="s">
        <v>533</v>
      </c>
      <c r="L188" s="64" t="str">
        <f>IFERROR(VLOOKUP(TableHandbook[[#This Row],[UDC]],TableBARTS[],7,FALSE),"")</f>
        <v>Option</v>
      </c>
      <c r="M188" s="65" t="str">
        <f>IFERROR(VLOOKUP(TableHandbook[[#This Row],[UDC]],TableMJRUANTSO[],7,FALSE),"")</f>
        <v/>
      </c>
      <c r="N188" s="65" t="str">
        <f>IFERROR(VLOOKUP(TableHandbook[[#This Row],[UDC]],TableMJRUCHNSE[],7,FALSE),"")</f>
        <v/>
      </c>
      <c r="O188" s="65" t="str">
        <f>IFERROR(VLOOKUP(TableHandbook[[#This Row],[UDC]],TableMJRUCRWRI[],7,FALSE),"")</f>
        <v/>
      </c>
      <c r="P188" s="65" t="str">
        <f>IFERROR(VLOOKUP(TableHandbook[[#This Row],[UDC]],TableMJRUGEOGR[],7,FALSE),"")</f>
        <v/>
      </c>
      <c r="Q188" s="65" t="str">
        <f>IFERROR(VLOOKUP(TableHandbook[[#This Row],[UDC]],TableMJRUHISTR[],7,FALSE),"")</f>
        <v/>
      </c>
      <c r="R188" s="65" t="str">
        <f>IFERROR(VLOOKUP(TableHandbook[[#This Row],[UDC]],TableMJRUINAUC[],7,FALSE),"")</f>
        <v/>
      </c>
      <c r="S188" s="65" t="str">
        <f>IFERROR(VLOOKUP(TableHandbook[[#This Row],[UDC]],TableMJRUINTRL[],7,FALSE),"")</f>
        <v/>
      </c>
      <c r="T188" s="65" t="str">
        <f>IFERROR(VLOOKUP(TableHandbook[[#This Row],[UDC]],TableMJRUJAPAN[],7,FALSE),"")</f>
        <v/>
      </c>
      <c r="U188" s="65" t="str">
        <f>IFERROR(VLOOKUP(TableHandbook[[#This Row],[UDC]],TableMJRUJOURN[],7,FALSE),"")</f>
        <v/>
      </c>
      <c r="V188" s="65" t="str">
        <f>IFERROR(VLOOKUP(TableHandbook[[#This Row],[UDC]],TableMJRUKORES[],7,FALSE),"")</f>
        <v/>
      </c>
      <c r="W188" s="65" t="str">
        <f>IFERROR(VLOOKUP(TableHandbook[[#This Row],[UDC]],TableMJRULITCU[],7,FALSE),"")</f>
        <v/>
      </c>
      <c r="X188" s="65" t="str">
        <f>IFERROR(VLOOKUP(TableHandbook[[#This Row],[UDC]],TableMJRUNETCM[],7,FALSE),"")</f>
        <v/>
      </c>
      <c r="Y188" s="65" t="str">
        <f>IFERROR(VLOOKUP(TableHandbook[[#This Row],[UDC]],TableMJRUPRWRP[],7,FALSE),"")</f>
        <v/>
      </c>
      <c r="Z188" s="66" t="str">
        <f>IFERROR(VLOOKUP(TableHandbook[[#This Row],[UDC]],TableMJRUSCSTR[],7,FALSE),"")</f>
        <v/>
      </c>
      <c r="AA188" s="74"/>
      <c r="AB188" s="66" t="str">
        <f>IFERROR(VLOOKUP(TableHandbook[[#This Row],[UDC]],TableMJRUBSLAW[],7,FALSE),"")</f>
        <v/>
      </c>
      <c r="AC188" s="66" t="str">
        <f>IFERROR(VLOOKUP(TableHandbook[[#This Row],[UDC]],TableMJRUECONS[],7,FALSE),"")</f>
        <v/>
      </c>
      <c r="AD188" s="66" t="str">
        <f>IFERROR(VLOOKUP(TableHandbook[[#This Row],[UDC]],TableMJRUFINAR[],7,FALSE),"")</f>
        <v/>
      </c>
      <c r="AE188" s="66" t="str">
        <f>IFERROR(VLOOKUP(TableHandbook[[#This Row],[UDC]],TableMJRUFINCE[],7,FALSE),"")</f>
        <v/>
      </c>
      <c r="AF188" s="66" t="str">
        <f>IFERROR(VLOOKUP(TableHandbook[[#This Row],[UDC]],TableMJRUHRMGM[],7,FALSE),"")</f>
        <v/>
      </c>
      <c r="AG188" s="66" t="str">
        <f>IFERROR(VLOOKUP(TableHandbook[[#This Row],[UDC]],TableMJRUINTBU[],7,FALSE),"")</f>
        <v/>
      </c>
      <c r="AH188" s="66" t="str">
        <f>IFERROR(VLOOKUP(TableHandbook[[#This Row],[UDC]],TableMJRULGSCM[],7,FALSE),"")</f>
        <v/>
      </c>
      <c r="AI188" s="66" t="str">
        <f>IFERROR(VLOOKUP(TableHandbook[[#This Row],[UDC]],TableMJRUMNGMT[],7,FALSE),"")</f>
        <v/>
      </c>
      <c r="AJ188" s="66" t="str">
        <f>IFERROR(VLOOKUP(TableHandbook[[#This Row],[UDC]],TableMJRUMRKTG[],7,FALSE),"")</f>
        <v/>
      </c>
      <c r="AK188" s="66" t="str">
        <f>IFERROR(VLOOKUP(TableHandbook[[#This Row],[UDC]],TableMJRUPRPTY[],7,FALSE),"")</f>
        <v/>
      </c>
      <c r="AL188" s="66" t="str">
        <f>IFERROR(VLOOKUP(TableHandbook[[#This Row],[UDC]],TableMJRUSCRAR[],7,FALSE),"")</f>
        <v/>
      </c>
      <c r="AM188" s="66" t="str">
        <f>IFERROR(VLOOKUP(TableHandbook[[#This Row],[UDC]],TableMJRUTHTRA[],7,FALSE),"")</f>
        <v/>
      </c>
      <c r="AN188" s="66" t="str">
        <f>IFERROR(VLOOKUP(TableHandbook[[#This Row],[UDC]],TableMJRUTRHOS[],7,FALSE),"")</f>
        <v/>
      </c>
    </row>
    <row r="189" spans="1:40" x14ac:dyDescent="0.25">
      <c r="A189" s="8" t="s">
        <v>724</v>
      </c>
      <c r="B189" s="9">
        <v>1</v>
      </c>
      <c r="C189" s="8"/>
      <c r="D189" s="8" t="s">
        <v>725</v>
      </c>
      <c r="E189" s="9">
        <v>200</v>
      </c>
      <c r="F189" s="49" t="s">
        <v>277</v>
      </c>
      <c r="G189" s="67" t="str">
        <f>IFERROR(IF(VLOOKUP(TableHandbook[[#This Row],[UDC]],TableAvailabilities[],2,FALSE)&gt;0,"Y",""),"")</f>
        <v/>
      </c>
      <c r="H189" s="68" t="str">
        <f>IFERROR(IF(VLOOKUP(TableHandbook[[#This Row],[UDC]],TableAvailabilities[],3,FALSE)&gt;0,"Y",""),"")</f>
        <v/>
      </c>
      <c r="I189" s="69" t="str">
        <f>IFERROR(IF(VLOOKUP(TableHandbook[[#This Row],[UDC]],TableAvailabilities[],4,FALSE)&gt;0,"Y",""),"")</f>
        <v/>
      </c>
      <c r="J189" s="70" t="str">
        <f>IFERROR(IF(VLOOKUP(TableHandbook[[#This Row],[UDC]],TableAvailabilities[],5,FALSE)&gt;0,"Y",""),"")</f>
        <v/>
      </c>
      <c r="K189" s="163" t="s">
        <v>535</v>
      </c>
      <c r="L189" s="64" t="str">
        <f>IFERROR(VLOOKUP(TableHandbook[[#This Row],[UDC]],TableBARTS[],7,FALSE),"")</f>
        <v/>
      </c>
      <c r="M189" s="65" t="str">
        <f>IFERROR(VLOOKUP(TableHandbook[[#This Row],[UDC]],TableMJRUANTSO[],7,FALSE),"")</f>
        <v/>
      </c>
      <c r="N189" s="65" t="str">
        <f>IFERROR(VLOOKUP(TableHandbook[[#This Row],[UDC]],TableMJRUCHNSE[],7,FALSE),"")</f>
        <v/>
      </c>
      <c r="O189" s="65" t="str">
        <f>IFERROR(VLOOKUP(TableHandbook[[#This Row],[UDC]],TableMJRUCRWRI[],7,FALSE),"")</f>
        <v/>
      </c>
      <c r="P189" s="65" t="str">
        <f>IFERROR(VLOOKUP(TableHandbook[[#This Row],[UDC]],TableMJRUGEOGR[],7,FALSE),"")</f>
        <v/>
      </c>
      <c r="Q189" s="65" t="str">
        <f>IFERROR(VLOOKUP(TableHandbook[[#This Row],[UDC]],TableMJRUHISTR[],7,FALSE),"")</f>
        <v/>
      </c>
      <c r="R189" s="65" t="str">
        <f>IFERROR(VLOOKUP(TableHandbook[[#This Row],[UDC]],TableMJRUINAUC[],7,FALSE),"")</f>
        <v/>
      </c>
      <c r="S189" s="65" t="str">
        <f>IFERROR(VLOOKUP(TableHandbook[[#This Row],[UDC]],TableMJRUINTRL[],7,FALSE),"")</f>
        <v/>
      </c>
      <c r="T189" s="65" t="str">
        <f>IFERROR(VLOOKUP(TableHandbook[[#This Row],[UDC]],TableMJRUJAPAN[],7,FALSE),"")</f>
        <v/>
      </c>
      <c r="U189" s="65" t="str">
        <f>IFERROR(VLOOKUP(TableHandbook[[#This Row],[UDC]],TableMJRUJOURN[],7,FALSE),"")</f>
        <v/>
      </c>
      <c r="V189" s="65" t="str">
        <f>IFERROR(VLOOKUP(TableHandbook[[#This Row],[UDC]],TableMJRUKORES[],7,FALSE),"")</f>
        <v/>
      </c>
      <c r="W189" s="65" t="str">
        <f>IFERROR(VLOOKUP(TableHandbook[[#This Row],[UDC]],TableMJRULITCU[],7,FALSE),"")</f>
        <v/>
      </c>
      <c r="X189" s="65" t="str">
        <f>IFERROR(VLOOKUP(TableHandbook[[#This Row],[UDC]],TableMJRUNETCM[],7,FALSE),"")</f>
        <v/>
      </c>
      <c r="Y189" s="65" t="str">
        <f>IFERROR(VLOOKUP(TableHandbook[[#This Row],[UDC]],TableMJRUPRWRP[],7,FALSE),"")</f>
        <v/>
      </c>
      <c r="Z189" s="66" t="str">
        <f>IFERROR(VLOOKUP(TableHandbook[[#This Row],[UDC]],TableMJRUSCSTR[],7,FALSE),"")</f>
        <v/>
      </c>
      <c r="AA189" s="74"/>
      <c r="AB189" s="66" t="str">
        <f>IFERROR(VLOOKUP(TableHandbook[[#This Row],[UDC]],TableMJRUBSLAW[],7,FALSE),"")</f>
        <v/>
      </c>
      <c r="AC189" s="66" t="str">
        <f>IFERROR(VLOOKUP(TableHandbook[[#This Row],[UDC]],TableMJRUECONS[],7,FALSE),"")</f>
        <v/>
      </c>
      <c r="AD189" s="66" t="str">
        <f>IFERROR(VLOOKUP(TableHandbook[[#This Row],[UDC]],TableMJRUFINAR[],7,FALSE),"")</f>
        <v/>
      </c>
      <c r="AE189" s="66" t="str">
        <f>IFERROR(VLOOKUP(TableHandbook[[#This Row],[UDC]],TableMJRUFINCE[],7,FALSE),"")</f>
        <v/>
      </c>
      <c r="AF189" s="66" t="str">
        <f>IFERROR(VLOOKUP(TableHandbook[[#This Row],[UDC]],TableMJRUHRMGM[],7,FALSE),"")</f>
        <v/>
      </c>
      <c r="AG189" s="66" t="str">
        <f>IFERROR(VLOOKUP(TableHandbook[[#This Row],[UDC]],TableMJRUINTBU[],7,FALSE),"")</f>
        <v/>
      </c>
      <c r="AH189" s="66" t="str">
        <f>IFERROR(VLOOKUP(TableHandbook[[#This Row],[UDC]],TableMJRULGSCM[],7,FALSE),"")</f>
        <v/>
      </c>
      <c r="AI189" s="66" t="str">
        <f>IFERROR(VLOOKUP(TableHandbook[[#This Row],[UDC]],TableMJRUMNGMT[],7,FALSE),"")</f>
        <v/>
      </c>
      <c r="AJ189" s="66" t="str">
        <f>IFERROR(VLOOKUP(TableHandbook[[#This Row],[UDC]],TableMJRUMRKTG[],7,FALSE),"")</f>
        <v/>
      </c>
      <c r="AK189" s="66" t="str">
        <f>IFERROR(VLOOKUP(TableHandbook[[#This Row],[UDC]],TableMJRUPRPTY[],7,FALSE),"")</f>
        <v/>
      </c>
      <c r="AL189" s="66" t="str">
        <f>IFERROR(VLOOKUP(TableHandbook[[#This Row],[UDC]],TableMJRUSCRAR[],7,FALSE),"")</f>
        <v/>
      </c>
      <c r="AM189" s="66" t="str">
        <f>IFERROR(VLOOKUP(TableHandbook[[#This Row],[UDC]],TableMJRUTHTRA[],7,FALSE),"")</f>
        <v/>
      </c>
      <c r="AN189" s="66" t="str">
        <f>IFERROR(VLOOKUP(TableHandbook[[#This Row],[UDC]],TableMJRUTRHOS[],7,FALSE),"")</f>
        <v/>
      </c>
    </row>
    <row r="190" spans="1:40" ht="39" x14ac:dyDescent="0.25">
      <c r="A190" s="8" t="s">
        <v>347</v>
      </c>
      <c r="B190" s="9">
        <v>1</v>
      </c>
      <c r="C190" s="8"/>
      <c r="D190" s="8" t="s">
        <v>346</v>
      </c>
      <c r="E190" s="9">
        <v>200</v>
      </c>
      <c r="F190" s="49" t="s">
        <v>277</v>
      </c>
      <c r="G190" s="67" t="str">
        <f>IFERROR(IF(VLOOKUP(TableHandbook[[#This Row],[UDC]],TableAvailabilities[],2,FALSE)&gt;0,"Y",""),"")</f>
        <v/>
      </c>
      <c r="H190" s="68" t="str">
        <f>IFERROR(IF(VLOOKUP(TableHandbook[[#This Row],[UDC]],TableAvailabilities[],3,FALSE)&gt;0,"Y",""),"")</f>
        <v/>
      </c>
      <c r="I190" s="69" t="str">
        <f>IFERROR(IF(VLOOKUP(TableHandbook[[#This Row],[UDC]],TableAvailabilities[],4,FALSE)&gt;0,"Y",""),"")</f>
        <v/>
      </c>
      <c r="J190" s="70" t="str">
        <f>IFERROR(IF(VLOOKUP(TableHandbook[[#This Row],[UDC]],TableAvailabilities[],5,FALSE)&gt;0,"Y",""),"")</f>
        <v/>
      </c>
      <c r="K190" s="203" t="s">
        <v>726</v>
      </c>
      <c r="L190" s="64" t="str">
        <f>IFERROR(VLOOKUP(TableHandbook[[#This Row],[UDC]],TableBARTS[],7,FALSE),"")</f>
        <v>Option</v>
      </c>
      <c r="M190" s="65" t="str">
        <f>IFERROR(VLOOKUP(TableHandbook[[#This Row],[UDC]],TableMJRUANTSO[],7,FALSE),"")</f>
        <v/>
      </c>
      <c r="N190" s="65" t="str">
        <f>IFERROR(VLOOKUP(TableHandbook[[#This Row],[UDC]],TableMJRUCHNSE[],7,FALSE),"")</f>
        <v/>
      </c>
      <c r="O190" s="65" t="str">
        <f>IFERROR(VLOOKUP(TableHandbook[[#This Row],[UDC]],TableMJRUCRWRI[],7,FALSE),"")</f>
        <v/>
      </c>
      <c r="P190" s="65" t="str">
        <f>IFERROR(VLOOKUP(TableHandbook[[#This Row],[UDC]],TableMJRUGEOGR[],7,FALSE),"")</f>
        <v/>
      </c>
      <c r="Q190" s="65" t="str">
        <f>IFERROR(VLOOKUP(TableHandbook[[#This Row],[UDC]],TableMJRUHISTR[],7,FALSE),"")</f>
        <v/>
      </c>
      <c r="R190" s="65" t="str">
        <f>IFERROR(VLOOKUP(TableHandbook[[#This Row],[UDC]],TableMJRUINAUC[],7,FALSE),"")</f>
        <v/>
      </c>
      <c r="S190" s="65" t="str">
        <f>IFERROR(VLOOKUP(TableHandbook[[#This Row],[UDC]],TableMJRUINTRL[],7,FALSE),"")</f>
        <v/>
      </c>
      <c r="T190" s="65" t="str">
        <f>IFERROR(VLOOKUP(TableHandbook[[#This Row],[UDC]],TableMJRUJAPAN[],7,FALSE),"")</f>
        <v/>
      </c>
      <c r="U190" s="65" t="str">
        <f>IFERROR(VLOOKUP(TableHandbook[[#This Row],[UDC]],TableMJRUJOURN[],7,FALSE),"")</f>
        <v/>
      </c>
      <c r="V190" s="65" t="str">
        <f>IFERROR(VLOOKUP(TableHandbook[[#This Row],[UDC]],TableMJRUKORES[],7,FALSE),"")</f>
        <v/>
      </c>
      <c r="W190" s="65" t="str">
        <f>IFERROR(VLOOKUP(TableHandbook[[#This Row],[UDC]],TableMJRULITCU[],7,FALSE),"")</f>
        <v/>
      </c>
      <c r="X190" s="65" t="str">
        <f>IFERROR(VLOOKUP(TableHandbook[[#This Row],[UDC]],TableMJRUNETCM[],7,FALSE),"")</f>
        <v/>
      </c>
      <c r="Y190" s="65" t="str">
        <f>IFERROR(VLOOKUP(TableHandbook[[#This Row],[UDC]],TableMJRUPRWRP[],7,FALSE),"")</f>
        <v/>
      </c>
      <c r="Z190" s="66" t="str">
        <f>IFERROR(VLOOKUP(TableHandbook[[#This Row],[UDC]],TableMJRUSCSTR[],7,FALSE),"")</f>
        <v/>
      </c>
      <c r="AA190" s="74"/>
      <c r="AB190" s="66" t="str">
        <f>IFERROR(VLOOKUP(TableHandbook[[#This Row],[UDC]],TableMJRUBSLAW[],7,FALSE),"")</f>
        <v/>
      </c>
      <c r="AC190" s="66" t="str">
        <f>IFERROR(VLOOKUP(TableHandbook[[#This Row],[UDC]],TableMJRUECONS[],7,FALSE),"")</f>
        <v/>
      </c>
      <c r="AD190" s="66" t="str">
        <f>IFERROR(VLOOKUP(TableHandbook[[#This Row],[UDC]],TableMJRUFINAR[],7,FALSE),"")</f>
        <v/>
      </c>
      <c r="AE190" s="66" t="str">
        <f>IFERROR(VLOOKUP(TableHandbook[[#This Row],[UDC]],TableMJRUFINCE[],7,FALSE),"")</f>
        <v/>
      </c>
      <c r="AF190" s="66" t="str">
        <f>IFERROR(VLOOKUP(TableHandbook[[#This Row],[UDC]],TableMJRUHRMGM[],7,FALSE),"")</f>
        <v/>
      </c>
      <c r="AG190" s="66" t="str">
        <f>IFERROR(VLOOKUP(TableHandbook[[#This Row],[UDC]],TableMJRUINTBU[],7,FALSE),"")</f>
        <v/>
      </c>
      <c r="AH190" s="66" t="str">
        <f>IFERROR(VLOOKUP(TableHandbook[[#This Row],[UDC]],TableMJRULGSCM[],7,FALSE),"")</f>
        <v/>
      </c>
      <c r="AI190" s="66" t="str">
        <f>IFERROR(VLOOKUP(TableHandbook[[#This Row],[UDC]],TableMJRUMNGMT[],7,FALSE),"")</f>
        <v/>
      </c>
      <c r="AJ190" s="66" t="str">
        <f>IFERROR(VLOOKUP(TableHandbook[[#This Row],[UDC]],TableMJRUMRKTG[],7,FALSE),"")</f>
        <v/>
      </c>
      <c r="AK190" s="66" t="str">
        <f>IFERROR(VLOOKUP(TableHandbook[[#This Row],[UDC]],TableMJRUPRPTY[],7,FALSE),"")</f>
        <v/>
      </c>
      <c r="AL190" s="66" t="str">
        <f>IFERROR(VLOOKUP(TableHandbook[[#This Row],[UDC]],TableMJRUSCRAR[],7,FALSE),"")</f>
        <v/>
      </c>
      <c r="AM190" s="66" t="str">
        <f>IFERROR(VLOOKUP(TableHandbook[[#This Row],[UDC]],TableMJRUTHTRA[],7,FALSE),"")</f>
        <v/>
      </c>
      <c r="AN190" s="66" t="str">
        <f>IFERROR(VLOOKUP(TableHandbook[[#This Row],[UDC]],TableMJRUTRHOS[],7,FALSE),"")</f>
        <v/>
      </c>
    </row>
    <row r="191" spans="1:40" x14ac:dyDescent="0.25">
      <c r="A191" s="8" t="s">
        <v>317</v>
      </c>
      <c r="B191" s="9">
        <v>2</v>
      </c>
      <c r="C191" s="8"/>
      <c r="D191" s="8" t="s">
        <v>316</v>
      </c>
      <c r="E191" s="9">
        <v>200</v>
      </c>
      <c r="F191" s="49" t="s">
        <v>277</v>
      </c>
      <c r="G191" s="67" t="str">
        <f>IFERROR(IF(VLOOKUP(TableHandbook[[#This Row],[UDC]],TableAvailabilities[],2,FALSE)&gt;0,"Y",""),"")</f>
        <v/>
      </c>
      <c r="H191" s="68" t="str">
        <f>IFERROR(IF(VLOOKUP(TableHandbook[[#This Row],[UDC]],TableAvailabilities[],3,FALSE)&gt;0,"Y",""),"")</f>
        <v/>
      </c>
      <c r="I191" s="69" t="str">
        <f>IFERROR(IF(VLOOKUP(TableHandbook[[#This Row],[UDC]],TableAvailabilities[],4,FALSE)&gt;0,"Y",""),"")</f>
        <v/>
      </c>
      <c r="J191" s="70" t="str">
        <f>IFERROR(IF(VLOOKUP(TableHandbook[[#This Row],[UDC]],TableAvailabilities[],5,FALSE)&gt;0,"Y",""),"")</f>
        <v/>
      </c>
      <c r="K191" s="163" t="s">
        <v>533</v>
      </c>
      <c r="L191" s="64" t="str">
        <f>IFERROR(VLOOKUP(TableHandbook[[#This Row],[UDC]],TableBARTS[],7,FALSE),"")</f>
        <v>Option</v>
      </c>
      <c r="M191" s="65" t="str">
        <f>IFERROR(VLOOKUP(TableHandbook[[#This Row],[UDC]],TableMJRUANTSO[],7,FALSE),"")</f>
        <v/>
      </c>
      <c r="N191" s="65" t="str">
        <f>IFERROR(VLOOKUP(TableHandbook[[#This Row],[UDC]],TableMJRUCHNSE[],7,FALSE),"")</f>
        <v/>
      </c>
      <c r="O191" s="65" t="str">
        <f>IFERROR(VLOOKUP(TableHandbook[[#This Row],[UDC]],TableMJRUCRWRI[],7,FALSE),"")</f>
        <v/>
      </c>
      <c r="P191" s="65" t="str">
        <f>IFERROR(VLOOKUP(TableHandbook[[#This Row],[UDC]],TableMJRUGEOGR[],7,FALSE),"")</f>
        <v/>
      </c>
      <c r="Q191" s="65" t="str">
        <f>IFERROR(VLOOKUP(TableHandbook[[#This Row],[UDC]],TableMJRUHISTR[],7,FALSE),"")</f>
        <v/>
      </c>
      <c r="R191" s="65" t="str">
        <f>IFERROR(VLOOKUP(TableHandbook[[#This Row],[UDC]],TableMJRUINAUC[],7,FALSE),"")</f>
        <v/>
      </c>
      <c r="S191" s="65" t="str">
        <f>IFERROR(VLOOKUP(TableHandbook[[#This Row],[UDC]],TableMJRUINTRL[],7,FALSE),"")</f>
        <v/>
      </c>
      <c r="T191" s="65" t="str">
        <f>IFERROR(VLOOKUP(TableHandbook[[#This Row],[UDC]],TableMJRUJAPAN[],7,FALSE),"")</f>
        <v/>
      </c>
      <c r="U191" s="65" t="str">
        <f>IFERROR(VLOOKUP(TableHandbook[[#This Row],[UDC]],TableMJRUJOURN[],7,FALSE),"")</f>
        <v/>
      </c>
      <c r="V191" s="65" t="str">
        <f>IFERROR(VLOOKUP(TableHandbook[[#This Row],[UDC]],TableMJRUKORES[],7,FALSE),"")</f>
        <v/>
      </c>
      <c r="W191" s="65" t="str">
        <f>IFERROR(VLOOKUP(TableHandbook[[#This Row],[UDC]],TableMJRULITCU[],7,FALSE),"")</f>
        <v/>
      </c>
      <c r="X191" s="65" t="str">
        <f>IFERROR(VLOOKUP(TableHandbook[[#This Row],[UDC]],TableMJRUNETCM[],7,FALSE),"")</f>
        <v/>
      </c>
      <c r="Y191" s="65" t="str">
        <f>IFERROR(VLOOKUP(TableHandbook[[#This Row],[UDC]],TableMJRUPRWRP[],7,FALSE),"")</f>
        <v/>
      </c>
      <c r="Z191" s="66" t="str">
        <f>IFERROR(VLOOKUP(TableHandbook[[#This Row],[UDC]],TableMJRUSCSTR[],7,FALSE),"")</f>
        <v/>
      </c>
      <c r="AA191" s="74"/>
      <c r="AB191" s="66" t="str">
        <f>IFERROR(VLOOKUP(TableHandbook[[#This Row],[UDC]],TableMJRUBSLAW[],7,FALSE),"")</f>
        <v/>
      </c>
      <c r="AC191" s="66" t="str">
        <f>IFERROR(VLOOKUP(TableHandbook[[#This Row],[UDC]],TableMJRUECONS[],7,FALSE),"")</f>
        <v/>
      </c>
      <c r="AD191" s="66" t="str">
        <f>IFERROR(VLOOKUP(TableHandbook[[#This Row],[UDC]],TableMJRUFINAR[],7,FALSE),"")</f>
        <v/>
      </c>
      <c r="AE191" s="66" t="str">
        <f>IFERROR(VLOOKUP(TableHandbook[[#This Row],[UDC]],TableMJRUFINCE[],7,FALSE),"")</f>
        <v/>
      </c>
      <c r="AF191" s="66" t="str">
        <f>IFERROR(VLOOKUP(TableHandbook[[#This Row],[UDC]],TableMJRUHRMGM[],7,FALSE),"")</f>
        <v/>
      </c>
      <c r="AG191" s="66" t="str">
        <f>IFERROR(VLOOKUP(TableHandbook[[#This Row],[UDC]],TableMJRUINTBU[],7,FALSE),"")</f>
        <v/>
      </c>
      <c r="AH191" s="66" t="str">
        <f>IFERROR(VLOOKUP(TableHandbook[[#This Row],[UDC]],TableMJRULGSCM[],7,FALSE),"")</f>
        <v/>
      </c>
      <c r="AI191" s="66" t="str">
        <f>IFERROR(VLOOKUP(TableHandbook[[#This Row],[UDC]],TableMJRUMNGMT[],7,FALSE),"")</f>
        <v/>
      </c>
      <c r="AJ191" s="66" t="str">
        <f>IFERROR(VLOOKUP(TableHandbook[[#This Row],[UDC]],TableMJRUMRKTG[],7,FALSE),"")</f>
        <v/>
      </c>
      <c r="AK191" s="66" t="str">
        <f>IFERROR(VLOOKUP(TableHandbook[[#This Row],[UDC]],TableMJRUPRPTY[],7,FALSE),"")</f>
        <v/>
      </c>
      <c r="AL191" s="66" t="str">
        <f>IFERROR(VLOOKUP(TableHandbook[[#This Row],[UDC]],TableMJRUSCRAR[],7,FALSE),"")</f>
        <v/>
      </c>
      <c r="AM191" s="66" t="str">
        <f>IFERROR(VLOOKUP(TableHandbook[[#This Row],[UDC]],TableMJRUTHTRA[],7,FALSE),"")</f>
        <v/>
      </c>
      <c r="AN191" s="66" t="str">
        <f>IFERROR(VLOOKUP(TableHandbook[[#This Row],[UDC]],TableMJRUTRHOS[],7,FALSE),"")</f>
        <v/>
      </c>
    </row>
    <row r="192" spans="1:40" x14ac:dyDescent="0.25">
      <c r="A192" s="8" t="s">
        <v>727</v>
      </c>
      <c r="B192" s="9">
        <v>1</v>
      </c>
      <c r="C192" s="8"/>
      <c r="D192" s="8" t="s">
        <v>728</v>
      </c>
      <c r="E192" s="9">
        <v>200</v>
      </c>
      <c r="F192" s="49" t="s">
        <v>277</v>
      </c>
      <c r="G192" s="67" t="str">
        <f>IFERROR(IF(VLOOKUP(TableHandbook[[#This Row],[UDC]],TableAvailabilities[],2,FALSE)&gt;0,"Y",""),"")</f>
        <v/>
      </c>
      <c r="H192" s="68" t="str">
        <f>IFERROR(IF(VLOOKUP(TableHandbook[[#This Row],[UDC]],TableAvailabilities[],3,FALSE)&gt;0,"Y",""),"")</f>
        <v/>
      </c>
      <c r="I192" s="69" t="str">
        <f>IFERROR(IF(VLOOKUP(TableHandbook[[#This Row],[UDC]],TableAvailabilities[],4,FALSE)&gt;0,"Y",""),"")</f>
        <v/>
      </c>
      <c r="J192" s="70" t="str">
        <f>IFERROR(IF(VLOOKUP(TableHandbook[[#This Row],[UDC]],TableAvailabilities[],5,FALSE)&gt;0,"Y",""),"")</f>
        <v/>
      </c>
      <c r="K192" s="163" t="s">
        <v>535</v>
      </c>
      <c r="L192" s="64" t="str">
        <f>IFERROR(VLOOKUP(TableHandbook[[#This Row],[UDC]],TableBARTS[],7,FALSE),"")</f>
        <v/>
      </c>
      <c r="M192" s="65" t="str">
        <f>IFERROR(VLOOKUP(TableHandbook[[#This Row],[UDC]],TableMJRUANTSO[],7,FALSE),"")</f>
        <v/>
      </c>
      <c r="N192" s="65" t="str">
        <f>IFERROR(VLOOKUP(TableHandbook[[#This Row],[UDC]],TableMJRUCHNSE[],7,FALSE),"")</f>
        <v/>
      </c>
      <c r="O192" s="65" t="str">
        <f>IFERROR(VLOOKUP(TableHandbook[[#This Row],[UDC]],TableMJRUCRWRI[],7,FALSE),"")</f>
        <v/>
      </c>
      <c r="P192" s="65" t="str">
        <f>IFERROR(VLOOKUP(TableHandbook[[#This Row],[UDC]],TableMJRUGEOGR[],7,FALSE),"")</f>
        <v/>
      </c>
      <c r="Q192" s="65" t="str">
        <f>IFERROR(VLOOKUP(TableHandbook[[#This Row],[UDC]],TableMJRUHISTR[],7,FALSE),"")</f>
        <v/>
      </c>
      <c r="R192" s="65" t="str">
        <f>IFERROR(VLOOKUP(TableHandbook[[#This Row],[UDC]],TableMJRUINAUC[],7,FALSE),"")</f>
        <v/>
      </c>
      <c r="S192" s="65" t="str">
        <f>IFERROR(VLOOKUP(TableHandbook[[#This Row],[UDC]],TableMJRUINTRL[],7,FALSE),"")</f>
        <v/>
      </c>
      <c r="T192" s="65" t="str">
        <f>IFERROR(VLOOKUP(TableHandbook[[#This Row],[UDC]],TableMJRUJAPAN[],7,FALSE),"")</f>
        <v/>
      </c>
      <c r="U192" s="65" t="str">
        <f>IFERROR(VLOOKUP(TableHandbook[[#This Row],[UDC]],TableMJRUJOURN[],7,FALSE),"")</f>
        <v/>
      </c>
      <c r="V192" s="65" t="str">
        <f>IFERROR(VLOOKUP(TableHandbook[[#This Row],[UDC]],TableMJRUKORES[],7,FALSE),"")</f>
        <v/>
      </c>
      <c r="W192" s="65" t="str">
        <f>IFERROR(VLOOKUP(TableHandbook[[#This Row],[UDC]],TableMJRULITCU[],7,FALSE),"")</f>
        <v/>
      </c>
      <c r="X192" s="65" t="str">
        <f>IFERROR(VLOOKUP(TableHandbook[[#This Row],[UDC]],TableMJRUNETCM[],7,FALSE),"")</f>
        <v/>
      </c>
      <c r="Y192" s="65" t="str">
        <f>IFERROR(VLOOKUP(TableHandbook[[#This Row],[UDC]],TableMJRUPRWRP[],7,FALSE),"")</f>
        <v/>
      </c>
      <c r="Z192" s="66" t="str">
        <f>IFERROR(VLOOKUP(TableHandbook[[#This Row],[UDC]],TableMJRUSCSTR[],7,FALSE),"")</f>
        <v/>
      </c>
      <c r="AA192" s="74"/>
      <c r="AB192" s="66" t="str">
        <f>IFERROR(VLOOKUP(TableHandbook[[#This Row],[UDC]],TableMJRUBSLAW[],7,FALSE),"")</f>
        <v/>
      </c>
      <c r="AC192" s="66" t="str">
        <f>IFERROR(VLOOKUP(TableHandbook[[#This Row],[UDC]],TableMJRUECONS[],7,FALSE),"")</f>
        <v/>
      </c>
      <c r="AD192" s="66" t="str">
        <f>IFERROR(VLOOKUP(TableHandbook[[#This Row],[UDC]],TableMJRUFINAR[],7,FALSE),"")</f>
        <v/>
      </c>
      <c r="AE192" s="66" t="str">
        <f>IFERROR(VLOOKUP(TableHandbook[[#This Row],[UDC]],TableMJRUFINCE[],7,FALSE),"")</f>
        <v/>
      </c>
      <c r="AF192" s="66" t="str">
        <f>IFERROR(VLOOKUP(TableHandbook[[#This Row],[UDC]],TableMJRUHRMGM[],7,FALSE),"")</f>
        <v/>
      </c>
      <c r="AG192" s="66" t="str">
        <f>IFERROR(VLOOKUP(TableHandbook[[#This Row],[UDC]],TableMJRUINTBU[],7,FALSE),"")</f>
        <v/>
      </c>
      <c r="AH192" s="66" t="str">
        <f>IFERROR(VLOOKUP(TableHandbook[[#This Row],[UDC]],TableMJRULGSCM[],7,FALSE),"")</f>
        <v/>
      </c>
      <c r="AI192" s="66" t="str">
        <f>IFERROR(VLOOKUP(TableHandbook[[#This Row],[UDC]],TableMJRUMNGMT[],7,FALSE),"")</f>
        <v/>
      </c>
      <c r="AJ192" s="66" t="str">
        <f>IFERROR(VLOOKUP(TableHandbook[[#This Row],[UDC]],TableMJRUMRKTG[],7,FALSE),"")</f>
        <v/>
      </c>
      <c r="AK192" s="66" t="str">
        <f>IFERROR(VLOOKUP(TableHandbook[[#This Row],[UDC]],TableMJRUPRPTY[],7,FALSE),"")</f>
        <v/>
      </c>
      <c r="AL192" s="66" t="str">
        <f>IFERROR(VLOOKUP(TableHandbook[[#This Row],[UDC]],TableMJRUSCRAR[],7,FALSE),"")</f>
        <v/>
      </c>
      <c r="AM192" s="66" t="str">
        <f>IFERROR(VLOOKUP(TableHandbook[[#This Row],[UDC]],TableMJRUTHTRA[],7,FALSE),"")</f>
        <v/>
      </c>
      <c r="AN192" s="66" t="str">
        <f>IFERROR(VLOOKUP(TableHandbook[[#This Row],[UDC]],TableMJRUTRHOS[],7,FALSE),"")</f>
        <v/>
      </c>
    </row>
    <row r="193" spans="1:40" x14ac:dyDescent="0.25">
      <c r="A193" s="8" t="s">
        <v>130</v>
      </c>
      <c r="B193" s="9">
        <v>2</v>
      </c>
      <c r="C193" s="8"/>
      <c r="D193" s="8" t="s">
        <v>129</v>
      </c>
      <c r="E193" s="9">
        <v>200</v>
      </c>
      <c r="F193" s="49" t="s">
        <v>277</v>
      </c>
      <c r="G193" s="67" t="str">
        <f>IFERROR(IF(VLOOKUP(TableHandbook[[#This Row],[UDC]],TableAvailabilities[],2,FALSE)&gt;0,"Y",""),"")</f>
        <v/>
      </c>
      <c r="H193" s="68" t="str">
        <f>IFERROR(IF(VLOOKUP(TableHandbook[[#This Row],[UDC]],TableAvailabilities[],3,FALSE)&gt;0,"Y",""),"")</f>
        <v/>
      </c>
      <c r="I193" s="69" t="str">
        <f>IFERROR(IF(VLOOKUP(TableHandbook[[#This Row],[UDC]],TableAvailabilities[],4,FALSE)&gt;0,"Y",""),"")</f>
        <v/>
      </c>
      <c r="J193" s="70" t="str">
        <f>IFERROR(IF(VLOOKUP(TableHandbook[[#This Row],[UDC]],TableAvailabilities[],5,FALSE)&gt;0,"Y",""),"")</f>
        <v/>
      </c>
      <c r="K193" s="163" t="s">
        <v>533</v>
      </c>
      <c r="L193" s="64" t="str">
        <f>IFERROR(VLOOKUP(TableHandbook[[#This Row],[UDC]],TableBARTS[],7,FALSE),"")</f>
        <v>Core/Option</v>
      </c>
      <c r="M193" s="65" t="str">
        <f>IFERROR(VLOOKUP(TableHandbook[[#This Row],[UDC]],TableMJRUANTSO[],7,FALSE),"")</f>
        <v/>
      </c>
      <c r="N193" s="65" t="str">
        <f>IFERROR(VLOOKUP(TableHandbook[[#This Row],[UDC]],TableMJRUCHNSE[],7,FALSE),"")</f>
        <v/>
      </c>
      <c r="O193" s="65" t="str">
        <f>IFERROR(VLOOKUP(TableHandbook[[#This Row],[UDC]],TableMJRUCRWRI[],7,FALSE),"")</f>
        <v/>
      </c>
      <c r="P193" s="65" t="str">
        <f>IFERROR(VLOOKUP(TableHandbook[[#This Row],[UDC]],TableMJRUGEOGR[],7,FALSE),"")</f>
        <v/>
      </c>
      <c r="Q193" s="65" t="str">
        <f>IFERROR(VLOOKUP(TableHandbook[[#This Row],[UDC]],TableMJRUHISTR[],7,FALSE),"")</f>
        <v/>
      </c>
      <c r="R193" s="65" t="str">
        <f>IFERROR(VLOOKUP(TableHandbook[[#This Row],[UDC]],TableMJRUINAUC[],7,FALSE),"")</f>
        <v/>
      </c>
      <c r="S193" s="65" t="str">
        <f>IFERROR(VLOOKUP(TableHandbook[[#This Row],[UDC]],TableMJRUINTRL[],7,FALSE),"")</f>
        <v/>
      </c>
      <c r="T193" s="65" t="str">
        <f>IFERROR(VLOOKUP(TableHandbook[[#This Row],[UDC]],TableMJRUJAPAN[],7,FALSE),"")</f>
        <v/>
      </c>
      <c r="U193" s="65" t="str">
        <f>IFERROR(VLOOKUP(TableHandbook[[#This Row],[UDC]],TableMJRUJOURN[],7,FALSE),"")</f>
        <v/>
      </c>
      <c r="V193" s="65" t="str">
        <f>IFERROR(VLOOKUP(TableHandbook[[#This Row],[UDC]],TableMJRUKORES[],7,FALSE),"")</f>
        <v/>
      </c>
      <c r="W193" s="65" t="str">
        <f>IFERROR(VLOOKUP(TableHandbook[[#This Row],[UDC]],TableMJRULITCU[],7,FALSE),"")</f>
        <v/>
      </c>
      <c r="X193" s="65" t="str">
        <f>IFERROR(VLOOKUP(TableHandbook[[#This Row],[UDC]],TableMJRUNETCM[],7,FALSE),"")</f>
        <v/>
      </c>
      <c r="Y193" s="65" t="str">
        <f>IFERROR(VLOOKUP(TableHandbook[[#This Row],[UDC]],TableMJRUPRWRP[],7,FALSE),"")</f>
        <v/>
      </c>
      <c r="Z193" s="66" t="str">
        <f>IFERROR(VLOOKUP(TableHandbook[[#This Row],[UDC]],TableMJRUSCSTR[],7,FALSE),"")</f>
        <v/>
      </c>
      <c r="AA193" s="74"/>
      <c r="AB193" s="66" t="str">
        <f>IFERROR(VLOOKUP(TableHandbook[[#This Row],[UDC]],TableMJRUBSLAW[],7,FALSE),"")</f>
        <v/>
      </c>
      <c r="AC193" s="66" t="str">
        <f>IFERROR(VLOOKUP(TableHandbook[[#This Row],[UDC]],TableMJRUECONS[],7,FALSE),"")</f>
        <v/>
      </c>
      <c r="AD193" s="66" t="str">
        <f>IFERROR(VLOOKUP(TableHandbook[[#This Row],[UDC]],TableMJRUFINAR[],7,FALSE),"")</f>
        <v/>
      </c>
      <c r="AE193" s="66" t="str">
        <f>IFERROR(VLOOKUP(TableHandbook[[#This Row],[UDC]],TableMJRUFINCE[],7,FALSE),"")</f>
        <v/>
      </c>
      <c r="AF193" s="66" t="str">
        <f>IFERROR(VLOOKUP(TableHandbook[[#This Row],[UDC]],TableMJRUHRMGM[],7,FALSE),"")</f>
        <v/>
      </c>
      <c r="AG193" s="66" t="str">
        <f>IFERROR(VLOOKUP(TableHandbook[[#This Row],[UDC]],TableMJRUINTBU[],7,FALSE),"")</f>
        <v/>
      </c>
      <c r="AH193" s="66" t="str">
        <f>IFERROR(VLOOKUP(TableHandbook[[#This Row],[UDC]],TableMJRULGSCM[],7,FALSE),"")</f>
        <v/>
      </c>
      <c r="AI193" s="66" t="str">
        <f>IFERROR(VLOOKUP(TableHandbook[[#This Row],[UDC]],TableMJRUMNGMT[],7,FALSE),"")</f>
        <v/>
      </c>
      <c r="AJ193" s="66" t="str">
        <f>IFERROR(VLOOKUP(TableHandbook[[#This Row],[UDC]],TableMJRUMRKTG[],7,FALSE),"")</f>
        <v/>
      </c>
      <c r="AK193" s="66" t="str">
        <f>IFERROR(VLOOKUP(TableHandbook[[#This Row],[UDC]],TableMJRUPRPTY[],7,FALSE),"")</f>
        <v/>
      </c>
      <c r="AL193" s="66" t="str">
        <f>IFERROR(VLOOKUP(TableHandbook[[#This Row],[UDC]],TableMJRUSCRAR[],7,FALSE),"")</f>
        <v/>
      </c>
      <c r="AM193" s="66" t="str">
        <f>IFERROR(VLOOKUP(TableHandbook[[#This Row],[UDC]],TableMJRUTHTRA[],7,FALSE),"")</f>
        <v/>
      </c>
      <c r="AN193" s="66" t="str">
        <f>IFERROR(VLOOKUP(TableHandbook[[#This Row],[UDC]],TableMJRUTRHOS[],7,FALSE),"")</f>
        <v/>
      </c>
    </row>
    <row r="194" spans="1:40" x14ac:dyDescent="0.25">
      <c r="A194" s="8" t="s">
        <v>729</v>
      </c>
      <c r="B194" s="9">
        <v>1</v>
      </c>
      <c r="C194" s="8"/>
      <c r="D194" s="8" t="s">
        <v>129</v>
      </c>
      <c r="E194" s="9">
        <v>200</v>
      </c>
      <c r="F194" s="49" t="s">
        <v>277</v>
      </c>
      <c r="G194" s="67" t="str">
        <f>IFERROR(IF(VLOOKUP(TableHandbook[[#This Row],[UDC]],TableAvailabilities[],2,FALSE)&gt;0,"Y",""),"")</f>
        <v/>
      </c>
      <c r="H194" s="68" t="str">
        <f>IFERROR(IF(VLOOKUP(TableHandbook[[#This Row],[UDC]],TableAvailabilities[],3,FALSE)&gt;0,"Y",""),"")</f>
        <v/>
      </c>
      <c r="I194" s="69" t="str">
        <f>IFERROR(IF(VLOOKUP(TableHandbook[[#This Row],[UDC]],TableAvailabilities[],4,FALSE)&gt;0,"Y",""),"")</f>
        <v/>
      </c>
      <c r="J194" s="70" t="str">
        <f>IFERROR(IF(VLOOKUP(TableHandbook[[#This Row],[UDC]],TableAvailabilities[],5,FALSE)&gt;0,"Y",""),"")</f>
        <v/>
      </c>
      <c r="K194" s="163" t="s">
        <v>535</v>
      </c>
      <c r="L194" s="64" t="str">
        <f>IFERROR(VLOOKUP(TableHandbook[[#This Row],[UDC]],TableBARTS[],7,FALSE),"")</f>
        <v/>
      </c>
      <c r="M194" s="65" t="str">
        <f>IFERROR(VLOOKUP(TableHandbook[[#This Row],[UDC]],TableMJRUANTSO[],7,FALSE),"")</f>
        <v/>
      </c>
      <c r="N194" s="65" t="str">
        <f>IFERROR(VLOOKUP(TableHandbook[[#This Row],[UDC]],TableMJRUCHNSE[],7,FALSE),"")</f>
        <v/>
      </c>
      <c r="O194" s="65" t="str">
        <f>IFERROR(VLOOKUP(TableHandbook[[#This Row],[UDC]],TableMJRUCRWRI[],7,FALSE),"")</f>
        <v/>
      </c>
      <c r="P194" s="65" t="str">
        <f>IFERROR(VLOOKUP(TableHandbook[[#This Row],[UDC]],TableMJRUGEOGR[],7,FALSE),"")</f>
        <v/>
      </c>
      <c r="Q194" s="65" t="str">
        <f>IFERROR(VLOOKUP(TableHandbook[[#This Row],[UDC]],TableMJRUHISTR[],7,FALSE),"")</f>
        <v/>
      </c>
      <c r="R194" s="65" t="str">
        <f>IFERROR(VLOOKUP(TableHandbook[[#This Row],[UDC]],TableMJRUINAUC[],7,FALSE),"")</f>
        <v/>
      </c>
      <c r="S194" s="65" t="str">
        <f>IFERROR(VLOOKUP(TableHandbook[[#This Row],[UDC]],TableMJRUINTRL[],7,FALSE),"")</f>
        <v/>
      </c>
      <c r="T194" s="65" t="str">
        <f>IFERROR(VLOOKUP(TableHandbook[[#This Row],[UDC]],TableMJRUJAPAN[],7,FALSE),"")</f>
        <v/>
      </c>
      <c r="U194" s="65" t="str">
        <f>IFERROR(VLOOKUP(TableHandbook[[#This Row],[UDC]],TableMJRUJOURN[],7,FALSE),"")</f>
        <v/>
      </c>
      <c r="V194" s="65" t="str">
        <f>IFERROR(VLOOKUP(TableHandbook[[#This Row],[UDC]],TableMJRUKORES[],7,FALSE),"")</f>
        <v/>
      </c>
      <c r="W194" s="65" t="str">
        <f>IFERROR(VLOOKUP(TableHandbook[[#This Row],[UDC]],TableMJRULITCU[],7,FALSE),"")</f>
        <v/>
      </c>
      <c r="X194" s="65" t="str">
        <f>IFERROR(VLOOKUP(TableHandbook[[#This Row],[UDC]],TableMJRUNETCM[],7,FALSE),"")</f>
        <v/>
      </c>
      <c r="Y194" s="65" t="str">
        <f>IFERROR(VLOOKUP(TableHandbook[[#This Row],[UDC]],TableMJRUPRWRP[],7,FALSE),"")</f>
        <v/>
      </c>
      <c r="Z194" s="66" t="str">
        <f>IFERROR(VLOOKUP(TableHandbook[[#This Row],[UDC]],TableMJRUSCSTR[],7,FALSE),"")</f>
        <v/>
      </c>
      <c r="AA194" s="74"/>
      <c r="AB194" s="66" t="str">
        <f>IFERROR(VLOOKUP(TableHandbook[[#This Row],[UDC]],TableMJRUBSLAW[],7,FALSE),"")</f>
        <v/>
      </c>
      <c r="AC194" s="66" t="str">
        <f>IFERROR(VLOOKUP(TableHandbook[[#This Row],[UDC]],TableMJRUECONS[],7,FALSE),"")</f>
        <v/>
      </c>
      <c r="AD194" s="66" t="str">
        <f>IFERROR(VLOOKUP(TableHandbook[[#This Row],[UDC]],TableMJRUFINAR[],7,FALSE),"")</f>
        <v/>
      </c>
      <c r="AE194" s="66" t="str">
        <f>IFERROR(VLOOKUP(TableHandbook[[#This Row],[UDC]],TableMJRUFINCE[],7,FALSE),"")</f>
        <v/>
      </c>
      <c r="AF194" s="66" t="str">
        <f>IFERROR(VLOOKUP(TableHandbook[[#This Row],[UDC]],TableMJRUHRMGM[],7,FALSE),"")</f>
        <v/>
      </c>
      <c r="AG194" s="66" t="str">
        <f>IFERROR(VLOOKUP(TableHandbook[[#This Row],[UDC]],TableMJRUINTBU[],7,FALSE),"")</f>
        <v/>
      </c>
      <c r="AH194" s="66" t="str">
        <f>IFERROR(VLOOKUP(TableHandbook[[#This Row],[UDC]],TableMJRULGSCM[],7,FALSE),"")</f>
        <v/>
      </c>
      <c r="AI194" s="66" t="str">
        <f>IFERROR(VLOOKUP(TableHandbook[[#This Row],[UDC]],TableMJRUMNGMT[],7,FALSE),"")</f>
        <v/>
      </c>
      <c r="AJ194" s="66" t="str">
        <f>IFERROR(VLOOKUP(TableHandbook[[#This Row],[UDC]],TableMJRUMRKTG[],7,FALSE),"")</f>
        <v/>
      </c>
      <c r="AK194" s="66" t="str">
        <f>IFERROR(VLOOKUP(TableHandbook[[#This Row],[UDC]],TableMJRUPRPTY[],7,FALSE),"")</f>
        <v/>
      </c>
      <c r="AL194" s="66" t="str">
        <f>IFERROR(VLOOKUP(TableHandbook[[#This Row],[UDC]],TableMJRUSCRAR[],7,FALSE),"")</f>
        <v/>
      </c>
      <c r="AM194" s="66" t="str">
        <f>IFERROR(VLOOKUP(TableHandbook[[#This Row],[UDC]],TableMJRUTHTRA[],7,FALSE),"")</f>
        <v/>
      </c>
      <c r="AN194" s="66" t="str">
        <f>IFERROR(VLOOKUP(TableHandbook[[#This Row],[UDC]],TableMJRUTRHOS[],7,FALSE),"")</f>
        <v/>
      </c>
    </row>
    <row r="195" spans="1:40" x14ac:dyDescent="0.25">
      <c r="A195" s="8" t="s">
        <v>133</v>
      </c>
      <c r="B195" s="9">
        <v>2</v>
      </c>
      <c r="C195" s="8"/>
      <c r="D195" s="8" t="s">
        <v>132</v>
      </c>
      <c r="E195" s="9">
        <v>200</v>
      </c>
      <c r="F195" s="49" t="s">
        <v>277</v>
      </c>
      <c r="G195" s="67" t="str">
        <f>IFERROR(IF(VLOOKUP(TableHandbook[[#This Row],[UDC]],TableAvailabilities[],2,FALSE)&gt;0,"Y",""),"")</f>
        <v/>
      </c>
      <c r="H195" s="68" t="str">
        <f>IFERROR(IF(VLOOKUP(TableHandbook[[#This Row],[UDC]],TableAvailabilities[],3,FALSE)&gt;0,"Y",""),"")</f>
        <v/>
      </c>
      <c r="I195" s="69" t="str">
        <f>IFERROR(IF(VLOOKUP(TableHandbook[[#This Row],[UDC]],TableAvailabilities[],4,FALSE)&gt;0,"Y",""),"")</f>
        <v/>
      </c>
      <c r="J195" s="70" t="str">
        <f>IFERROR(IF(VLOOKUP(TableHandbook[[#This Row],[UDC]],TableAvailabilities[],5,FALSE)&gt;0,"Y",""),"")</f>
        <v/>
      </c>
      <c r="K195" s="163" t="s">
        <v>533</v>
      </c>
      <c r="L195" s="64" t="str">
        <f>IFERROR(VLOOKUP(TableHandbook[[#This Row],[UDC]],TableBARTS[],7,FALSE),"")</f>
        <v>Core/Option</v>
      </c>
      <c r="M195" s="65" t="str">
        <f>IFERROR(VLOOKUP(TableHandbook[[#This Row],[UDC]],TableMJRUANTSO[],7,FALSE),"")</f>
        <v/>
      </c>
      <c r="N195" s="65" t="str">
        <f>IFERROR(VLOOKUP(TableHandbook[[#This Row],[UDC]],TableMJRUCHNSE[],7,FALSE),"")</f>
        <v/>
      </c>
      <c r="O195" s="65" t="str">
        <f>IFERROR(VLOOKUP(TableHandbook[[#This Row],[UDC]],TableMJRUCRWRI[],7,FALSE),"")</f>
        <v/>
      </c>
      <c r="P195" s="65" t="str">
        <f>IFERROR(VLOOKUP(TableHandbook[[#This Row],[UDC]],TableMJRUGEOGR[],7,FALSE),"")</f>
        <v/>
      </c>
      <c r="Q195" s="65" t="str">
        <f>IFERROR(VLOOKUP(TableHandbook[[#This Row],[UDC]],TableMJRUHISTR[],7,FALSE),"")</f>
        <v/>
      </c>
      <c r="R195" s="65" t="str">
        <f>IFERROR(VLOOKUP(TableHandbook[[#This Row],[UDC]],TableMJRUINAUC[],7,FALSE),"")</f>
        <v/>
      </c>
      <c r="S195" s="65" t="str">
        <f>IFERROR(VLOOKUP(TableHandbook[[#This Row],[UDC]],TableMJRUINTRL[],7,FALSE),"")</f>
        <v/>
      </c>
      <c r="T195" s="65" t="str">
        <f>IFERROR(VLOOKUP(TableHandbook[[#This Row],[UDC]],TableMJRUJAPAN[],7,FALSE),"")</f>
        <v/>
      </c>
      <c r="U195" s="65" t="str">
        <f>IFERROR(VLOOKUP(TableHandbook[[#This Row],[UDC]],TableMJRUJOURN[],7,FALSE),"")</f>
        <v/>
      </c>
      <c r="V195" s="65" t="str">
        <f>IFERROR(VLOOKUP(TableHandbook[[#This Row],[UDC]],TableMJRUKORES[],7,FALSE),"")</f>
        <v/>
      </c>
      <c r="W195" s="65" t="str">
        <f>IFERROR(VLOOKUP(TableHandbook[[#This Row],[UDC]],TableMJRULITCU[],7,FALSE),"")</f>
        <v/>
      </c>
      <c r="X195" s="65" t="str">
        <f>IFERROR(VLOOKUP(TableHandbook[[#This Row],[UDC]],TableMJRUNETCM[],7,FALSE),"")</f>
        <v/>
      </c>
      <c r="Y195" s="65" t="str">
        <f>IFERROR(VLOOKUP(TableHandbook[[#This Row],[UDC]],TableMJRUPRWRP[],7,FALSE),"")</f>
        <v/>
      </c>
      <c r="Z195" s="66" t="str">
        <f>IFERROR(VLOOKUP(TableHandbook[[#This Row],[UDC]],TableMJRUSCSTR[],7,FALSE),"")</f>
        <v/>
      </c>
      <c r="AA195" s="74"/>
      <c r="AB195" s="66" t="str">
        <f>IFERROR(VLOOKUP(TableHandbook[[#This Row],[UDC]],TableMJRUBSLAW[],7,FALSE),"")</f>
        <v/>
      </c>
      <c r="AC195" s="66" t="str">
        <f>IFERROR(VLOOKUP(TableHandbook[[#This Row],[UDC]],TableMJRUECONS[],7,FALSE),"")</f>
        <v/>
      </c>
      <c r="AD195" s="66" t="str">
        <f>IFERROR(VLOOKUP(TableHandbook[[#This Row],[UDC]],TableMJRUFINAR[],7,FALSE),"")</f>
        <v/>
      </c>
      <c r="AE195" s="66" t="str">
        <f>IFERROR(VLOOKUP(TableHandbook[[#This Row],[UDC]],TableMJRUFINCE[],7,FALSE),"")</f>
        <v/>
      </c>
      <c r="AF195" s="66" t="str">
        <f>IFERROR(VLOOKUP(TableHandbook[[#This Row],[UDC]],TableMJRUHRMGM[],7,FALSE),"")</f>
        <v/>
      </c>
      <c r="AG195" s="66" t="str">
        <f>IFERROR(VLOOKUP(TableHandbook[[#This Row],[UDC]],TableMJRUINTBU[],7,FALSE),"")</f>
        <v/>
      </c>
      <c r="AH195" s="66" t="str">
        <f>IFERROR(VLOOKUP(TableHandbook[[#This Row],[UDC]],TableMJRULGSCM[],7,FALSE),"")</f>
        <v/>
      </c>
      <c r="AI195" s="66" t="str">
        <f>IFERROR(VLOOKUP(TableHandbook[[#This Row],[UDC]],TableMJRUMNGMT[],7,FALSE),"")</f>
        <v/>
      </c>
      <c r="AJ195" s="66" t="str">
        <f>IFERROR(VLOOKUP(TableHandbook[[#This Row],[UDC]],TableMJRUMRKTG[],7,FALSE),"")</f>
        <v/>
      </c>
      <c r="AK195" s="66" t="str">
        <f>IFERROR(VLOOKUP(TableHandbook[[#This Row],[UDC]],TableMJRUPRPTY[],7,FALSE),"")</f>
        <v/>
      </c>
      <c r="AL195" s="66" t="str">
        <f>IFERROR(VLOOKUP(TableHandbook[[#This Row],[UDC]],TableMJRUSCRAR[],7,FALSE),"")</f>
        <v/>
      </c>
      <c r="AM195" s="66" t="str">
        <f>IFERROR(VLOOKUP(TableHandbook[[#This Row],[UDC]],TableMJRUTHTRA[],7,FALSE),"")</f>
        <v/>
      </c>
      <c r="AN195" s="66" t="str">
        <f>IFERROR(VLOOKUP(TableHandbook[[#This Row],[UDC]],TableMJRUTRHOS[],7,FALSE),"")</f>
        <v/>
      </c>
    </row>
    <row r="196" spans="1:40" x14ac:dyDescent="0.25">
      <c r="A196" s="8" t="s">
        <v>730</v>
      </c>
      <c r="B196" s="9">
        <v>1</v>
      </c>
      <c r="C196" s="8"/>
      <c r="D196" s="8" t="s">
        <v>132</v>
      </c>
      <c r="E196" s="9">
        <v>200</v>
      </c>
      <c r="F196" s="49" t="s">
        <v>277</v>
      </c>
      <c r="G196" s="67" t="str">
        <f>IFERROR(IF(VLOOKUP(TableHandbook[[#This Row],[UDC]],TableAvailabilities[],2,FALSE)&gt;0,"Y",""),"")</f>
        <v/>
      </c>
      <c r="H196" s="68" t="str">
        <f>IFERROR(IF(VLOOKUP(TableHandbook[[#This Row],[UDC]],TableAvailabilities[],3,FALSE)&gt;0,"Y",""),"")</f>
        <v/>
      </c>
      <c r="I196" s="69" t="str">
        <f>IFERROR(IF(VLOOKUP(TableHandbook[[#This Row],[UDC]],TableAvailabilities[],4,FALSE)&gt;0,"Y",""),"")</f>
        <v/>
      </c>
      <c r="J196" s="70" t="str">
        <f>IFERROR(IF(VLOOKUP(TableHandbook[[#This Row],[UDC]],TableAvailabilities[],5,FALSE)&gt;0,"Y",""),"")</f>
        <v/>
      </c>
      <c r="K196" s="163" t="s">
        <v>535</v>
      </c>
      <c r="L196" s="64" t="str">
        <f>IFERROR(VLOOKUP(TableHandbook[[#This Row],[UDC]],TableBARTS[],7,FALSE),"")</f>
        <v/>
      </c>
      <c r="M196" s="65" t="str">
        <f>IFERROR(VLOOKUP(TableHandbook[[#This Row],[UDC]],TableMJRUANTSO[],7,FALSE),"")</f>
        <v/>
      </c>
      <c r="N196" s="65" t="str">
        <f>IFERROR(VLOOKUP(TableHandbook[[#This Row],[UDC]],TableMJRUCHNSE[],7,FALSE),"")</f>
        <v/>
      </c>
      <c r="O196" s="65" t="str">
        <f>IFERROR(VLOOKUP(TableHandbook[[#This Row],[UDC]],TableMJRUCRWRI[],7,FALSE),"")</f>
        <v/>
      </c>
      <c r="P196" s="65" t="str">
        <f>IFERROR(VLOOKUP(TableHandbook[[#This Row],[UDC]],TableMJRUGEOGR[],7,FALSE),"")</f>
        <v/>
      </c>
      <c r="Q196" s="65" t="str">
        <f>IFERROR(VLOOKUP(TableHandbook[[#This Row],[UDC]],TableMJRUHISTR[],7,FALSE),"")</f>
        <v/>
      </c>
      <c r="R196" s="65" t="str">
        <f>IFERROR(VLOOKUP(TableHandbook[[#This Row],[UDC]],TableMJRUINAUC[],7,FALSE),"")</f>
        <v/>
      </c>
      <c r="S196" s="65" t="str">
        <f>IFERROR(VLOOKUP(TableHandbook[[#This Row],[UDC]],TableMJRUINTRL[],7,FALSE),"")</f>
        <v/>
      </c>
      <c r="T196" s="65" t="str">
        <f>IFERROR(VLOOKUP(TableHandbook[[#This Row],[UDC]],TableMJRUJAPAN[],7,FALSE),"")</f>
        <v/>
      </c>
      <c r="U196" s="65" t="str">
        <f>IFERROR(VLOOKUP(TableHandbook[[#This Row],[UDC]],TableMJRUJOURN[],7,FALSE),"")</f>
        <v/>
      </c>
      <c r="V196" s="65" t="str">
        <f>IFERROR(VLOOKUP(TableHandbook[[#This Row],[UDC]],TableMJRUKORES[],7,FALSE),"")</f>
        <v/>
      </c>
      <c r="W196" s="65" t="str">
        <f>IFERROR(VLOOKUP(TableHandbook[[#This Row],[UDC]],TableMJRULITCU[],7,FALSE),"")</f>
        <v/>
      </c>
      <c r="X196" s="65" t="str">
        <f>IFERROR(VLOOKUP(TableHandbook[[#This Row],[UDC]],TableMJRUNETCM[],7,FALSE),"")</f>
        <v/>
      </c>
      <c r="Y196" s="65" t="str">
        <f>IFERROR(VLOOKUP(TableHandbook[[#This Row],[UDC]],TableMJRUPRWRP[],7,FALSE),"")</f>
        <v/>
      </c>
      <c r="Z196" s="66" t="str">
        <f>IFERROR(VLOOKUP(TableHandbook[[#This Row],[UDC]],TableMJRUSCSTR[],7,FALSE),"")</f>
        <v/>
      </c>
      <c r="AA196" s="74"/>
      <c r="AB196" s="66" t="str">
        <f>IFERROR(VLOOKUP(TableHandbook[[#This Row],[UDC]],TableMJRUBSLAW[],7,FALSE),"")</f>
        <v/>
      </c>
      <c r="AC196" s="66" t="str">
        <f>IFERROR(VLOOKUP(TableHandbook[[#This Row],[UDC]],TableMJRUECONS[],7,FALSE),"")</f>
        <v/>
      </c>
      <c r="AD196" s="66" t="str">
        <f>IFERROR(VLOOKUP(TableHandbook[[#This Row],[UDC]],TableMJRUFINAR[],7,FALSE),"")</f>
        <v/>
      </c>
      <c r="AE196" s="66" t="str">
        <f>IFERROR(VLOOKUP(TableHandbook[[#This Row],[UDC]],TableMJRUFINCE[],7,FALSE),"")</f>
        <v/>
      </c>
      <c r="AF196" s="66" t="str">
        <f>IFERROR(VLOOKUP(TableHandbook[[#This Row],[UDC]],TableMJRUHRMGM[],7,FALSE),"")</f>
        <v/>
      </c>
      <c r="AG196" s="66" t="str">
        <f>IFERROR(VLOOKUP(TableHandbook[[#This Row],[UDC]],TableMJRUINTBU[],7,FALSE),"")</f>
        <v/>
      </c>
      <c r="AH196" s="66" t="str">
        <f>IFERROR(VLOOKUP(TableHandbook[[#This Row],[UDC]],TableMJRULGSCM[],7,FALSE),"")</f>
        <v/>
      </c>
      <c r="AI196" s="66" t="str">
        <f>IFERROR(VLOOKUP(TableHandbook[[#This Row],[UDC]],TableMJRUMNGMT[],7,FALSE),"")</f>
        <v/>
      </c>
      <c r="AJ196" s="66" t="str">
        <f>IFERROR(VLOOKUP(TableHandbook[[#This Row],[UDC]],TableMJRUMRKTG[],7,FALSE),"")</f>
        <v/>
      </c>
      <c r="AK196" s="66" t="str">
        <f>IFERROR(VLOOKUP(TableHandbook[[#This Row],[UDC]],TableMJRUPRPTY[],7,FALSE),"")</f>
        <v/>
      </c>
      <c r="AL196" s="66" t="str">
        <f>IFERROR(VLOOKUP(TableHandbook[[#This Row],[UDC]],TableMJRUSCRAR[],7,FALSE),"")</f>
        <v/>
      </c>
      <c r="AM196" s="66" t="str">
        <f>IFERROR(VLOOKUP(TableHandbook[[#This Row],[UDC]],TableMJRUTHTRA[],7,FALSE),"")</f>
        <v/>
      </c>
      <c r="AN196" s="66" t="str">
        <f>IFERROR(VLOOKUP(TableHandbook[[#This Row],[UDC]],TableMJRUTRHOS[],7,FALSE),"")</f>
        <v/>
      </c>
    </row>
    <row r="197" spans="1:40" x14ac:dyDescent="0.25">
      <c r="A197" s="8" t="s">
        <v>320</v>
      </c>
      <c r="B197" s="9">
        <v>1</v>
      </c>
      <c r="C197" s="8"/>
      <c r="D197" s="8" t="s">
        <v>319</v>
      </c>
      <c r="E197" s="9">
        <v>200</v>
      </c>
      <c r="F197" s="49" t="s">
        <v>277</v>
      </c>
      <c r="G197" s="67" t="str">
        <f>IFERROR(IF(VLOOKUP(TableHandbook[[#This Row],[UDC]],TableAvailabilities[],2,FALSE)&gt;0,"Y",""),"")</f>
        <v/>
      </c>
      <c r="H197" s="68" t="str">
        <f>IFERROR(IF(VLOOKUP(TableHandbook[[#This Row],[UDC]],TableAvailabilities[],3,FALSE)&gt;0,"Y",""),"")</f>
        <v/>
      </c>
      <c r="I197" s="69" t="str">
        <f>IFERROR(IF(VLOOKUP(TableHandbook[[#This Row],[UDC]],TableAvailabilities[],4,FALSE)&gt;0,"Y",""),"")</f>
        <v/>
      </c>
      <c r="J197" s="70" t="str">
        <f>IFERROR(IF(VLOOKUP(TableHandbook[[#This Row],[UDC]],TableAvailabilities[],5,FALSE)&gt;0,"Y",""),"")</f>
        <v/>
      </c>
      <c r="K197" s="163"/>
      <c r="L197" s="64" t="str">
        <f>IFERROR(VLOOKUP(TableHandbook[[#This Row],[UDC]],TableBARTS[],7,FALSE),"")</f>
        <v>Option</v>
      </c>
      <c r="M197" s="65" t="str">
        <f>IFERROR(VLOOKUP(TableHandbook[[#This Row],[UDC]],TableMJRUANTSO[],7,FALSE),"")</f>
        <v/>
      </c>
      <c r="N197" s="65" t="str">
        <f>IFERROR(VLOOKUP(TableHandbook[[#This Row],[UDC]],TableMJRUCHNSE[],7,FALSE),"")</f>
        <v/>
      </c>
      <c r="O197" s="65" t="str">
        <f>IFERROR(VLOOKUP(TableHandbook[[#This Row],[UDC]],TableMJRUCRWRI[],7,FALSE),"")</f>
        <v/>
      </c>
      <c r="P197" s="65" t="str">
        <f>IFERROR(VLOOKUP(TableHandbook[[#This Row],[UDC]],TableMJRUGEOGR[],7,FALSE),"")</f>
        <v/>
      </c>
      <c r="Q197" s="65" t="str">
        <f>IFERROR(VLOOKUP(TableHandbook[[#This Row],[UDC]],TableMJRUHISTR[],7,FALSE),"")</f>
        <v/>
      </c>
      <c r="R197" s="65" t="str">
        <f>IFERROR(VLOOKUP(TableHandbook[[#This Row],[UDC]],TableMJRUINAUC[],7,FALSE),"")</f>
        <v/>
      </c>
      <c r="S197" s="65" t="str">
        <f>IFERROR(VLOOKUP(TableHandbook[[#This Row],[UDC]],TableMJRUINTRL[],7,FALSE),"")</f>
        <v/>
      </c>
      <c r="T197" s="65" t="str">
        <f>IFERROR(VLOOKUP(TableHandbook[[#This Row],[UDC]],TableMJRUJAPAN[],7,FALSE),"")</f>
        <v/>
      </c>
      <c r="U197" s="65" t="str">
        <f>IFERROR(VLOOKUP(TableHandbook[[#This Row],[UDC]],TableMJRUJOURN[],7,FALSE),"")</f>
        <v/>
      </c>
      <c r="V197" s="65" t="str">
        <f>IFERROR(VLOOKUP(TableHandbook[[#This Row],[UDC]],TableMJRUKORES[],7,FALSE),"")</f>
        <v/>
      </c>
      <c r="W197" s="65" t="str">
        <f>IFERROR(VLOOKUP(TableHandbook[[#This Row],[UDC]],TableMJRULITCU[],7,FALSE),"")</f>
        <v/>
      </c>
      <c r="X197" s="65" t="str">
        <f>IFERROR(VLOOKUP(TableHandbook[[#This Row],[UDC]],TableMJRUNETCM[],7,FALSE),"")</f>
        <v/>
      </c>
      <c r="Y197" s="65" t="str">
        <f>IFERROR(VLOOKUP(TableHandbook[[#This Row],[UDC]],TableMJRUPRWRP[],7,FALSE),"")</f>
        <v/>
      </c>
      <c r="Z197" s="66" t="str">
        <f>IFERROR(VLOOKUP(TableHandbook[[#This Row],[UDC]],TableMJRUSCSTR[],7,FALSE),"")</f>
        <v/>
      </c>
      <c r="AA197" s="74"/>
      <c r="AB197" s="66" t="str">
        <f>IFERROR(VLOOKUP(TableHandbook[[#This Row],[UDC]],TableMJRUBSLAW[],7,FALSE),"")</f>
        <v/>
      </c>
      <c r="AC197" s="66" t="str">
        <f>IFERROR(VLOOKUP(TableHandbook[[#This Row],[UDC]],TableMJRUECONS[],7,FALSE),"")</f>
        <v/>
      </c>
      <c r="AD197" s="66" t="str">
        <f>IFERROR(VLOOKUP(TableHandbook[[#This Row],[UDC]],TableMJRUFINAR[],7,FALSE),"")</f>
        <v/>
      </c>
      <c r="AE197" s="66" t="str">
        <f>IFERROR(VLOOKUP(TableHandbook[[#This Row],[UDC]],TableMJRUFINCE[],7,FALSE),"")</f>
        <v/>
      </c>
      <c r="AF197" s="66" t="str">
        <f>IFERROR(VLOOKUP(TableHandbook[[#This Row],[UDC]],TableMJRUHRMGM[],7,FALSE),"")</f>
        <v/>
      </c>
      <c r="AG197" s="66" t="str">
        <f>IFERROR(VLOOKUP(TableHandbook[[#This Row],[UDC]],TableMJRUINTBU[],7,FALSE),"")</f>
        <v/>
      </c>
      <c r="AH197" s="66" t="str">
        <f>IFERROR(VLOOKUP(TableHandbook[[#This Row],[UDC]],TableMJRULGSCM[],7,FALSE),"")</f>
        <v/>
      </c>
      <c r="AI197" s="66" t="str">
        <f>IFERROR(VLOOKUP(TableHandbook[[#This Row],[UDC]],TableMJRUMNGMT[],7,FALSE),"")</f>
        <v/>
      </c>
      <c r="AJ197" s="66" t="str">
        <f>IFERROR(VLOOKUP(TableHandbook[[#This Row],[UDC]],TableMJRUMRKTG[],7,FALSE),"")</f>
        <v/>
      </c>
      <c r="AK197" s="66" t="str">
        <f>IFERROR(VLOOKUP(TableHandbook[[#This Row],[UDC]],TableMJRUPRPTY[],7,FALSE),"")</f>
        <v/>
      </c>
      <c r="AL197" s="66" t="str">
        <f>IFERROR(VLOOKUP(TableHandbook[[#This Row],[UDC]],TableMJRUSCRAR[],7,FALSE),"")</f>
        <v/>
      </c>
      <c r="AM197" s="66" t="str">
        <f>IFERROR(VLOOKUP(TableHandbook[[#This Row],[UDC]],TableMJRUTHTRA[],7,FALSE),"")</f>
        <v/>
      </c>
      <c r="AN197" s="66" t="str">
        <f>IFERROR(VLOOKUP(TableHandbook[[#This Row],[UDC]],TableMJRUTRHOS[],7,FALSE),"")</f>
        <v/>
      </c>
    </row>
    <row r="198" spans="1:40" x14ac:dyDescent="0.25">
      <c r="A198" s="8" t="s">
        <v>136</v>
      </c>
      <c r="B198" s="9">
        <v>1</v>
      </c>
      <c r="C198" s="8"/>
      <c r="D198" s="8" t="s">
        <v>135</v>
      </c>
      <c r="E198" s="9">
        <v>200</v>
      </c>
      <c r="F198" s="49" t="s">
        <v>277</v>
      </c>
      <c r="G198" s="67" t="str">
        <f>IFERROR(IF(VLOOKUP(TableHandbook[[#This Row],[UDC]],TableAvailabilities[],2,FALSE)&gt;0,"Y",""),"")</f>
        <v/>
      </c>
      <c r="H198" s="68" t="str">
        <f>IFERROR(IF(VLOOKUP(TableHandbook[[#This Row],[UDC]],TableAvailabilities[],3,FALSE)&gt;0,"Y",""),"")</f>
        <v/>
      </c>
      <c r="I198" s="69" t="str">
        <f>IFERROR(IF(VLOOKUP(TableHandbook[[#This Row],[UDC]],TableAvailabilities[],4,FALSE)&gt;0,"Y",""),"")</f>
        <v/>
      </c>
      <c r="J198" s="70" t="str">
        <f>IFERROR(IF(VLOOKUP(TableHandbook[[#This Row],[UDC]],TableAvailabilities[],5,FALSE)&gt;0,"Y",""),"")</f>
        <v/>
      </c>
      <c r="K198" s="163"/>
      <c r="L198" s="64" t="str">
        <f>IFERROR(VLOOKUP(TableHandbook[[#This Row],[UDC]],TableBARTS[],7,FALSE),"")</f>
        <v>Core/Option</v>
      </c>
      <c r="M198" s="65" t="str">
        <f>IFERROR(VLOOKUP(TableHandbook[[#This Row],[UDC]],TableMJRUANTSO[],7,FALSE),"")</f>
        <v/>
      </c>
      <c r="N198" s="65" t="str">
        <f>IFERROR(VLOOKUP(TableHandbook[[#This Row],[UDC]],TableMJRUCHNSE[],7,FALSE),"")</f>
        <v/>
      </c>
      <c r="O198" s="65" t="str">
        <f>IFERROR(VLOOKUP(TableHandbook[[#This Row],[UDC]],TableMJRUCRWRI[],7,FALSE),"")</f>
        <v/>
      </c>
      <c r="P198" s="65" t="str">
        <f>IFERROR(VLOOKUP(TableHandbook[[#This Row],[UDC]],TableMJRUGEOGR[],7,FALSE),"")</f>
        <v/>
      </c>
      <c r="Q198" s="65" t="str">
        <f>IFERROR(VLOOKUP(TableHandbook[[#This Row],[UDC]],TableMJRUHISTR[],7,FALSE),"")</f>
        <v/>
      </c>
      <c r="R198" s="65" t="str">
        <f>IFERROR(VLOOKUP(TableHandbook[[#This Row],[UDC]],TableMJRUINAUC[],7,FALSE),"")</f>
        <v/>
      </c>
      <c r="S198" s="65" t="str">
        <f>IFERROR(VLOOKUP(TableHandbook[[#This Row],[UDC]],TableMJRUINTRL[],7,FALSE),"")</f>
        <v/>
      </c>
      <c r="T198" s="65" t="str">
        <f>IFERROR(VLOOKUP(TableHandbook[[#This Row],[UDC]],TableMJRUJAPAN[],7,FALSE),"")</f>
        <v/>
      </c>
      <c r="U198" s="65" t="str">
        <f>IFERROR(VLOOKUP(TableHandbook[[#This Row],[UDC]],TableMJRUJOURN[],7,FALSE),"")</f>
        <v/>
      </c>
      <c r="V198" s="65" t="str">
        <f>IFERROR(VLOOKUP(TableHandbook[[#This Row],[UDC]],TableMJRUKORES[],7,FALSE),"")</f>
        <v/>
      </c>
      <c r="W198" s="65" t="str">
        <f>IFERROR(VLOOKUP(TableHandbook[[#This Row],[UDC]],TableMJRULITCU[],7,FALSE),"")</f>
        <v/>
      </c>
      <c r="X198" s="65" t="str">
        <f>IFERROR(VLOOKUP(TableHandbook[[#This Row],[UDC]],TableMJRUNETCM[],7,FALSE),"")</f>
        <v/>
      </c>
      <c r="Y198" s="65" t="str">
        <f>IFERROR(VLOOKUP(TableHandbook[[#This Row],[UDC]],TableMJRUPRWRP[],7,FALSE),"")</f>
        <v/>
      </c>
      <c r="Z198" s="66" t="str">
        <f>IFERROR(VLOOKUP(TableHandbook[[#This Row],[UDC]],TableMJRUSCSTR[],7,FALSE),"")</f>
        <v/>
      </c>
      <c r="AA198" s="74"/>
      <c r="AB198" s="66" t="str">
        <f>IFERROR(VLOOKUP(TableHandbook[[#This Row],[UDC]],TableMJRUBSLAW[],7,FALSE),"")</f>
        <v/>
      </c>
      <c r="AC198" s="66" t="str">
        <f>IFERROR(VLOOKUP(TableHandbook[[#This Row],[UDC]],TableMJRUECONS[],7,FALSE),"")</f>
        <v/>
      </c>
      <c r="AD198" s="66" t="str">
        <f>IFERROR(VLOOKUP(TableHandbook[[#This Row],[UDC]],TableMJRUFINAR[],7,FALSE),"")</f>
        <v/>
      </c>
      <c r="AE198" s="66" t="str">
        <f>IFERROR(VLOOKUP(TableHandbook[[#This Row],[UDC]],TableMJRUFINCE[],7,FALSE),"")</f>
        <v/>
      </c>
      <c r="AF198" s="66" t="str">
        <f>IFERROR(VLOOKUP(TableHandbook[[#This Row],[UDC]],TableMJRUHRMGM[],7,FALSE),"")</f>
        <v/>
      </c>
      <c r="AG198" s="66" t="str">
        <f>IFERROR(VLOOKUP(TableHandbook[[#This Row],[UDC]],TableMJRUINTBU[],7,FALSE),"")</f>
        <v/>
      </c>
      <c r="AH198" s="66" t="str">
        <f>IFERROR(VLOOKUP(TableHandbook[[#This Row],[UDC]],TableMJRULGSCM[],7,FALSE),"")</f>
        <v/>
      </c>
      <c r="AI198" s="66" t="str">
        <f>IFERROR(VLOOKUP(TableHandbook[[#This Row],[UDC]],TableMJRUMNGMT[],7,FALSE),"")</f>
        <v/>
      </c>
      <c r="AJ198" s="66" t="str">
        <f>IFERROR(VLOOKUP(TableHandbook[[#This Row],[UDC]],TableMJRUMRKTG[],7,FALSE),"")</f>
        <v/>
      </c>
      <c r="AK198" s="66" t="str">
        <f>IFERROR(VLOOKUP(TableHandbook[[#This Row],[UDC]],TableMJRUPRPTY[],7,FALSE),"")</f>
        <v/>
      </c>
      <c r="AL198" s="66" t="str">
        <f>IFERROR(VLOOKUP(TableHandbook[[#This Row],[UDC]],TableMJRUSCRAR[],7,FALSE),"")</f>
        <v/>
      </c>
      <c r="AM198" s="66" t="str">
        <f>IFERROR(VLOOKUP(TableHandbook[[#This Row],[UDC]],TableMJRUTHTRA[],7,FALSE),"")</f>
        <v/>
      </c>
      <c r="AN198" s="66" t="str">
        <f>IFERROR(VLOOKUP(TableHandbook[[#This Row],[UDC]],TableMJRUTRHOS[],7,FALSE),"")</f>
        <v/>
      </c>
    </row>
    <row r="199" spans="1:40" x14ac:dyDescent="0.25">
      <c r="A199" s="8" t="s">
        <v>322</v>
      </c>
      <c r="B199" s="9">
        <v>2</v>
      </c>
      <c r="C199" s="8"/>
      <c r="D199" s="8" t="s">
        <v>321</v>
      </c>
      <c r="E199" s="9">
        <v>200</v>
      </c>
      <c r="F199" s="49" t="s">
        <v>277</v>
      </c>
      <c r="G199" s="67" t="str">
        <f>IFERROR(IF(VLOOKUP(TableHandbook[[#This Row],[UDC]],TableAvailabilities[],2,FALSE)&gt;0,"Y",""),"")</f>
        <v/>
      </c>
      <c r="H199" s="68" t="str">
        <f>IFERROR(IF(VLOOKUP(TableHandbook[[#This Row],[UDC]],TableAvailabilities[],3,FALSE)&gt;0,"Y",""),"")</f>
        <v/>
      </c>
      <c r="I199" s="69" t="str">
        <f>IFERROR(IF(VLOOKUP(TableHandbook[[#This Row],[UDC]],TableAvailabilities[],4,FALSE)&gt;0,"Y",""),"")</f>
        <v/>
      </c>
      <c r="J199" s="70" t="str">
        <f>IFERROR(IF(VLOOKUP(TableHandbook[[#This Row],[UDC]],TableAvailabilities[],5,FALSE)&gt;0,"Y",""),"")</f>
        <v/>
      </c>
      <c r="K199" s="163" t="s">
        <v>533</v>
      </c>
      <c r="L199" s="64" t="str">
        <f>IFERROR(VLOOKUP(TableHandbook[[#This Row],[UDC]],TableBARTS[],7,FALSE),"")</f>
        <v>Option</v>
      </c>
      <c r="M199" s="65" t="str">
        <f>IFERROR(VLOOKUP(TableHandbook[[#This Row],[UDC]],TableMJRUANTSO[],7,FALSE),"")</f>
        <v/>
      </c>
      <c r="N199" s="65" t="str">
        <f>IFERROR(VLOOKUP(TableHandbook[[#This Row],[UDC]],TableMJRUCHNSE[],7,FALSE),"")</f>
        <v/>
      </c>
      <c r="O199" s="65" t="str">
        <f>IFERROR(VLOOKUP(TableHandbook[[#This Row],[UDC]],TableMJRUCRWRI[],7,FALSE),"")</f>
        <v/>
      </c>
      <c r="P199" s="65" t="str">
        <f>IFERROR(VLOOKUP(TableHandbook[[#This Row],[UDC]],TableMJRUGEOGR[],7,FALSE),"")</f>
        <v/>
      </c>
      <c r="Q199" s="65" t="str">
        <f>IFERROR(VLOOKUP(TableHandbook[[#This Row],[UDC]],TableMJRUHISTR[],7,FALSE),"")</f>
        <v/>
      </c>
      <c r="R199" s="65" t="str">
        <f>IFERROR(VLOOKUP(TableHandbook[[#This Row],[UDC]],TableMJRUINAUC[],7,FALSE),"")</f>
        <v/>
      </c>
      <c r="S199" s="65" t="str">
        <f>IFERROR(VLOOKUP(TableHandbook[[#This Row],[UDC]],TableMJRUINTRL[],7,FALSE),"")</f>
        <v/>
      </c>
      <c r="T199" s="65" t="str">
        <f>IFERROR(VLOOKUP(TableHandbook[[#This Row],[UDC]],TableMJRUJAPAN[],7,FALSE),"")</f>
        <v/>
      </c>
      <c r="U199" s="65" t="str">
        <f>IFERROR(VLOOKUP(TableHandbook[[#This Row],[UDC]],TableMJRUJOURN[],7,FALSE),"")</f>
        <v/>
      </c>
      <c r="V199" s="65" t="str">
        <f>IFERROR(VLOOKUP(TableHandbook[[#This Row],[UDC]],TableMJRUKORES[],7,FALSE),"")</f>
        <v/>
      </c>
      <c r="W199" s="65" t="str">
        <f>IFERROR(VLOOKUP(TableHandbook[[#This Row],[UDC]],TableMJRULITCU[],7,FALSE),"")</f>
        <v/>
      </c>
      <c r="X199" s="65" t="str">
        <f>IFERROR(VLOOKUP(TableHandbook[[#This Row],[UDC]],TableMJRUNETCM[],7,FALSE),"")</f>
        <v/>
      </c>
      <c r="Y199" s="65" t="str">
        <f>IFERROR(VLOOKUP(TableHandbook[[#This Row],[UDC]],TableMJRUPRWRP[],7,FALSE),"")</f>
        <v/>
      </c>
      <c r="Z199" s="66" t="str">
        <f>IFERROR(VLOOKUP(TableHandbook[[#This Row],[UDC]],TableMJRUSCSTR[],7,FALSE),"")</f>
        <v/>
      </c>
      <c r="AA199" s="74"/>
      <c r="AB199" s="66" t="str">
        <f>IFERROR(VLOOKUP(TableHandbook[[#This Row],[UDC]],TableMJRUBSLAW[],7,FALSE),"")</f>
        <v/>
      </c>
      <c r="AC199" s="66" t="str">
        <f>IFERROR(VLOOKUP(TableHandbook[[#This Row],[UDC]],TableMJRUECONS[],7,FALSE),"")</f>
        <v/>
      </c>
      <c r="AD199" s="66" t="str">
        <f>IFERROR(VLOOKUP(TableHandbook[[#This Row],[UDC]],TableMJRUFINAR[],7,FALSE),"")</f>
        <v/>
      </c>
      <c r="AE199" s="66" t="str">
        <f>IFERROR(VLOOKUP(TableHandbook[[#This Row],[UDC]],TableMJRUFINCE[],7,FALSE),"")</f>
        <v/>
      </c>
      <c r="AF199" s="66" t="str">
        <f>IFERROR(VLOOKUP(TableHandbook[[#This Row],[UDC]],TableMJRUHRMGM[],7,FALSE),"")</f>
        <v/>
      </c>
      <c r="AG199" s="66" t="str">
        <f>IFERROR(VLOOKUP(TableHandbook[[#This Row],[UDC]],TableMJRUINTBU[],7,FALSE),"")</f>
        <v/>
      </c>
      <c r="AH199" s="66" t="str">
        <f>IFERROR(VLOOKUP(TableHandbook[[#This Row],[UDC]],TableMJRULGSCM[],7,FALSE),"")</f>
        <v/>
      </c>
      <c r="AI199" s="66" t="str">
        <f>IFERROR(VLOOKUP(TableHandbook[[#This Row],[UDC]],TableMJRUMNGMT[],7,FALSE),"")</f>
        <v/>
      </c>
      <c r="AJ199" s="66" t="str">
        <f>IFERROR(VLOOKUP(TableHandbook[[#This Row],[UDC]],TableMJRUMRKTG[],7,FALSE),"")</f>
        <v/>
      </c>
      <c r="AK199" s="66" t="str">
        <f>IFERROR(VLOOKUP(TableHandbook[[#This Row],[UDC]],TableMJRUPRPTY[],7,FALSE),"")</f>
        <v/>
      </c>
      <c r="AL199" s="66" t="str">
        <f>IFERROR(VLOOKUP(TableHandbook[[#This Row],[UDC]],TableMJRUSCRAR[],7,FALSE),"")</f>
        <v/>
      </c>
      <c r="AM199" s="66" t="str">
        <f>IFERROR(VLOOKUP(TableHandbook[[#This Row],[UDC]],TableMJRUTHTRA[],7,FALSE),"")</f>
        <v/>
      </c>
      <c r="AN199" s="66" t="str">
        <f>IFERROR(VLOOKUP(TableHandbook[[#This Row],[UDC]],TableMJRUTRHOS[],7,FALSE),"")</f>
        <v/>
      </c>
    </row>
    <row r="200" spans="1:40" x14ac:dyDescent="0.25">
      <c r="A200" s="8" t="s">
        <v>731</v>
      </c>
      <c r="B200" s="9">
        <v>1</v>
      </c>
      <c r="C200" s="8"/>
      <c r="D200" s="8" t="s">
        <v>732</v>
      </c>
      <c r="E200" s="9">
        <v>200</v>
      </c>
      <c r="F200" s="49" t="s">
        <v>277</v>
      </c>
      <c r="G200" s="67" t="str">
        <f>IFERROR(IF(VLOOKUP(TableHandbook[[#This Row],[UDC]],TableAvailabilities[],2,FALSE)&gt;0,"Y",""),"")</f>
        <v/>
      </c>
      <c r="H200" s="68" t="str">
        <f>IFERROR(IF(VLOOKUP(TableHandbook[[#This Row],[UDC]],TableAvailabilities[],3,FALSE)&gt;0,"Y",""),"")</f>
        <v/>
      </c>
      <c r="I200" s="69" t="str">
        <f>IFERROR(IF(VLOOKUP(TableHandbook[[#This Row],[UDC]],TableAvailabilities[],4,FALSE)&gt;0,"Y",""),"")</f>
        <v/>
      </c>
      <c r="J200" s="70" t="str">
        <f>IFERROR(IF(VLOOKUP(TableHandbook[[#This Row],[UDC]],TableAvailabilities[],5,FALSE)&gt;0,"Y",""),"")</f>
        <v/>
      </c>
      <c r="K200" s="163" t="s">
        <v>535</v>
      </c>
      <c r="L200" s="64" t="str">
        <f>IFERROR(VLOOKUP(TableHandbook[[#This Row],[UDC]],TableBARTS[],7,FALSE),"")</f>
        <v/>
      </c>
      <c r="M200" s="65" t="str">
        <f>IFERROR(VLOOKUP(TableHandbook[[#This Row],[UDC]],TableMJRUANTSO[],7,FALSE),"")</f>
        <v/>
      </c>
      <c r="N200" s="65" t="str">
        <f>IFERROR(VLOOKUP(TableHandbook[[#This Row],[UDC]],TableMJRUCHNSE[],7,FALSE),"")</f>
        <v/>
      </c>
      <c r="O200" s="65" t="str">
        <f>IFERROR(VLOOKUP(TableHandbook[[#This Row],[UDC]],TableMJRUCRWRI[],7,FALSE),"")</f>
        <v/>
      </c>
      <c r="P200" s="65" t="str">
        <f>IFERROR(VLOOKUP(TableHandbook[[#This Row],[UDC]],TableMJRUGEOGR[],7,FALSE),"")</f>
        <v/>
      </c>
      <c r="Q200" s="65" t="str">
        <f>IFERROR(VLOOKUP(TableHandbook[[#This Row],[UDC]],TableMJRUHISTR[],7,FALSE),"")</f>
        <v/>
      </c>
      <c r="R200" s="65" t="str">
        <f>IFERROR(VLOOKUP(TableHandbook[[#This Row],[UDC]],TableMJRUINAUC[],7,FALSE),"")</f>
        <v/>
      </c>
      <c r="S200" s="65" t="str">
        <f>IFERROR(VLOOKUP(TableHandbook[[#This Row],[UDC]],TableMJRUINTRL[],7,FALSE),"")</f>
        <v/>
      </c>
      <c r="T200" s="65" t="str">
        <f>IFERROR(VLOOKUP(TableHandbook[[#This Row],[UDC]],TableMJRUJAPAN[],7,FALSE),"")</f>
        <v/>
      </c>
      <c r="U200" s="65" t="str">
        <f>IFERROR(VLOOKUP(TableHandbook[[#This Row],[UDC]],TableMJRUJOURN[],7,FALSE),"")</f>
        <v/>
      </c>
      <c r="V200" s="65" t="str">
        <f>IFERROR(VLOOKUP(TableHandbook[[#This Row],[UDC]],TableMJRUKORES[],7,FALSE),"")</f>
        <v/>
      </c>
      <c r="W200" s="65" t="str">
        <f>IFERROR(VLOOKUP(TableHandbook[[#This Row],[UDC]],TableMJRULITCU[],7,FALSE),"")</f>
        <v/>
      </c>
      <c r="X200" s="65" t="str">
        <f>IFERROR(VLOOKUP(TableHandbook[[#This Row],[UDC]],TableMJRUNETCM[],7,FALSE),"")</f>
        <v/>
      </c>
      <c r="Y200" s="65" t="str">
        <f>IFERROR(VLOOKUP(TableHandbook[[#This Row],[UDC]],TableMJRUPRWRP[],7,FALSE),"")</f>
        <v/>
      </c>
      <c r="Z200" s="66" t="str">
        <f>IFERROR(VLOOKUP(TableHandbook[[#This Row],[UDC]],TableMJRUSCSTR[],7,FALSE),"")</f>
        <v/>
      </c>
      <c r="AA200" s="74"/>
      <c r="AB200" s="66" t="str">
        <f>IFERROR(VLOOKUP(TableHandbook[[#This Row],[UDC]],TableMJRUBSLAW[],7,FALSE),"")</f>
        <v/>
      </c>
      <c r="AC200" s="66" t="str">
        <f>IFERROR(VLOOKUP(TableHandbook[[#This Row],[UDC]],TableMJRUECONS[],7,FALSE),"")</f>
        <v/>
      </c>
      <c r="AD200" s="66" t="str">
        <f>IFERROR(VLOOKUP(TableHandbook[[#This Row],[UDC]],TableMJRUFINAR[],7,FALSE),"")</f>
        <v/>
      </c>
      <c r="AE200" s="66" t="str">
        <f>IFERROR(VLOOKUP(TableHandbook[[#This Row],[UDC]],TableMJRUFINCE[],7,FALSE),"")</f>
        <v/>
      </c>
      <c r="AF200" s="66" t="str">
        <f>IFERROR(VLOOKUP(TableHandbook[[#This Row],[UDC]],TableMJRUHRMGM[],7,FALSE),"")</f>
        <v/>
      </c>
      <c r="AG200" s="66" t="str">
        <f>IFERROR(VLOOKUP(TableHandbook[[#This Row],[UDC]],TableMJRUINTBU[],7,FALSE),"")</f>
        <v/>
      </c>
      <c r="AH200" s="66" t="str">
        <f>IFERROR(VLOOKUP(TableHandbook[[#This Row],[UDC]],TableMJRULGSCM[],7,FALSE),"")</f>
        <v/>
      </c>
      <c r="AI200" s="66" t="str">
        <f>IFERROR(VLOOKUP(TableHandbook[[#This Row],[UDC]],TableMJRUMNGMT[],7,FALSE),"")</f>
        <v/>
      </c>
      <c r="AJ200" s="66" t="str">
        <f>IFERROR(VLOOKUP(TableHandbook[[#This Row],[UDC]],TableMJRUMRKTG[],7,FALSE),"")</f>
        <v/>
      </c>
      <c r="AK200" s="66" t="str">
        <f>IFERROR(VLOOKUP(TableHandbook[[#This Row],[UDC]],TableMJRUPRPTY[],7,FALSE),"")</f>
        <v/>
      </c>
      <c r="AL200" s="66" t="str">
        <f>IFERROR(VLOOKUP(TableHandbook[[#This Row],[UDC]],TableMJRUSCRAR[],7,FALSE),"")</f>
        <v/>
      </c>
      <c r="AM200" s="66" t="str">
        <f>IFERROR(VLOOKUP(TableHandbook[[#This Row],[UDC]],TableMJRUTHTRA[],7,FALSE),"")</f>
        <v/>
      </c>
      <c r="AN200" s="66" t="str">
        <f>IFERROR(VLOOKUP(TableHandbook[[#This Row],[UDC]],TableMJRUTRHOS[],7,FALSE),"")</f>
        <v/>
      </c>
    </row>
    <row r="201" spans="1:40" x14ac:dyDescent="0.25">
      <c r="A201" s="8" t="s">
        <v>139</v>
      </c>
      <c r="B201" s="9">
        <v>2</v>
      </c>
      <c r="C201" s="8"/>
      <c r="D201" s="8" t="s">
        <v>138</v>
      </c>
      <c r="E201" s="9">
        <v>200</v>
      </c>
      <c r="F201" s="49" t="s">
        <v>277</v>
      </c>
      <c r="G201" s="67" t="str">
        <f>IFERROR(IF(VLOOKUP(TableHandbook[[#This Row],[UDC]],TableAvailabilities[],2,FALSE)&gt;0,"Y",""),"")</f>
        <v/>
      </c>
      <c r="H201" s="68" t="str">
        <f>IFERROR(IF(VLOOKUP(TableHandbook[[#This Row],[UDC]],TableAvailabilities[],3,FALSE)&gt;0,"Y",""),"")</f>
        <v/>
      </c>
      <c r="I201" s="69" t="str">
        <f>IFERROR(IF(VLOOKUP(TableHandbook[[#This Row],[UDC]],TableAvailabilities[],4,FALSE)&gt;0,"Y",""),"")</f>
        <v/>
      </c>
      <c r="J201" s="70" t="str">
        <f>IFERROR(IF(VLOOKUP(TableHandbook[[#This Row],[UDC]],TableAvailabilities[],5,FALSE)&gt;0,"Y",""),"")</f>
        <v/>
      </c>
      <c r="K201" s="163" t="s">
        <v>533</v>
      </c>
      <c r="L201" s="64" t="str">
        <f>IFERROR(VLOOKUP(TableHandbook[[#This Row],[UDC]],TableBARTS[],7,FALSE),"")</f>
        <v>Core/Option</v>
      </c>
      <c r="M201" s="65" t="str">
        <f>IFERROR(VLOOKUP(TableHandbook[[#This Row],[UDC]],TableMJRUANTSO[],7,FALSE),"")</f>
        <v/>
      </c>
      <c r="N201" s="65" t="str">
        <f>IFERROR(VLOOKUP(TableHandbook[[#This Row],[UDC]],TableMJRUCHNSE[],7,FALSE),"")</f>
        <v/>
      </c>
      <c r="O201" s="65" t="str">
        <f>IFERROR(VLOOKUP(TableHandbook[[#This Row],[UDC]],TableMJRUCRWRI[],7,FALSE),"")</f>
        <v/>
      </c>
      <c r="P201" s="65" t="str">
        <f>IFERROR(VLOOKUP(TableHandbook[[#This Row],[UDC]],TableMJRUGEOGR[],7,FALSE),"")</f>
        <v/>
      </c>
      <c r="Q201" s="65" t="str">
        <f>IFERROR(VLOOKUP(TableHandbook[[#This Row],[UDC]],TableMJRUHISTR[],7,FALSE),"")</f>
        <v/>
      </c>
      <c r="R201" s="65" t="str">
        <f>IFERROR(VLOOKUP(TableHandbook[[#This Row],[UDC]],TableMJRUINAUC[],7,FALSE),"")</f>
        <v/>
      </c>
      <c r="S201" s="65" t="str">
        <f>IFERROR(VLOOKUP(TableHandbook[[#This Row],[UDC]],TableMJRUINTRL[],7,FALSE),"")</f>
        <v/>
      </c>
      <c r="T201" s="65" t="str">
        <f>IFERROR(VLOOKUP(TableHandbook[[#This Row],[UDC]],TableMJRUJAPAN[],7,FALSE),"")</f>
        <v/>
      </c>
      <c r="U201" s="65" t="str">
        <f>IFERROR(VLOOKUP(TableHandbook[[#This Row],[UDC]],TableMJRUJOURN[],7,FALSE),"")</f>
        <v/>
      </c>
      <c r="V201" s="65" t="str">
        <f>IFERROR(VLOOKUP(TableHandbook[[#This Row],[UDC]],TableMJRUKORES[],7,FALSE),"")</f>
        <v/>
      </c>
      <c r="W201" s="65" t="str">
        <f>IFERROR(VLOOKUP(TableHandbook[[#This Row],[UDC]],TableMJRULITCU[],7,FALSE),"")</f>
        <v/>
      </c>
      <c r="X201" s="65" t="str">
        <f>IFERROR(VLOOKUP(TableHandbook[[#This Row],[UDC]],TableMJRUNETCM[],7,FALSE),"")</f>
        <v/>
      </c>
      <c r="Y201" s="65" t="str">
        <f>IFERROR(VLOOKUP(TableHandbook[[#This Row],[UDC]],TableMJRUPRWRP[],7,FALSE),"")</f>
        <v/>
      </c>
      <c r="Z201" s="66" t="str">
        <f>IFERROR(VLOOKUP(TableHandbook[[#This Row],[UDC]],TableMJRUSCSTR[],7,FALSE),"")</f>
        <v/>
      </c>
      <c r="AA201" s="74"/>
      <c r="AB201" s="66" t="str">
        <f>IFERROR(VLOOKUP(TableHandbook[[#This Row],[UDC]],TableMJRUBSLAW[],7,FALSE),"")</f>
        <v/>
      </c>
      <c r="AC201" s="66" t="str">
        <f>IFERROR(VLOOKUP(TableHandbook[[#This Row],[UDC]],TableMJRUECONS[],7,FALSE),"")</f>
        <v/>
      </c>
      <c r="AD201" s="66" t="str">
        <f>IFERROR(VLOOKUP(TableHandbook[[#This Row],[UDC]],TableMJRUFINAR[],7,FALSE),"")</f>
        <v/>
      </c>
      <c r="AE201" s="66" t="str">
        <f>IFERROR(VLOOKUP(TableHandbook[[#This Row],[UDC]],TableMJRUFINCE[],7,FALSE),"")</f>
        <v/>
      </c>
      <c r="AF201" s="66" t="str">
        <f>IFERROR(VLOOKUP(TableHandbook[[#This Row],[UDC]],TableMJRUHRMGM[],7,FALSE),"")</f>
        <v/>
      </c>
      <c r="AG201" s="66" t="str">
        <f>IFERROR(VLOOKUP(TableHandbook[[#This Row],[UDC]],TableMJRUINTBU[],7,FALSE),"")</f>
        <v/>
      </c>
      <c r="AH201" s="66" t="str">
        <f>IFERROR(VLOOKUP(TableHandbook[[#This Row],[UDC]],TableMJRULGSCM[],7,FALSE),"")</f>
        <v/>
      </c>
      <c r="AI201" s="66" t="str">
        <f>IFERROR(VLOOKUP(TableHandbook[[#This Row],[UDC]],TableMJRUMNGMT[],7,FALSE),"")</f>
        <v/>
      </c>
      <c r="AJ201" s="66" t="str">
        <f>IFERROR(VLOOKUP(TableHandbook[[#This Row],[UDC]],TableMJRUMRKTG[],7,FALSE),"")</f>
        <v/>
      </c>
      <c r="AK201" s="66" t="str">
        <f>IFERROR(VLOOKUP(TableHandbook[[#This Row],[UDC]],TableMJRUPRPTY[],7,FALSE),"")</f>
        <v/>
      </c>
      <c r="AL201" s="66" t="str">
        <f>IFERROR(VLOOKUP(TableHandbook[[#This Row],[UDC]],TableMJRUSCRAR[],7,FALSE),"")</f>
        <v/>
      </c>
      <c r="AM201" s="66" t="str">
        <f>IFERROR(VLOOKUP(TableHandbook[[#This Row],[UDC]],TableMJRUTHTRA[],7,FALSE),"")</f>
        <v/>
      </c>
      <c r="AN201" s="66" t="str">
        <f>IFERROR(VLOOKUP(TableHandbook[[#This Row],[UDC]],TableMJRUTRHOS[],7,FALSE),"")</f>
        <v/>
      </c>
    </row>
    <row r="202" spans="1:40" x14ac:dyDescent="0.25">
      <c r="A202" s="8" t="s">
        <v>733</v>
      </c>
      <c r="B202" s="9">
        <v>1</v>
      </c>
      <c r="C202" s="8"/>
      <c r="D202" s="8" t="s">
        <v>138</v>
      </c>
      <c r="E202" s="9">
        <v>200</v>
      </c>
      <c r="F202" s="49" t="s">
        <v>277</v>
      </c>
      <c r="G202" s="67" t="str">
        <f>IFERROR(IF(VLOOKUP(TableHandbook[[#This Row],[UDC]],TableAvailabilities[],2,FALSE)&gt;0,"Y",""),"")</f>
        <v/>
      </c>
      <c r="H202" s="68" t="str">
        <f>IFERROR(IF(VLOOKUP(TableHandbook[[#This Row],[UDC]],TableAvailabilities[],3,FALSE)&gt;0,"Y",""),"")</f>
        <v/>
      </c>
      <c r="I202" s="69" t="str">
        <f>IFERROR(IF(VLOOKUP(TableHandbook[[#This Row],[UDC]],TableAvailabilities[],4,FALSE)&gt;0,"Y",""),"")</f>
        <v/>
      </c>
      <c r="J202" s="70" t="str">
        <f>IFERROR(IF(VLOOKUP(TableHandbook[[#This Row],[UDC]],TableAvailabilities[],5,FALSE)&gt;0,"Y",""),"")</f>
        <v/>
      </c>
      <c r="K202" s="163" t="s">
        <v>535</v>
      </c>
      <c r="L202" s="64" t="str">
        <f>IFERROR(VLOOKUP(TableHandbook[[#This Row],[UDC]],TableBARTS[],7,FALSE),"")</f>
        <v/>
      </c>
      <c r="M202" s="65" t="str">
        <f>IFERROR(VLOOKUP(TableHandbook[[#This Row],[UDC]],TableMJRUANTSO[],7,FALSE),"")</f>
        <v/>
      </c>
      <c r="N202" s="65" t="str">
        <f>IFERROR(VLOOKUP(TableHandbook[[#This Row],[UDC]],TableMJRUCHNSE[],7,FALSE),"")</f>
        <v/>
      </c>
      <c r="O202" s="65" t="str">
        <f>IFERROR(VLOOKUP(TableHandbook[[#This Row],[UDC]],TableMJRUCRWRI[],7,FALSE),"")</f>
        <v/>
      </c>
      <c r="P202" s="65" t="str">
        <f>IFERROR(VLOOKUP(TableHandbook[[#This Row],[UDC]],TableMJRUGEOGR[],7,FALSE),"")</f>
        <v/>
      </c>
      <c r="Q202" s="65" t="str">
        <f>IFERROR(VLOOKUP(TableHandbook[[#This Row],[UDC]],TableMJRUHISTR[],7,FALSE),"")</f>
        <v/>
      </c>
      <c r="R202" s="65" t="str">
        <f>IFERROR(VLOOKUP(TableHandbook[[#This Row],[UDC]],TableMJRUINAUC[],7,FALSE),"")</f>
        <v/>
      </c>
      <c r="S202" s="65" t="str">
        <f>IFERROR(VLOOKUP(TableHandbook[[#This Row],[UDC]],TableMJRUINTRL[],7,FALSE),"")</f>
        <v/>
      </c>
      <c r="T202" s="65" t="str">
        <f>IFERROR(VLOOKUP(TableHandbook[[#This Row],[UDC]],TableMJRUJAPAN[],7,FALSE),"")</f>
        <v/>
      </c>
      <c r="U202" s="65" t="str">
        <f>IFERROR(VLOOKUP(TableHandbook[[#This Row],[UDC]],TableMJRUJOURN[],7,FALSE),"")</f>
        <v/>
      </c>
      <c r="V202" s="65" t="str">
        <f>IFERROR(VLOOKUP(TableHandbook[[#This Row],[UDC]],TableMJRUKORES[],7,FALSE),"")</f>
        <v/>
      </c>
      <c r="W202" s="65" t="str">
        <f>IFERROR(VLOOKUP(TableHandbook[[#This Row],[UDC]],TableMJRULITCU[],7,FALSE),"")</f>
        <v/>
      </c>
      <c r="X202" s="65" t="str">
        <f>IFERROR(VLOOKUP(TableHandbook[[#This Row],[UDC]],TableMJRUNETCM[],7,FALSE),"")</f>
        <v/>
      </c>
      <c r="Y202" s="65" t="str">
        <f>IFERROR(VLOOKUP(TableHandbook[[#This Row],[UDC]],TableMJRUPRWRP[],7,FALSE),"")</f>
        <v/>
      </c>
      <c r="Z202" s="66" t="str">
        <f>IFERROR(VLOOKUP(TableHandbook[[#This Row],[UDC]],TableMJRUSCSTR[],7,FALSE),"")</f>
        <v/>
      </c>
      <c r="AA202" s="74"/>
      <c r="AB202" s="66" t="str">
        <f>IFERROR(VLOOKUP(TableHandbook[[#This Row],[UDC]],TableMJRUBSLAW[],7,FALSE),"")</f>
        <v/>
      </c>
      <c r="AC202" s="66" t="str">
        <f>IFERROR(VLOOKUP(TableHandbook[[#This Row],[UDC]],TableMJRUECONS[],7,FALSE),"")</f>
        <v/>
      </c>
      <c r="AD202" s="66" t="str">
        <f>IFERROR(VLOOKUP(TableHandbook[[#This Row],[UDC]],TableMJRUFINAR[],7,FALSE),"")</f>
        <v/>
      </c>
      <c r="AE202" s="66" t="str">
        <f>IFERROR(VLOOKUP(TableHandbook[[#This Row],[UDC]],TableMJRUFINCE[],7,FALSE),"")</f>
        <v/>
      </c>
      <c r="AF202" s="66" t="str">
        <f>IFERROR(VLOOKUP(TableHandbook[[#This Row],[UDC]],TableMJRUHRMGM[],7,FALSE),"")</f>
        <v/>
      </c>
      <c r="AG202" s="66" t="str">
        <f>IFERROR(VLOOKUP(TableHandbook[[#This Row],[UDC]],TableMJRUINTBU[],7,FALSE),"")</f>
        <v/>
      </c>
      <c r="AH202" s="66" t="str">
        <f>IFERROR(VLOOKUP(TableHandbook[[#This Row],[UDC]],TableMJRULGSCM[],7,FALSE),"")</f>
        <v/>
      </c>
      <c r="AI202" s="66" t="str">
        <f>IFERROR(VLOOKUP(TableHandbook[[#This Row],[UDC]],TableMJRUMNGMT[],7,FALSE),"")</f>
        <v/>
      </c>
      <c r="AJ202" s="66" t="str">
        <f>IFERROR(VLOOKUP(TableHandbook[[#This Row],[UDC]],TableMJRUMRKTG[],7,FALSE),"")</f>
        <v/>
      </c>
      <c r="AK202" s="66" t="str">
        <f>IFERROR(VLOOKUP(TableHandbook[[#This Row],[UDC]],TableMJRUPRPTY[],7,FALSE),"")</f>
        <v/>
      </c>
      <c r="AL202" s="66" t="str">
        <f>IFERROR(VLOOKUP(TableHandbook[[#This Row],[UDC]],TableMJRUSCRAR[],7,FALSE),"")</f>
        <v/>
      </c>
      <c r="AM202" s="66" t="str">
        <f>IFERROR(VLOOKUP(TableHandbook[[#This Row],[UDC]],TableMJRUTHTRA[],7,FALSE),"")</f>
        <v/>
      </c>
      <c r="AN202" s="66" t="str">
        <f>IFERROR(VLOOKUP(TableHandbook[[#This Row],[UDC]],TableMJRUTRHOS[],7,FALSE),"")</f>
        <v/>
      </c>
    </row>
    <row r="203" spans="1:40" x14ac:dyDescent="0.25">
      <c r="A203" s="8" t="s">
        <v>142</v>
      </c>
      <c r="B203" s="9">
        <v>1</v>
      </c>
      <c r="C203" s="8"/>
      <c r="D203" s="8" t="s">
        <v>141</v>
      </c>
      <c r="E203" s="9">
        <v>200</v>
      </c>
      <c r="F203" s="49" t="s">
        <v>277</v>
      </c>
      <c r="G203" s="82" t="str">
        <f>IFERROR(IF(VLOOKUP(TableHandbook[[#This Row],[UDC]],TableAvailabilities[],2,FALSE)&gt;0,"Y",""),"")</f>
        <v/>
      </c>
      <c r="H203" s="83" t="str">
        <f>IFERROR(IF(VLOOKUP(TableHandbook[[#This Row],[UDC]],TableAvailabilities[],3,FALSE)&gt;0,"Y",""),"")</f>
        <v/>
      </c>
      <c r="I203" s="84" t="str">
        <f>IFERROR(IF(VLOOKUP(TableHandbook[[#This Row],[UDC]],TableAvailabilities[],4,FALSE)&gt;0,"Y",""),"")</f>
        <v/>
      </c>
      <c r="J203" s="85" t="str">
        <f>IFERROR(IF(VLOOKUP(TableHandbook[[#This Row],[UDC]],TableAvailabilities[],5,FALSE)&gt;0,"Y",""),"")</f>
        <v/>
      </c>
      <c r="K203" s="163"/>
      <c r="L203" s="64" t="str">
        <f>IFERROR(VLOOKUP(TableHandbook[[#This Row],[UDC]],TableBARTS[],7,FALSE),"")</f>
        <v>Core/Option</v>
      </c>
      <c r="M203" s="65" t="str">
        <f>IFERROR(VLOOKUP(TableHandbook[[#This Row],[UDC]],TableMJRUANTSO[],7,FALSE),"")</f>
        <v/>
      </c>
      <c r="N203" s="47" t="str">
        <f>IFERROR(VLOOKUP(TableHandbook[[#This Row],[UDC]],TableMJRUCHNSE[],7,FALSE),"")</f>
        <v/>
      </c>
      <c r="O203" s="47" t="str">
        <f>IFERROR(VLOOKUP(TableHandbook[[#This Row],[UDC]],TableMJRUCRWRI[],7,FALSE),"")</f>
        <v/>
      </c>
      <c r="P203" s="47" t="str">
        <f>IFERROR(VLOOKUP(TableHandbook[[#This Row],[UDC]],TableMJRUGEOGR[],7,FALSE),"")</f>
        <v/>
      </c>
      <c r="Q203" s="47" t="str">
        <f>IFERROR(VLOOKUP(TableHandbook[[#This Row],[UDC]],TableMJRUHISTR[],7,FALSE),"")</f>
        <v/>
      </c>
      <c r="R203" s="47" t="str">
        <f>IFERROR(VLOOKUP(TableHandbook[[#This Row],[UDC]],TableMJRUINAUC[],7,FALSE),"")</f>
        <v/>
      </c>
      <c r="S203" s="47" t="str">
        <f>IFERROR(VLOOKUP(TableHandbook[[#This Row],[UDC]],TableMJRUINTRL[],7,FALSE),"")</f>
        <v/>
      </c>
      <c r="T203" s="47" t="str">
        <f>IFERROR(VLOOKUP(TableHandbook[[#This Row],[UDC]],TableMJRUJAPAN[],7,FALSE),"")</f>
        <v/>
      </c>
      <c r="U203" s="47" t="str">
        <f>IFERROR(VLOOKUP(TableHandbook[[#This Row],[UDC]],TableMJRUJOURN[],7,FALSE),"")</f>
        <v/>
      </c>
      <c r="V203" s="65" t="str">
        <f>IFERROR(VLOOKUP(TableHandbook[[#This Row],[UDC]],TableMJRUKORES[],7,FALSE),"")</f>
        <v/>
      </c>
      <c r="W203" s="65" t="str">
        <f>IFERROR(VLOOKUP(TableHandbook[[#This Row],[UDC]],TableMJRULITCU[],7,FALSE),"")</f>
        <v/>
      </c>
      <c r="X203" s="65" t="str">
        <f>IFERROR(VLOOKUP(TableHandbook[[#This Row],[UDC]],TableMJRUNETCM[],7,FALSE),"")</f>
        <v/>
      </c>
      <c r="Y203" s="65" t="str">
        <f>IFERROR(VLOOKUP(TableHandbook[[#This Row],[UDC]],TableMJRUPRWRP[],7,FALSE),"")</f>
        <v/>
      </c>
      <c r="Z203" s="65" t="str">
        <f>IFERROR(VLOOKUP(TableHandbook[[#This Row],[UDC]],TableMJRUSCSTR[],7,FALSE),"")</f>
        <v/>
      </c>
      <c r="AA203" s="74"/>
      <c r="AB203" s="253" t="str">
        <f>IFERROR(VLOOKUP(TableHandbook[[#This Row],[UDC]],TableMJRUBSLAW[],7,FALSE),"")</f>
        <v/>
      </c>
      <c r="AC203" s="66" t="str">
        <f>IFERROR(VLOOKUP(TableHandbook[[#This Row],[UDC]],TableMJRUECONS[],7,FALSE),"")</f>
        <v/>
      </c>
      <c r="AD203" s="66" t="str">
        <f>IFERROR(VLOOKUP(TableHandbook[[#This Row],[UDC]],TableMJRUFINAR[],7,FALSE),"")</f>
        <v/>
      </c>
      <c r="AE203" s="66" t="str">
        <f>IFERROR(VLOOKUP(TableHandbook[[#This Row],[UDC]],TableMJRUFINCE[],7,FALSE),"")</f>
        <v/>
      </c>
      <c r="AF203" s="66" t="str">
        <f>IFERROR(VLOOKUP(TableHandbook[[#This Row],[UDC]],TableMJRUHRMGM[],7,FALSE),"")</f>
        <v/>
      </c>
      <c r="AG203" s="66" t="str">
        <f>IFERROR(VLOOKUP(TableHandbook[[#This Row],[UDC]],TableMJRUINTBU[],7,FALSE),"")</f>
        <v/>
      </c>
      <c r="AH203" s="66" t="str">
        <f>IFERROR(VLOOKUP(TableHandbook[[#This Row],[UDC]],TableMJRULGSCM[],7,FALSE),"")</f>
        <v/>
      </c>
      <c r="AI203" s="66" t="str">
        <f>IFERROR(VLOOKUP(TableHandbook[[#This Row],[UDC]],TableMJRUMNGMT[],7,FALSE),"")</f>
        <v/>
      </c>
      <c r="AJ203" s="66" t="str">
        <f>IFERROR(VLOOKUP(TableHandbook[[#This Row],[UDC]],TableMJRUMRKTG[],7,FALSE),"")</f>
        <v/>
      </c>
      <c r="AK203" s="66" t="str">
        <f>IFERROR(VLOOKUP(TableHandbook[[#This Row],[UDC]],TableMJRUPRPTY[],7,FALSE),"")</f>
        <v/>
      </c>
      <c r="AL203" s="66" t="str">
        <f>IFERROR(VLOOKUP(TableHandbook[[#This Row],[UDC]],TableMJRUSCRAR[],7,FALSE),"")</f>
        <v/>
      </c>
      <c r="AM203" s="66" t="str">
        <f>IFERROR(VLOOKUP(TableHandbook[[#This Row],[UDC]],TableMJRUTHTRA[],7,FALSE),"")</f>
        <v/>
      </c>
      <c r="AN203" s="66" t="str">
        <f>IFERROR(VLOOKUP(TableHandbook[[#This Row],[UDC]],TableMJRUTRHOS[],7,FALSE),"")</f>
        <v/>
      </c>
    </row>
    <row r="204" spans="1:40" x14ac:dyDescent="0.25">
      <c r="A204" s="8" t="s">
        <v>144</v>
      </c>
      <c r="B204" s="9">
        <v>2</v>
      </c>
      <c r="C204" s="8"/>
      <c r="D204" s="8" t="s">
        <v>143</v>
      </c>
      <c r="E204" s="9">
        <v>200</v>
      </c>
      <c r="F204" s="49" t="s">
        <v>277</v>
      </c>
      <c r="G204" s="82" t="str">
        <f>IFERROR(IF(VLOOKUP(TableHandbook[[#This Row],[UDC]],TableAvailabilities[],2,FALSE)&gt;0,"Y",""),"")</f>
        <v/>
      </c>
      <c r="H204" s="83" t="str">
        <f>IFERROR(IF(VLOOKUP(TableHandbook[[#This Row],[UDC]],TableAvailabilities[],3,FALSE)&gt;0,"Y",""),"")</f>
        <v/>
      </c>
      <c r="I204" s="84" t="str">
        <f>IFERROR(IF(VLOOKUP(TableHandbook[[#This Row],[UDC]],TableAvailabilities[],4,FALSE)&gt;0,"Y",""),"")</f>
        <v/>
      </c>
      <c r="J204" s="85" t="str">
        <f>IFERROR(IF(VLOOKUP(TableHandbook[[#This Row],[UDC]],TableAvailabilities[],5,FALSE)&gt;0,"Y",""),"")</f>
        <v/>
      </c>
      <c r="K204" s="163"/>
      <c r="L204" s="160" t="str">
        <f>IFERROR(VLOOKUP(TableHandbook[[#This Row],[UDC]],TableBARTS[],7,FALSE),"")</f>
        <v>Core/Option</v>
      </c>
      <c r="M204" s="65" t="str">
        <f>IFERROR(VLOOKUP(TableHandbook[[#This Row],[UDC]],TableMJRUANTSO[],7,FALSE),"")</f>
        <v/>
      </c>
      <c r="N204" s="47" t="str">
        <f>IFERROR(VLOOKUP(TableHandbook[[#This Row],[UDC]],TableMJRUCHNSE[],7,FALSE),"")</f>
        <v/>
      </c>
      <c r="O204" s="47" t="str">
        <f>IFERROR(VLOOKUP(TableHandbook[[#This Row],[UDC]],TableMJRUCRWRI[],7,FALSE),"")</f>
        <v/>
      </c>
      <c r="P204" s="47" t="str">
        <f>IFERROR(VLOOKUP(TableHandbook[[#This Row],[UDC]],TableMJRUGEOGR[],7,FALSE),"")</f>
        <v/>
      </c>
      <c r="Q204" s="47" t="str">
        <f>IFERROR(VLOOKUP(TableHandbook[[#This Row],[UDC]],TableMJRUHISTR[],7,FALSE),"")</f>
        <v/>
      </c>
      <c r="R204" s="47" t="str">
        <f>IFERROR(VLOOKUP(TableHandbook[[#This Row],[UDC]],TableMJRUINAUC[],7,FALSE),"")</f>
        <v/>
      </c>
      <c r="S204" s="47" t="str">
        <f>IFERROR(VLOOKUP(TableHandbook[[#This Row],[UDC]],TableMJRUINTRL[],7,FALSE),"")</f>
        <v/>
      </c>
      <c r="T204" s="47" t="str">
        <f>IFERROR(VLOOKUP(TableHandbook[[#This Row],[UDC]],TableMJRUJAPAN[],7,FALSE),"")</f>
        <v/>
      </c>
      <c r="U204" s="47" t="str">
        <f>IFERROR(VLOOKUP(TableHandbook[[#This Row],[UDC]],TableMJRUJOURN[],7,FALSE),"")</f>
        <v/>
      </c>
      <c r="V204" s="65" t="str">
        <f>IFERROR(VLOOKUP(TableHandbook[[#This Row],[UDC]],TableMJRUKORES[],7,FALSE),"")</f>
        <v/>
      </c>
      <c r="W204" s="65" t="str">
        <f>IFERROR(VLOOKUP(TableHandbook[[#This Row],[UDC]],TableMJRULITCU[],7,FALSE),"")</f>
        <v/>
      </c>
      <c r="X204" s="65" t="str">
        <f>IFERROR(VLOOKUP(TableHandbook[[#This Row],[UDC]],TableMJRUNETCM[],7,FALSE),"")</f>
        <v/>
      </c>
      <c r="Y204" s="65" t="str">
        <f>IFERROR(VLOOKUP(TableHandbook[[#This Row],[UDC]],TableMJRUPRWRP[],7,FALSE),"")</f>
        <v/>
      </c>
      <c r="Z204" s="65" t="str">
        <f>IFERROR(VLOOKUP(TableHandbook[[#This Row],[UDC]],TableMJRUSCSTR[],7,FALSE),"")</f>
        <v/>
      </c>
      <c r="AA204" s="74"/>
      <c r="AB204" s="43" t="str">
        <f>IFERROR(VLOOKUP(TableHandbook[[#This Row],[UDC]],TableMJRUBSLAW[],7,FALSE),"")</f>
        <v/>
      </c>
      <c r="AC204" s="66" t="str">
        <f>IFERROR(VLOOKUP(TableHandbook[[#This Row],[UDC]],TableMJRUECONS[],7,FALSE),"")</f>
        <v/>
      </c>
      <c r="AD204" s="66" t="str">
        <f>IFERROR(VLOOKUP(TableHandbook[[#This Row],[UDC]],TableMJRUFINAR[],7,FALSE),"")</f>
        <v/>
      </c>
      <c r="AE204" s="66" t="str">
        <f>IFERROR(VLOOKUP(TableHandbook[[#This Row],[UDC]],TableMJRUFINCE[],7,FALSE),"")</f>
        <v/>
      </c>
      <c r="AF204" s="66" t="str">
        <f>IFERROR(VLOOKUP(TableHandbook[[#This Row],[UDC]],TableMJRUHRMGM[],7,FALSE),"")</f>
        <v/>
      </c>
      <c r="AG204" s="66" t="str">
        <f>IFERROR(VLOOKUP(TableHandbook[[#This Row],[UDC]],TableMJRUINTBU[],7,FALSE),"")</f>
        <v/>
      </c>
      <c r="AH204" s="66" t="str">
        <f>IFERROR(VLOOKUP(TableHandbook[[#This Row],[UDC]],TableMJRULGSCM[],7,FALSE),"")</f>
        <v/>
      </c>
      <c r="AI204" s="66" t="str">
        <f>IFERROR(VLOOKUP(TableHandbook[[#This Row],[UDC]],TableMJRUMNGMT[],7,FALSE),"")</f>
        <v/>
      </c>
      <c r="AJ204" s="66" t="str">
        <f>IFERROR(VLOOKUP(TableHandbook[[#This Row],[UDC]],TableMJRUMRKTG[],7,FALSE),"")</f>
        <v/>
      </c>
      <c r="AK204" s="66" t="str">
        <f>IFERROR(VLOOKUP(TableHandbook[[#This Row],[UDC]],TableMJRUPRPTY[],7,FALSE),"")</f>
        <v/>
      </c>
      <c r="AL204" s="66" t="str">
        <f>IFERROR(VLOOKUP(TableHandbook[[#This Row],[UDC]],TableMJRUSCRAR[],7,FALSE),"")</f>
        <v/>
      </c>
      <c r="AM204" s="66" t="str">
        <f>IFERROR(VLOOKUP(TableHandbook[[#This Row],[UDC]],TableMJRUTHTRA[],7,FALSE),"")</f>
        <v/>
      </c>
      <c r="AN204" s="66" t="str">
        <f>IFERROR(VLOOKUP(TableHandbook[[#This Row],[UDC]],TableMJRUTRHOS[],7,FALSE),"")</f>
        <v/>
      </c>
    </row>
    <row r="205" spans="1:40" x14ac:dyDescent="0.25">
      <c r="A205" s="8" t="s">
        <v>147</v>
      </c>
      <c r="B205" s="9">
        <v>1</v>
      </c>
      <c r="C205" s="8"/>
      <c r="D205" s="8" t="s">
        <v>146</v>
      </c>
      <c r="E205" s="9">
        <v>200</v>
      </c>
      <c r="F205" s="49" t="s">
        <v>277</v>
      </c>
      <c r="G205" s="67" t="str">
        <f>IFERROR(IF(VLOOKUP(TableHandbook[[#This Row],[UDC]],TableAvailabilities[],2,FALSE)&gt;0,"Y",""),"")</f>
        <v/>
      </c>
      <c r="H205" s="68" t="str">
        <f>IFERROR(IF(VLOOKUP(TableHandbook[[#This Row],[UDC]],TableAvailabilities[],3,FALSE)&gt;0,"Y",""),"")</f>
        <v/>
      </c>
      <c r="I205" s="69" t="str">
        <f>IFERROR(IF(VLOOKUP(TableHandbook[[#This Row],[UDC]],TableAvailabilities[],4,FALSE)&gt;0,"Y",""),"")</f>
        <v/>
      </c>
      <c r="J205" s="70" t="str">
        <f>IFERROR(IF(VLOOKUP(TableHandbook[[#This Row],[UDC]],TableAvailabilities[],5,FALSE)&gt;0,"Y",""),"")</f>
        <v/>
      </c>
      <c r="K205" s="163"/>
      <c r="L205" s="160" t="str">
        <f>IFERROR(VLOOKUP(TableHandbook[[#This Row],[UDC]],TableBARTS[],7,FALSE),"")</f>
        <v>Core/Option</v>
      </c>
      <c r="M205" s="65" t="str">
        <f>IFERROR(VLOOKUP(TableHandbook[[#This Row],[UDC]],TableMJRUANTSO[],7,FALSE),"")</f>
        <v/>
      </c>
      <c r="N205" s="47" t="str">
        <f>IFERROR(VLOOKUP(TableHandbook[[#This Row],[UDC]],TableMJRUCHNSE[],7,FALSE),"")</f>
        <v/>
      </c>
      <c r="O205" s="47" t="str">
        <f>IFERROR(VLOOKUP(TableHandbook[[#This Row],[UDC]],TableMJRUCRWRI[],7,FALSE),"")</f>
        <v/>
      </c>
      <c r="P205" s="47" t="str">
        <f>IFERROR(VLOOKUP(TableHandbook[[#This Row],[UDC]],TableMJRUGEOGR[],7,FALSE),"")</f>
        <v/>
      </c>
      <c r="Q205" s="47" t="str">
        <f>IFERROR(VLOOKUP(TableHandbook[[#This Row],[UDC]],TableMJRUHISTR[],7,FALSE),"")</f>
        <v/>
      </c>
      <c r="R205" s="47" t="str">
        <f>IFERROR(VLOOKUP(TableHandbook[[#This Row],[UDC]],TableMJRUINAUC[],7,FALSE),"")</f>
        <v/>
      </c>
      <c r="S205" s="47" t="str">
        <f>IFERROR(VLOOKUP(TableHandbook[[#This Row],[UDC]],TableMJRUINTRL[],7,FALSE),"")</f>
        <v/>
      </c>
      <c r="T205" s="47" t="str">
        <f>IFERROR(VLOOKUP(TableHandbook[[#This Row],[UDC]],TableMJRUJAPAN[],7,FALSE),"")</f>
        <v/>
      </c>
      <c r="U205" s="47" t="str">
        <f>IFERROR(VLOOKUP(TableHandbook[[#This Row],[UDC]],TableMJRUJOURN[],7,FALSE),"")</f>
        <v/>
      </c>
      <c r="V205" s="65" t="str">
        <f>IFERROR(VLOOKUP(TableHandbook[[#This Row],[UDC]],TableMJRUKORES[],7,FALSE),"")</f>
        <v/>
      </c>
      <c r="W205" s="65" t="str">
        <f>IFERROR(VLOOKUP(TableHandbook[[#This Row],[UDC]],TableMJRULITCU[],7,FALSE),"")</f>
        <v/>
      </c>
      <c r="X205" s="65" t="str">
        <f>IFERROR(VLOOKUP(TableHandbook[[#This Row],[UDC]],TableMJRUNETCM[],7,FALSE),"")</f>
        <v/>
      </c>
      <c r="Y205" s="65" t="str">
        <f>IFERROR(VLOOKUP(TableHandbook[[#This Row],[UDC]],TableMJRUPRWRP[],7,FALSE),"")</f>
        <v/>
      </c>
      <c r="Z205" s="65" t="str">
        <f>IFERROR(VLOOKUP(TableHandbook[[#This Row],[UDC]],TableMJRUSCSTR[],7,FALSE),"")</f>
        <v/>
      </c>
      <c r="AA205" s="74"/>
      <c r="AB205" s="43" t="str">
        <f>IFERROR(VLOOKUP(TableHandbook[[#This Row],[UDC]],TableMJRUBSLAW[],7,FALSE),"")</f>
        <v/>
      </c>
      <c r="AC205" s="66" t="str">
        <f>IFERROR(VLOOKUP(TableHandbook[[#This Row],[UDC]],TableMJRUECONS[],7,FALSE),"")</f>
        <v/>
      </c>
      <c r="AD205" s="66" t="str">
        <f>IFERROR(VLOOKUP(TableHandbook[[#This Row],[UDC]],TableMJRUFINAR[],7,FALSE),"")</f>
        <v/>
      </c>
      <c r="AE205" s="66" t="str">
        <f>IFERROR(VLOOKUP(TableHandbook[[#This Row],[UDC]],TableMJRUFINCE[],7,FALSE),"")</f>
        <v/>
      </c>
      <c r="AF205" s="66" t="str">
        <f>IFERROR(VLOOKUP(TableHandbook[[#This Row],[UDC]],TableMJRUHRMGM[],7,FALSE),"")</f>
        <v/>
      </c>
      <c r="AG205" s="66" t="str">
        <f>IFERROR(VLOOKUP(TableHandbook[[#This Row],[UDC]],TableMJRUINTBU[],7,FALSE),"")</f>
        <v/>
      </c>
      <c r="AH205" s="66" t="str">
        <f>IFERROR(VLOOKUP(TableHandbook[[#This Row],[UDC]],TableMJRULGSCM[],7,FALSE),"")</f>
        <v/>
      </c>
      <c r="AI205" s="66" t="str">
        <f>IFERROR(VLOOKUP(TableHandbook[[#This Row],[UDC]],TableMJRUMNGMT[],7,FALSE),"")</f>
        <v/>
      </c>
      <c r="AJ205" s="66" t="str">
        <f>IFERROR(VLOOKUP(TableHandbook[[#This Row],[UDC]],TableMJRUMRKTG[],7,FALSE),"")</f>
        <v/>
      </c>
      <c r="AK205" s="66" t="str">
        <f>IFERROR(VLOOKUP(TableHandbook[[#This Row],[UDC]],TableMJRUPRPTY[],7,FALSE),"")</f>
        <v/>
      </c>
      <c r="AL205" s="66" t="str">
        <f>IFERROR(VLOOKUP(TableHandbook[[#This Row],[UDC]],TableMJRUSCRAR[],7,FALSE),"")</f>
        <v/>
      </c>
      <c r="AM205" s="66" t="str">
        <f>IFERROR(VLOOKUP(TableHandbook[[#This Row],[UDC]],TableMJRUTHTRA[],7,FALSE),"")</f>
        <v/>
      </c>
      <c r="AN205" s="66" t="str">
        <f>IFERROR(VLOOKUP(TableHandbook[[#This Row],[UDC]],TableMJRUTRHOS[],7,FALSE),"")</f>
        <v/>
      </c>
    </row>
    <row r="206" spans="1:40" x14ac:dyDescent="0.25">
      <c r="A206" s="8" t="s">
        <v>324</v>
      </c>
      <c r="B206" s="9">
        <v>3</v>
      </c>
      <c r="C206" s="8"/>
      <c r="D206" s="8" t="s">
        <v>323</v>
      </c>
      <c r="E206" s="9">
        <v>200</v>
      </c>
      <c r="F206" s="49" t="s">
        <v>277</v>
      </c>
      <c r="G206" s="67" t="str">
        <f>IFERROR(IF(VLOOKUP(TableHandbook[[#This Row],[UDC]],TableAvailabilities[],2,FALSE)&gt;0,"Y",""),"")</f>
        <v/>
      </c>
      <c r="H206" s="68" t="str">
        <f>IFERROR(IF(VLOOKUP(TableHandbook[[#This Row],[UDC]],TableAvailabilities[],3,FALSE)&gt;0,"Y",""),"")</f>
        <v/>
      </c>
      <c r="I206" s="69" t="str">
        <f>IFERROR(IF(VLOOKUP(TableHandbook[[#This Row],[UDC]],TableAvailabilities[],4,FALSE)&gt;0,"Y",""),"")</f>
        <v/>
      </c>
      <c r="J206" s="70" t="str">
        <f>IFERROR(IF(VLOOKUP(TableHandbook[[#This Row],[UDC]],TableAvailabilities[],5,FALSE)&gt;0,"Y",""),"")</f>
        <v/>
      </c>
      <c r="K206" s="164" t="s">
        <v>533</v>
      </c>
      <c r="L206" s="160" t="str">
        <f>IFERROR(VLOOKUP(TableHandbook[[#This Row],[UDC]],TableBARTS[],7,FALSE),"")</f>
        <v>Option</v>
      </c>
      <c r="M206" s="65" t="str">
        <f>IFERROR(VLOOKUP(TableHandbook[[#This Row],[UDC]],TableMJRUANTSO[],7,FALSE),"")</f>
        <v/>
      </c>
      <c r="N206" s="65" t="str">
        <f>IFERROR(VLOOKUP(TableHandbook[[#This Row],[UDC]],TableMJRUCHNSE[],7,FALSE),"")</f>
        <v/>
      </c>
      <c r="O206" s="65" t="str">
        <f>IFERROR(VLOOKUP(TableHandbook[[#This Row],[UDC]],TableMJRUCRWRI[],7,FALSE),"")</f>
        <v/>
      </c>
      <c r="P206" s="65" t="str">
        <f>IFERROR(VLOOKUP(TableHandbook[[#This Row],[UDC]],TableMJRUGEOGR[],7,FALSE),"")</f>
        <v/>
      </c>
      <c r="Q206" s="65" t="str">
        <f>IFERROR(VLOOKUP(TableHandbook[[#This Row],[UDC]],TableMJRUHISTR[],7,FALSE),"")</f>
        <v/>
      </c>
      <c r="R206" s="65" t="str">
        <f>IFERROR(VLOOKUP(TableHandbook[[#This Row],[UDC]],TableMJRUINAUC[],7,FALSE),"")</f>
        <v/>
      </c>
      <c r="S206" s="65" t="str">
        <f>IFERROR(VLOOKUP(TableHandbook[[#This Row],[UDC]],TableMJRUINTRL[],7,FALSE),"")</f>
        <v/>
      </c>
      <c r="T206" s="65" t="str">
        <f>IFERROR(VLOOKUP(TableHandbook[[#This Row],[UDC]],TableMJRUJAPAN[],7,FALSE),"")</f>
        <v/>
      </c>
      <c r="U206" s="65" t="str">
        <f>IFERROR(VLOOKUP(TableHandbook[[#This Row],[UDC]],TableMJRUJOURN[],7,FALSE),"")</f>
        <v/>
      </c>
      <c r="V206" s="65" t="str">
        <f>IFERROR(VLOOKUP(TableHandbook[[#This Row],[UDC]],TableMJRUKORES[],7,FALSE),"")</f>
        <v/>
      </c>
      <c r="W206" s="65" t="str">
        <f>IFERROR(VLOOKUP(TableHandbook[[#This Row],[UDC]],TableMJRULITCU[],7,FALSE),"")</f>
        <v/>
      </c>
      <c r="X206" s="65" t="str">
        <f>IFERROR(VLOOKUP(TableHandbook[[#This Row],[UDC]],TableMJRUNETCM[],7,FALSE),"")</f>
        <v/>
      </c>
      <c r="Y206" s="65" t="str">
        <f>IFERROR(VLOOKUP(TableHandbook[[#This Row],[UDC]],TableMJRUPRWRP[],7,FALSE),"")</f>
        <v/>
      </c>
      <c r="Z206" s="65" t="str">
        <f>IFERROR(VLOOKUP(TableHandbook[[#This Row],[UDC]],TableMJRUSCSTR[],7,FALSE),"")</f>
        <v/>
      </c>
      <c r="AA206" s="74"/>
      <c r="AB206" s="43" t="str">
        <f>IFERROR(VLOOKUP(TableHandbook[[#This Row],[UDC]],TableMJRUBSLAW[],7,FALSE),"")</f>
        <v/>
      </c>
      <c r="AC206" s="66" t="str">
        <f>IFERROR(VLOOKUP(TableHandbook[[#This Row],[UDC]],TableMJRUECONS[],7,FALSE),"")</f>
        <v/>
      </c>
      <c r="AD206" s="66" t="str">
        <f>IFERROR(VLOOKUP(TableHandbook[[#This Row],[UDC]],TableMJRUFINAR[],7,FALSE),"")</f>
        <v/>
      </c>
      <c r="AE206" s="66" t="str">
        <f>IFERROR(VLOOKUP(TableHandbook[[#This Row],[UDC]],TableMJRUFINCE[],7,FALSE),"")</f>
        <v/>
      </c>
      <c r="AF206" s="66" t="str">
        <f>IFERROR(VLOOKUP(TableHandbook[[#This Row],[UDC]],TableMJRUHRMGM[],7,FALSE),"")</f>
        <v/>
      </c>
      <c r="AG206" s="66" t="str">
        <f>IFERROR(VLOOKUP(TableHandbook[[#This Row],[UDC]],TableMJRUINTBU[],7,FALSE),"")</f>
        <v/>
      </c>
      <c r="AH206" s="66" t="str">
        <f>IFERROR(VLOOKUP(TableHandbook[[#This Row],[UDC]],TableMJRULGSCM[],7,FALSE),"")</f>
        <v/>
      </c>
      <c r="AI206" s="66" t="str">
        <f>IFERROR(VLOOKUP(TableHandbook[[#This Row],[UDC]],TableMJRUMNGMT[],7,FALSE),"")</f>
        <v/>
      </c>
      <c r="AJ206" s="66" t="str">
        <f>IFERROR(VLOOKUP(TableHandbook[[#This Row],[UDC]],TableMJRUMRKTG[],7,FALSE),"")</f>
        <v/>
      </c>
      <c r="AK206" s="66" t="str">
        <f>IFERROR(VLOOKUP(TableHandbook[[#This Row],[UDC]],TableMJRUPRPTY[],7,FALSE),"")</f>
        <v/>
      </c>
      <c r="AL206" s="66" t="str">
        <f>IFERROR(VLOOKUP(TableHandbook[[#This Row],[UDC]],TableMJRUSCRAR[],7,FALSE),"")</f>
        <v/>
      </c>
      <c r="AM206" s="66" t="str">
        <f>IFERROR(VLOOKUP(TableHandbook[[#This Row],[UDC]],TableMJRUTHTRA[],7,FALSE),"")</f>
        <v/>
      </c>
      <c r="AN206" s="66" t="str">
        <f>IFERROR(VLOOKUP(TableHandbook[[#This Row],[UDC]],TableMJRUTRHOS[],7,FALSE),"")</f>
        <v/>
      </c>
    </row>
    <row r="207" spans="1:40" x14ac:dyDescent="0.25">
      <c r="A207" s="8" t="s">
        <v>734</v>
      </c>
      <c r="B207" s="9">
        <v>2</v>
      </c>
      <c r="C207" s="8"/>
      <c r="D207" s="8" t="s">
        <v>735</v>
      </c>
      <c r="E207" s="9">
        <v>200</v>
      </c>
      <c r="F207" s="49" t="s">
        <v>277</v>
      </c>
      <c r="G207" s="67" t="str">
        <f>IFERROR(IF(VLOOKUP(TableHandbook[[#This Row],[UDC]],TableAvailabilities[],2,FALSE)&gt;0,"Y",""),"")</f>
        <v/>
      </c>
      <c r="H207" s="68" t="str">
        <f>IFERROR(IF(VLOOKUP(TableHandbook[[#This Row],[UDC]],TableAvailabilities[],3,FALSE)&gt;0,"Y",""),"")</f>
        <v/>
      </c>
      <c r="I207" s="69" t="str">
        <f>IFERROR(IF(VLOOKUP(TableHandbook[[#This Row],[UDC]],TableAvailabilities[],4,FALSE)&gt;0,"Y",""),"")</f>
        <v/>
      </c>
      <c r="J207" s="70" t="str">
        <f>IFERROR(IF(VLOOKUP(TableHandbook[[#This Row],[UDC]],TableAvailabilities[],5,FALSE)&gt;0,"Y",""),"")</f>
        <v/>
      </c>
      <c r="K207" s="164" t="s">
        <v>535</v>
      </c>
      <c r="L207" s="160" t="str">
        <f>IFERROR(VLOOKUP(TableHandbook[[#This Row],[UDC]],TableBARTS[],7,FALSE),"")</f>
        <v/>
      </c>
      <c r="M207" s="65" t="str">
        <f>IFERROR(VLOOKUP(TableHandbook[[#This Row],[UDC]],TableMJRUANTSO[],7,FALSE),"")</f>
        <v/>
      </c>
      <c r="N207" s="65" t="str">
        <f>IFERROR(VLOOKUP(TableHandbook[[#This Row],[UDC]],TableMJRUCHNSE[],7,FALSE),"")</f>
        <v/>
      </c>
      <c r="O207" s="65" t="str">
        <f>IFERROR(VLOOKUP(TableHandbook[[#This Row],[UDC]],TableMJRUCRWRI[],7,FALSE),"")</f>
        <v/>
      </c>
      <c r="P207" s="65" t="str">
        <f>IFERROR(VLOOKUP(TableHandbook[[#This Row],[UDC]],TableMJRUGEOGR[],7,FALSE),"")</f>
        <v/>
      </c>
      <c r="Q207" s="65" t="str">
        <f>IFERROR(VLOOKUP(TableHandbook[[#This Row],[UDC]],TableMJRUHISTR[],7,FALSE),"")</f>
        <v/>
      </c>
      <c r="R207" s="65" t="str">
        <f>IFERROR(VLOOKUP(TableHandbook[[#This Row],[UDC]],TableMJRUINAUC[],7,FALSE),"")</f>
        <v/>
      </c>
      <c r="S207" s="65" t="str">
        <f>IFERROR(VLOOKUP(TableHandbook[[#This Row],[UDC]],TableMJRUINTRL[],7,FALSE),"")</f>
        <v/>
      </c>
      <c r="T207" s="65" t="str">
        <f>IFERROR(VLOOKUP(TableHandbook[[#This Row],[UDC]],TableMJRUJAPAN[],7,FALSE),"")</f>
        <v/>
      </c>
      <c r="U207" s="65" t="str">
        <f>IFERROR(VLOOKUP(TableHandbook[[#This Row],[UDC]],TableMJRUJOURN[],7,FALSE),"")</f>
        <v/>
      </c>
      <c r="V207" s="65" t="str">
        <f>IFERROR(VLOOKUP(TableHandbook[[#This Row],[UDC]],TableMJRUKORES[],7,FALSE),"")</f>
        <v/>
      </c>
      <c r="W207" s="65" t="str">
        <f>IFERROR(VLOOKUP(TableHandbook[[#This Row],[UDC]],TableMJRULITCU[],7,FALSE),"")</f>
        <v/>
      </c>
      <c r="X207" s="65" t="str">
        <f>IFERROR(VLOOKUP(TableHandbook[[#This Row],[UDC]],TableMJRUNETCM[],7,FALSE),"")</f>
        <v/>
      </c>
      <c r="Y207" s="65" t="str">
        <f>IFERROR(VLOOKUP(TableHandbook[[#This Row],[UDC]],TableMJRUPRWRP[],7,FALSE),"")</f>
        <v/>
      </c>
      <c r="Z207" s="65" t="str">
        <f>IFERROR(VLOOKUP(TableHandbook[[#This Row],[UDC]],TableMJRUSCSTR[],7,FALSE),"")</f>
        <v/>
      </c>
      <c r="AA207" s="74"/>
      <c r="AB207" s="43" t="str">
        <f>IFERROR(VLOOKUP(TableHandbook[[#This Row],[UDC]],TableMJRUBSLAW[],7,FALSE),"")</f>
        <v/>
      </c>
      <c r="AC207" s="66" t="str">
        <f>IFERROR(VLOOKUP(TableHandbook[[#This Row],[UDC]],TableMJRUECONS[],7,FALSE),"")</f>
        <v/>
      </c>
      <c r="AD207" s="66" t="str">
        <f>IFERROR(VLOOKUP(TableHandbook[[#This Row],[UDC]],TableMJRUFINAR[],7,FALSE),"")</f>
        <v/>
      </c>
      <c r="AE207" s="66" t="str">
        <f>IFERROR(VLOOKUP(TableHandbook[[#This Row],[UDC]],TableMJRUFINCE[],7,FALSE),"")</f>
        <v/>
      </c>
      <c r="AF207" s="66" t="str">
        <f>IFERROR(VLOOKUP(TableHandbook[[#This Row],[UDC]],TableMJRUHRMGM[],7,FALSE),"")</f>
        <v/>
      </c>
      <c r="AG207" s="66" t="str">
        <f>IFERROR(VLOOKUP(TableHandbook[[#This Row],[UDC]],TableMJRUINTBU[],7,FALSE),"")</f>
        <v/>
      </c>
      <c r="AH207" s="66" t="str">
        <f>IFERROR(VLOOKUP(TableHandbook[[#This Row],[UDC]],TableMJRULGSCM[],7,FALSE),"")</f>
        <v/>
      </c>
      <c r="AI207" s="66" t="str">
        <f>IFERROR(VLOOKUP(TableHandbook[[#This Row],[UDC]],TableMJRUMNGMT[],7,FALSE),"")</f>
        <v/>
      </c>
      <c r="AJ207" s="66" t="str">
        <f>IFERROR(VLOOKUP(TableHandbook[[#This Row],[UDC]],TableMJRUMRKTG[],7,FALSE),"")</f>
        <v/>
      </c>
      <c r="AK207" s="66" t="str">
        <f>IFERROR(VLOOKUP(TableHandbook[[#This Row],[UDC]],TableMJRUPRPTY[],7,FALSE),"")</f>
        <v/>
      </c>
      <c r="AL207" s="66" t="str">
        <f>IFERROR(VLOOKUP(TableHandbook[[#This Row],[UDC]],TableMJRUSCRAR[],7,FALSE),"")</f>
        <v/>
      </c>
      <c r="AM207" s="66" t="str">
        <f>IFERROR(VLOOKUP(TableHandbook[[#This Row],[UDC]],TableMJRUTHTRA[],7,FALSE),"")</f>
        <v/>
      </c>
      <c r="AN207" s="66" t="str">
        <f>IFERROR(VLOOKUP(TableHandbook[[#This Row],[UDC]],TableMJRUTRHOS[],7,FALSE),"")</f>
        <v/>
      </c>
    </row>
    <row r="208" spans="1:40" x14ac:dyDescent="0.25">
      <c r="A208" s="8" t="s">
        <v>124</v>
      </c>
      <c r="B208" s="9">
        <v>4</v>
      </c>
      <c r="C208" s="8"/>
      <c r="D208" s="8" t="s">
        <v>123</v>
      </c>
      <c r="E208" s="9">
        <v>200</v>
      </c>
      <c r="F208" s="49" t="s">
        <v>277</v>
      </c>
      <c r="G208" s="67" t="str">
        <f>IFERROR(IF(VLOOKUP(TableHandbook[[#This Row],[UDC]],TableAvailabilities[],2,FALSE)&gt;0,"Y",""),"")</f>
        <v/>
      </c>
      <c r="H208" s="68" t="str">
        <f>IFERROR(IF(VLOOKUP(TableHandbook[[#This Row],[UDC]],TableAvailabilities[],3,FALSE)&gt;0,"Y",""),"")</f>
        <v/>
      </c>
      <c r="I208" s="69" t="str">
        <f>IFERROR(IF(VLOOKUP(TableHandbook[[#This Row],[UDC]],TableAvailabilities[],4,FALSE)&gt;0,"Y",""),"")</f>
        <v/>
      </c>
      <c r="J208" s="70" t="str">
        <f>IFERROR(IF(VLOOKUP(TableHandbook[[#This Row],[UDC]],TableAvailabilities[],5,FALSE)&gt;0,"Y",""),"")</f>
        <v/>
      </c>
      <c r="K208" s="163"/>
      <c r="L208" s="160" t="str">
        <f>IFERROR(VLOOKUP(TableHandbook[[#This Row],[UDC]],TableBARTS[],7,FALSE),"")</f>
        <v>Core/Option</v>
      </c>
      <c r="M208" s="65" t="str">
        <f>IFERROR(VLOOKUP(TableHandbook[[#This Row],[UDC]],TableMJRUANTSO[],7,FALSE),"")</f>
        <v/>
      </c>
      <c r="N208" s="65" t="str">
        <f>IFERROR(VLOOKUP(TableHandbook[[#This Row],[UDC]],TableMJRUCHNSE[],7,FALSE),"")</f>
        <v/>
      </c>
      <c r="O208" s="65" t="str">
        <f>IFERROR(VLOOKUP(TableHandbook[[#This Row],[UDC]],TableMJRUCRWRI[],7,FALSE),"")</f>
        <v/>
      </c>
      <c r="P208" s="65" t="str">
        <f>IFERROR(VLOOKUP(TableHandbook[[#This Row],[UDC]],TableMJRUGEOGR[],7,FALSE),"")</f>
        <v/>
      </c>
      <c r="Q208" s="65" t="str">
        <f>IFERROR(VLOOKUP(TableHandbook[[#This Row],[UDC]],TableMJRUHISTR[],7,FALSE),"")</f>
        <v/>
      </c>
      <c r="R208" s="65" t="str">
        <f>IFERROR(VLOOKUP(TableHandbook[[#This Row],[UDC]],TableMJRUINAUC[],7,FALSE),"")</f>
        <v/>
      </c>
      <c r="S208" s="65" t="str">
        <f>IFERROR(VLOOKUP(TableHandbook[[#This Row],[UDC]],TableMJRUINTRL[],7,FALSE),"")</f>
        <v/>
      </c>
      <c r="T208" s="65" t="str">
        <f>IFERROR(VLOOKUP(TableHandbook[[#This Row],[UDC]],TableMJRUJAPAN[],7,FALSE),"")</f>
        <v/>
      </c>
      <c r="U208" s="65" t="str">
        <f>IFERROR(VLOOKUP(TableHandbook[[#This Row],[UDC]],TableMJRUJOURN[],7,FALSE),"")</f>
        <v/>
      </c>
      <c r="V208" s="65" t="str">
        <f>IFERROR(VLOOKUP(TableHandbook[[#This Row],[UDC]],TableMJRUKORES[],7,FALSE),"")</f>
        <v/>
      </c>
      <c r="W208" s="65" t="str">
        <f>IFERROR(VLOOKUP(TableHandbook[[#This Row],[UDC]],TableMJRULITCU[],7,FALSE),"")</f>
        <v/>
      </c>
      <c r="X208" s="65" t="str">
        <f>IFERROR(VLOOKUP(TableHandbook[[#This Row],[UDC]],TableMJRUNETCM[],7,FALSE),"")</f>
        <v/>
      </c>
      <c r="Y208" s="65" t="str">
        <f>IFERROR(VLOOKUP(TableHandbook[[#This Row],[UDC]],TableMJRUPRWRP[],7,FALSE),"")</f>
        <v/>
      </c>
      <c r="Z208" s="65" t="str">
        <f>IFERROR(VLOOKUP(TableHandbook[[#This Row],[UDC]],TableMJRUSCSTR[],7,FALSE),"")</f>
        <v/>
      </c>
      <c r="AA208" s="74"/>
      <c r="AB208" s="43" t="str">
        <f>IFERROR(VLOOKUP(TableHandbook[[#This Row],[UDC]],TableMJRUBSLAW[],7,FALSE),"")</f>
        <v/>
      </c>
      <c r="AC208" s="66" t="str">
        <f>IFERROR(VLOOKUP(TableHandbook[[#This Row],[UDC]],TableMJRUECONS[],7,FALSE),"")</f>
        <v/>
      </c>
      <c r="AD208" s="66" t="str">
        <f>IFERROR(VLOOKUP(TableHandbook[[#This Row],[UDC]],TableMJRUFINAR[],7,FALSE),"")</f>
        <v/>
      </c>
      <c r="AE208" s="66" t="str">
        <f>IFERROR(VLOOKUP(TableHandbook[[#This Row],[UDC]],TableMJRUFINCE[],7,FALSE),"")</f>
        <v/>
      </c>
      <c r="AF208" s="66" t="str">
        <f>IFERROR(VLOOKUP(TableHandbook[[#This Row],[UDC]],TableMJRUHRMGM[],7,FALSE),"")</f>
        <v/>
      </c>
      <c r="AG208" s="66" t="str">
        <f>IFERROR(VLOOKUP(TableHandbook[[#This Row],[UDC]],TableMJRUINTBU[],7,FALSE),"")</f>
        <v/>
      </c>
      <c r="AH208" s="66" t="str">
        <f>IFERROR(VLOOKUP(TableHandbook[[#This Row],[UDC]],TableMJRULGSCM[],7,FALSE),"")</f>
        <v/>
      </c>
      <c r="AI208" s="66" t="str">
        <f>IFERROR(VLOOKUP(TableHandbook[[#This Row],[UDC]],TableMJRUMNGMT[],7,FALSE),"")</f>
        <v/>
      </c>
      <c r="AJ208" s="66" t="str">
        <f>IFERROR(VLOOKUP(TableHandbook[[#This Row],[UDC]],TableMJRUMRKTG[],7,FALSE),"")</f>
        <v/>
      </c>
      <c r="AK208" s="66" t="str">
        <f>IFERROR(VLOOKUP(TableHandbook[[#This Row],[UDC]],TableMJRUPRPTY[],7,FALSE),"")</f>
        <v/>
      </c>
      <c r="AL208" s="66" t="str">
        <f>IFERROR(VLOOKUP(TableHandbook[[#This Row],[UDC]],TableMJRUSCRAR[],7,FALSE),"")</f>
        <v/>
      </c>
      <c r="AM208" s="66" t="str">
        <f>IFERROR(VLOOKUP(TableHandbook[[#This Row],[UDC]],TableMJRUTHTRA[],7,FALSE),"")</f>
        <v/>
      </c>
      <c r="AN208" s="66" t="str">
        <f>IFERROR(VLOOKUP(TableHandbook[[#This Row],[UDC]],TableMJRUTRHOS[],7,FALSE),"")</f>
        <v/>
      </c>
    </row>
    <row r="209" spans="1:40" x14ac:dyDescent="0.25">
      <c r="A209" s="8" t="s">
        <v>327</v>
      </c>
      <c r="B209" s="9">
        <v>1</v>
      </c>
      <c r="C209" s="8"/>
      <c r="D209" s="8" t="s">
        <v>326</v>
      </c>
      <c r="E209" s="9">
        <v>200</v>
      </c>
      <c r="F209" s="49" t="s">
        <v>277</v>
      </c>
      <c r="G209" s="67" t="str">
        <f>IFERROR(IF(VLOOKUP(TableHandbook[[#This Row],[UDC]],TableAvailabilities[],2,FALSE)&gt;0,"Y",""),"")</f>
        <v/>
      </c>
      <c r="H209" s="68" t="str">
        <f>IFERROR(IF(VLOOKUP(TableHandbook[[#This Row],[UDC]],TableAvailabilities[],3,FALSE)&gt;0,"Y",""),"")</f>
        <v/>
      </c>
      <c r="I209" s="69" t="str">
        <f>IFERROR(IF(VLOOKUP(TableHandbook[[#This Row],[UDC]],TableAvailabilities[],4,FALSE)&gt;0,"Y",""),"")</f>
        <v/>
      </c>
      <c r="J209" s="70" t="str">
        <f>IFERROR(IF(VLOOKUP(TableHandbook[[#This Row],[UDC]],TableAvailabilities[],5,FALSE)&gt;0,"Y",""),"")</f>
        <v/>
      </c>
      <c r="K209" s="163"/>
      <c r="L209" s="160" t="str">
        <f>IFERROR(VLOOKUP(TableHandbook[[#This Row],[UDC]],TableBARTS[],7,FALSE),"")</f>
        <v>Option</v>
      </c>
      <c r="M209" s="65" t="str">
        <f>IFERROR(VLOOKUP(TableHandbook[[#This Row],[UDC]],TableMJRUANTSO[],7,FALSE),"")</f>
        <v/>
      </c>
      <c r="N209" s="65" t="str">
        <f>IFERROR(VLOOKUP(TableHandbook[[#This Row],[UDC]],TableMJRUCHNSE[],7,FALSE),"")</f>
        <v/>
      </c>
      <c r="O209" s="65" t="str">
        <f>IFERROR(VLOOKUP(TableHandbook[[#This Row],[UDC]],TableMJRUCRWRI[],7,FALSE),"")</f>
        <v/>
      </c>
      <c r="P209" s="65" t="str">
        <f>IFERROR(VLOOKUP(TableHandbook[[#This Row],[UDC]],TableMJRUGEOGR[],7,FALSE),"")</f>
        <v/>
      </c>
      <c r="Q209" s="65" t="str">
        <f>IFERROR(VLOOKUP(TableHandbook[[#This Row],[UDC]],TableMJRUHISTR[],7,FALSE),"")</f>
        <v/>
      </c>
      <c r="R209" s="65" t="str">
        <f>IFERROR(VLOOKUP(TableHandbook[[#This Row],[UDC]],TableMJRUINAUC[],7,FALSE),"")</f>
        <v/>
      </c>
      <c r="S209" s="65" t="str">
        <f>IFERROR(VLOOKUP(TableHandbook[[#This Row],[UDC]],TableMJRUINTRL[],7,FALSE),"")</f>
        <v/>
      </c>
      <c r="T209" s="65" t="str">
        <f>IFERROR(VLOOKUP(TableHandbook[[#This Row],[UDC]],TableMJRUJAPAN[],7,FALSE),"")</f>
        <v/>
      </c>
      <c r="U209" s="65" t="str">
        <f>IFERROR(VLOOKUP(TableHandbook[[#This Row],[UDC]],TableMJRUJOURN[],7,FALSE),"")</f>
        <v/>
      </c>
      <c r="V209" s="65" t="str">
        <f>IFERROR(VLOOKUP(TableHandbook[[#This Row],[UDC]],TableMJRUKORES[],7,FALSE),"")</f>
        <v/>
      </c>
      <c r="W209" s="65" t="str">
        <f>IFERROR(VLOOKUP(TableHandbook[[#This Row],[UDC]],TableMJRULITCU[],7,FALSE),"")</f>
        <v/>
      </c>
      <c r="X209" s="65" t="str">
        <f>IFERROR(VLOOKUP(TableHandbook[[#This Row],[UDC]],TableMJRUNETCM[],7,FALSE),"")</f>
        <v/>
      </c>
      <c r="Y209" s="65" t="str">
        <f>IFERROR(VLOOKUP(TableHandbook[[#This Row],[UDC]],TableMJRUPRWRP[],7,FALSE),"")</f>
        <v/>
      </c>
      <c r="Z209" s="65" t="str">
        <f>IFERROR(VLOOKUP(TableHandbook[[#This Row],[UDC]],TableMJRUSCSTR[],7,FALSE),"")</f>
        <v/>
      </c>
      <c r="AA209" s="74"/>
      <c r="AB209" s="43" t="str">
        <f>IFERROR(VLOOKUP(TableHandbook[[#This Row],[UDC]],TableMJRUBSLAW[],7,FALSE),"")</f>
        <v/>
      </c>
      <c r="AC209" s="66" t="str">
        <f>IFERROR(VLOOKUP(TableHandbook[[#This Row],[UDC]],TableMJRUECONS[],7,FALSE),"")</f>
        <v/>
      </c>
      <c r="AD209" s="66" t="str">
        <f>IFERROR(VLOOKUP(TableHandbook[[#This Row],[UDC]],TableMJRUFINAR[],7,FALSE),"")</f>
        <v/>
      </c>
      <c r="AE209" s="66" t="str">
        <f>IFERROR(VLOOKUP(TableHandbook[[#This Row],[UDC]],TableMJRUFINCE[],7,FALSE),"")</f>
        <v/>
      </c>
      <c r="AF209" s="66" t="str">
        <f>IFERROR(VLOOKUP(TableHandbook[[#This Row],[UDC]],TableMJRUHRMGM[],7,FALSE),"")</f>
        <v/>
      </c>
      <c r="AG209" s="66" t="str">
        <f>IFERROR(VLOOKUP(TableHandbook[[#This Row],[UDC]],TableMJRUINTBU[],7,FALSE),"")</f>
        <v/>
      </c>
      <c r="AH209" s="66" t="str">
        <f>IFERROR(VLOOKUP(TableHandbook[[#This Row],[UDC]],TableMJRULGSCM[],7,FALSE),"")</f>
        <v/>
      </c>
      <c r="AI209" s="66" t="str">
        <f>IFERROR(VLOOKUP(TableHandbook[[#This Row],[UDC]],TableMJRUMNGMT[],7,FALSE),"")</f>
        <v/>
      </c>
      <c r="AJ209" s="66" t="str">
        <f>IFERROR(VLOOKUP(TableHandbook[[#This Row],[UDC]],TableMJRUMRKTG[],7,FALSE),"")</f>
        <v/>
      </c>
      <c r="AK209" s="66" t="str">
        <f>IFERROR(VLOOKUP(TableHandbook[[#This Row],[UDC]],TableMJRUPRPTY[],7,FALSE),"")</f>
        <v/>
      </c>
      <c r="AL209" s="66" t="str">
        <f>IFERROR(VLOOKUP(TableHandbook[[#This Row],[UDC]],TableMJRUSCRAR[],7,FALSE),"")</f>
        <v/>
      </c>
      <c r="AM209" s="66" t="str">
        <f>IFERROR(VLOOKUP(TableHandbook[[#This Row],[UDC]],TableMJRUTHTRA[],7,FALSE),"")</f>
        <v/>
      </c>
      <c r="AN209" s="66" t="str">
        <f>IFERROR(VLOOKUP(TableHandbook[[#This Row],[UDC]],TableMJRUTRHOS[],7,FALSE),"")</f>
        <v/>
      </c>
    </row>
    <row r="210" spans="1:40" x14ac:dyDescent="0.25">
      <c r="A210" s="8" t="s">
        <v>329</v>
      </c>
      <c r="B210" s="9">
        <v>2</v>
      </c>
      <c r="C210" s="8"/>
      <c r="D210" s="8" t="s">
        <v>328</v>
      </c>
      <c r="E210" s="9">
        <v>200</v>
      </c>
      <c r="F210" s="49" t="s">
        <v>277</v>
      </c>
      <c r="G210" s="82" t="str">
        <f>IFERROR(IF(VLOOKUP(TableHandbook[[#This Row],[UDC]],TableAvailabilities[],2,FALSE)&gt;0,"Y",""),"")</f>
        <v/>
      </c>
      <c r="H210" s="83" t="str">
        <f>IFERROR(IF(VLOOKUP(TableHandbook[[#This Row],[UDC]],TableAvailabilities[],3,FALSE)&gt;0,"Y",""),"")</f>
        <v/>
      </c>
      <c r="I210" s="84" t="str">
        <f>IFERROR(IF(VLOOKUP(TableHandbook[[#This Row],[UDC]],TableAvailabilities[],4,FALSE)&gt;0,"Y",""),"")</f>
        <v/>
      </c>
      <c r="J210" s="85" t="str">
        <f>IFERROR(IF(VLOOKUP(TableHandbook[[#This Row],[UDC]],TableAvailabilities[],5,FALSE)&gt;0,"Y",""),"")</f>
        <v/>
      </c>
      <c r="K210" s="168" t="s">
        <v>533</v>
      </c>
      <c r="L210" s="160" t="str">
        <f>IFERROR(VLOOKUP(TableHandbook[[#This Row],[UDC]],TableBARTS[],7,FALSE),"")</f>
        <v>Option</v>
      </c>
      <c r="M210" s="65" t="str">
        <f>IFERROR(VLOOKUP(TableHandbook[[#This Row],[UDC]],TableMJRUANTSO[],7,FALSE),"")</f>
        <v/>
      </c>
      <c r="N210" s="65" t="str">
        <f>IFERROR(VLOOKUP(TableHandbook[[#This Row],[UDC]],TableMJRUCHNSE[],7,FALSE),"")</f>
        <v/>
      </c>
      <c r="O210" s="65" t="str">
        <f>IFERROR(VLOOKUP(TableHandbook[[#This Row],[UDC]],TableMJRUCRWRI[],7,FALSE),"")</f>
        <v/>
      </c>
      <c r="P210" s="65" t="str">
        <f>IFERROR(VLOOKUP(TableHandbook[[#This Row],[UDC]],TableMJRUGEOGR[],7,FALSE),"")</f>
        <v/>
      </c>
      <c r="Q210" s="65" t="str">
        <f>IFERROR(VLOOKUP(TableHandbook[[#This Row],[UDC]],TableMJRUHISTR[],7,FALSE),"")</f>
        <v/>
      </c>
      <c r="R210" s="65" t="str">
        <f>IFERROR(VLOOKUP(TableHandbook[[#This Row],[UDC]],TableMJRUINAUC[],7,FALSE),"")</f>
        <v/>
      </c>
      <c r="S210" s="65" t="str">
        <f>IFERROR(VLOOKUP(TableHandbook[[#This Row],[UDC]],TableMJRUINTRL[],7,FALSE),"")</f>
        <v/>
      </c>
      <c r="T210" s="65" t="str">
        <f>IFERROR(VLOOKUP(TableHandbook[[#This Row],[UDC]],TableMJRUJAPAN[],7,FALSE),"")</f>
        <v/>
      </c>
      <c r="U210" s="65" t="str">
        <f>IFERROR(VLOOKUP(TableHandbook[[#This Row],[UDC]],TableMJRUJOURN[],7,FALSE),"")</f>
        <v/>
      </c>
      <c r="V210" s="65" t="str">
        <f>IFERROR(VLOOKUP(TableHandbook[[#This Row],[UDC]],TableMJRUKORES[],7,FALSE),"")</f>
        <v/>
      </c>
      <c r="W210" s="65" t="str">
        <f>IFERROR(VLOOKUP(TableHandbook[[#This Row],[UDC]],TableMJRULITCU[],7,FALSE),"")</f>
        <v/>
      </c>
      <c r="X210" s="65" t="str">
        <f>IFERROR(VLOOKUP(TableHandbook[[#This Row],[UDC]],TableMJRUNETCM[],7,FALSE),"")</f>
        <v/>
      </c>
      <c r="Y210" s="65" t="str">
        <f>IFERROR(VLOOKUP(TableHandbook[[#This Row],[UDC]],TableMJRUPRWRP[],7,FALSE),"")</f>
        <v/>
      </c>
      <c r="Z210" s="65" t="str">
        <f>IFERROR(VLOOKUP(TableHandbook[[#This Row],[UDC]],TableMJRUSCSTR[],7,FALSE),"")</f>
        <v/>
      </c>
      <c r="AA210" s="74"/>
      <c r="AB210" s="43" t="str">
        <f>IFERROR(VLOOKUP(TableHandbook[[#This Row],[UDC]],TableMJRUBSLAW[],7,FALSE),"")</f>
        <v/>
      </c>
      <c r="AC210" s="66" t="str">
        <f>IFERROR(VLOOKUP(TableHandbook[[#This Row],[UDC]],TableMJRUECONS[],7,FALSE),"")</f>
        <v/>
      </c>
      <c r="AD210" s="66" t="str">
        <f>IFERROR(VLOOKUP(TableHandbook[[#This Row],[UDC]],TableMJRUFINAR[],7,FALSE),"")</f>
        <v/>
      </c>
      <c r="AE210" s="66" t="str">
        <f>IFERROR(VLOOKUP(TableHandbook[[#This Row],[UDC]],TableMJRUFINCE[],7,FALSE),"")</f>
        <v/>
      </c>
      <c r="AF210" s="66" t="str">
        <f>IFERROR(VLOOKUP(TableHandbook[[#This Row],[UDC]],TableMJRUHRMGM[],7,FALSE),"")</f>
        <v/>
      </c>
      <c r="AG210" s="66" t="str">
        <f>IFERROR(VLOOKUP(TableHandbook[[#This Row],[UDC]],TableMJRUINTBU[],7,FALSE),"")</f>
        <v/>
      </c>
      <c r="AH210" s="66" t="str">
        <f>IFERROR(VLOOKUP(TableHandbook[[#This Row],[UDC]],TableMJRULGSCM[],7,FALSE),"")</f>
        <v/>
      </c>
      <c r="AI210" s="66" t="str">
        <f>IFERROR(VLOOKUP(TableHandbook[[#This Row],[UDC]],TableMJRUMNGMT[],7,FALSE),"")</f>
        <v/>
      </c>
      <c r="AJ210" s="66" t="str">
        <f>IFERROR(VLOOKUP(TableHandbook[[#This Row],[UDC]],TableMJRUMRKTG[],7,FALSE),"")</f>
        <v/>
      </c>
      <c r="AK210" s="66" t="str">
        <f>IFERROR(VLOOKUP(TableHandbook[[#This Row],[UDC]],TableMJRUPRPTY[],7,FALSE),"")</f>
        <v/>
      </c>
      <c r="AL210" s="66" t="str">
        <f>IFERROR(VLOOKUP(TableHandbook[[#This Row],[UDC]],TableMJRUSCRAR[],7,FALSE),"")</f>
        <v/>
      </c>
      <c r="AM210" s="66" t="str">
        <f>IFERROR(VLOOKUP(TableHandbook[[#This Row],[UDC]],TableMJRUTHTRA[],7,FALSE),"")</f>
        <v/>
      </c>
      <c r="AN210" s="66" t="str">
        <f>IFERROR(VLOOKUP(TableHandbook[[#This Row],[UDC]],TableMJRUTRHOS[],7,FALSE),"")</f>
        <v/>
      </c>
    </row>
    <row r="211" spans="1:40" x14ac:dyDescent="0.25">
      <c r="A211" s="8" t="s">
        <v>736</v>
      </c>
      <c r="B211" s="9">
        <v>1</v>
      </c>
      <c r="C211" s="8"/>
      <c r="D211" s="8" t="s">
        <v>737</v>
      </c>
      <c r="E211" s="9">
        <v>200</v>
      </c>
      <c r="F211" s="49" t="s">
        <v>277</v>
      </c>
      <c r="G211" s="82" t="str">
        <f>IFERROR(IF(VLOOKUP(TableHandbook[[#This Row],[UDC]],TableAvailabilities[],2,FALSE)&gt;0,"Y",""),"")</f>
        <v/>
      </c>
      <c r="H211" s="83" t="str">
        <f>IFERROR(IF(VLOOKUP(TableHandbook[[#This Row],[UDC]],TableAvailabilities[],3,FALSE)&gt;0,"Y",""),"")</f>
        <v/>
      </c>
      <c r="I211" s="84" t="str">
        <f>IFERROR(IF(VLOOKUP(TableHandbook[[#This Row],[UDC]],TableAvailabilities[],4,FALSE)&gt;0,"Y",""),"")</f>
        <v/>
      </c>
      <c r="J211" s="85" t="str">
        <f>IFERROR(IF(VLOOKUP(TableHandbook[[#This Row],[UDC]],TableAvailabilities[],5,FALSE)&gt;0,"Y",""),"")</f>
        <v/>
      </c>
      <c r="K211" s="163" t="s">
        <v>535</v>
      </c>
      <c r="L211" s="160" t="str">
        <f>IFERROR(VLOOKUP(TableHandbook[[#This Row],[UDC]],TableBARTS[],7,FALSE),"")</f>
        <v/>
      </c>
      <c r="M211" s="65" t="str">
        <f>IFERROR(VLOOKUP(TableHandbook[[#This Row],[UDC]],TableMJRUANTSO[],7,FALSE),"")</f>
        <v/>
      </c>
      <c r="N211" s="47" t="str">
        <f>IFERROR(VLOOKUP(TableHandbook[[#This Row],[UDC]],TableMJRUCHNSE[],7,FALSE),"")</f>
        <v/>
      </c>
      <c r="O211" s="47" t="str">
        <f>IFERROR(VLOOKUP(TableHandbook[[#This Row],[UDC]],TableMJRUCRWRI[],7,FALSE),"")</f>
        <v/>
      </c>
      <c r="P211" s="47" t="str">
        <f>IFERROR(VLOOKUP(TableHandbook[[#This Row],[UDC]],TableMJRUGEOGR[],7,FALSE),"")</f>
        <v/>
      </c>
      <c r="Q211" s="47" t="str">
        <f>IFERROR(VLOOKUP(TableHandbook[[#This Row],[UDC]],TableMJRUHISTR[],7,FALSE),"")</f>
        <v/>
      </c>
      <c r="R211" s="47" t="str">
        <f>IFERROR(VLOOKUP(TableHandbook[[#This Row],[UDC]],TableMJRUINAUC[],7,FALSE),"")</f>
        <v/>
      </c>
      <c r="S211" s="47" t="str">
        <f>IFERROR(VLOOKUP(TableHandbook[[#This Row],[UDC]],TableMJRUINTRL[],7,FALSE),"")</f>
        <v/>
      </c>
      <c r="T211" s="47" t="str">
        <f>IFERROR(VLOOKUP(TableHandbook[[#This Row],[UDC]],TableMJRUJAPAN[],7,FALSE),"")</f>
        <v/>
      </c>
      <c r="U211" s="47" t="str">
        <f>IFERROR(VLOOKUP(TableHandbook[[#This Row],[UDC]],TableMJRUJOURN[],7,FALSE),"")</f>
        <v/>
      </c>
      <c r="V211" s="65" t="str">
        <f>IFERROR(VLOOKUP(TableHandbook[[#This Row],[UDC]],TableMJRUKORES[],7,FALSE),"")</f>
        <v/>
      </c>
      <c r="W211" s="65" t="str">
        <f>IFERROR(VLOOKUP(TableHandbook[[#This Row],[UDC]],TableMJRULITCU[],7,FALSE),"")</f>
        <v/>
      </c>
      <c r="X211" s="65" t="str">
        <f>IFERROR(VLOOKUP(TableHandbook[[#This Row],[UDC]],TableMJRUNETCM[],7,FALSE),"")</f>
        <v/>
      </c>
      <c r="Y211" s="65" t="str">
        <f>IFERROR(VLOOKUP(TableHandbook[[#This Row],[UDC]],TableMJRUPRWRP[],7,FALSE),"")</f>
        <v/>
      </c>
      <c r="Z211" s="65" t="str">
        <f>IFERROR(VLOOKUP(TableHandbook[[#This Row],[UDC]],TableMJRUSCSTR[],7,FALSE),"")</f>
        <v/>
      </c>
      <c r="AA211" s="74"/>
      <c r="AB211" s="43" t="str">
        <f>IFERROR(VLOOKUP(TableHandbook[[#This Row],[UDC]],TableMJRUBSLAW[],7,FALSE),"")</f>
        <v/>
      </c>
      <c r="AC211" s="66" t="str">
        <f>IFERROR(VLOOKUP(TableHandbook[[#This Row],[UDC]],TableMJRUECONS[],7,FALSE),"")</f>
        <v/>
      </c>
      <c r="AD211" s="66" t="str">
        <f>IFERROR(VLOOKUP(TableHandbook[[#This Row],[UDC]],TableMJRUFINAR[],7,FALSE),"")</f>
        <v/>
      </c>
      <c r="AE211" s="66" t="str">
        <f>IFERROR(VLOOKUP(TableHandbook[[#This Row],[UDC]],TableMJRUFINCE[],7,FALSE),"")</f>
        <v/>
      </c>
      <c r="AF211" s="66" t="str">
        <f>IFERROR(VLOOKUP(TableHandbook[[#This Row],[UDC]],TableMJRUHRMGM[],7,FALSE),"")</f>
        <v/>
      </c>
      <c r="AG211" s="66" t="str">
        <f>IFERROR(VLOOKUP(TableHandbook[[#This Row],[UDC]],TableMJRUINTBU[],7,FALSE),"")</f>
        <v/>
      </c>
      <c r="AH211" s="66" t="str">
        <f>IFERROR(VLOOKUP(TableHandbook[[#This Row],[UDC]],TableMJRULGSCM[],7,FALSE),"")</f>
        <v/>
      </c>
      <c r="AI211" s="66" t="str">
        <f>IFERROR(VLOOKUP(TableHandbook[[#This Row],[UDC]],TableMJRUMNGMT[],7,FALSE),"")</f>
        <v/>
      </c>
      <c r="AJ211" s="66" t="str">
        <f>IFERROR(VLOOKUP(TableHandbook[[#This Row],[UDC]],TableMJRUMRKTG[],7,FALSE),"")</f>
        <v/>
      </c>
      <c r="AK211" s="66" t="str">
        <f>IFERROR(VLOOKUP(TableHandbook[[#This Row],[UDC]],TableMJRUPRPTY[],7,FALSE),"")</f>
        <v/>
      </c>
      <c r="AL211" s="66" t="str">
        <f>IFERROR(VLOOKUP(TableHandbook[[#This Row],[UDC]],TableMJRUSCRAR[],7,FALSE),"")</f>
        <v/>
      </c>
      <c r="AM211" s="66" t="str">
        <f>IFERROR(VLOOKUP(TableHandbook[[#This Row],[UDC]],TableMJRUTHTRA[],7,FALSE),"")</f>
        <v/>
      </c>
      <c r="AN211" s="66" t="str">
        <f>IFERROR(VLOOKUP(TableHandbook[[#This Row],[UDC]],TableMJRUTRHOS[],7,FALSE),"")</f>
        <v/>
      </c>
    </row>
    <row r="212" spans="1:40" x14ac:dyDescent="0.25">
      <c r="A212" s="8" t="s">
        <v>121</v>
      </c>
      <c r="B212" s="9">
        <v>2</v>
      </c>
      <c r="C212" s="8"/>
      <c r="D212" s="8" t="s">
        <v>13</v>
      </c>
      <c r="E212" s="9">
        <v>200</v>
      </c>
      <c r="F212" s="49" t="s">
        <v>277</v>
      </c>
      <c r="G212" s="82" t="str">
        <f>IFERROR(IF(VLOOKUP(TableHandbook[[#This Row],[UDC]],TableAvailabilities[],2,FALSE)&gt;0,"Y",""),"")</f>
        <v/>
      </c>
      <c r="H212" s="83" t="str">
        <f>IFERROR(IF(VLOOKUP(TableHandbook[[#This Row],[UDC]],TableAvailabilities[],3,FALSE)&gt;0,"Y",""),"")</f>
        <v/>
      </c>
      <c r="I212" s="84" t="str">
        <f>IFERROR(IF(VLOOKUP(TableHandbook[[#This Row],[UDC]],TableAvailabilities[],4,FALSE)&gt;0,"Y",""),"")</f>
        <v/>
      </c>
      <c r="J212" s="85" t="str">
        <f>IFERROR(IF(VLOOKUP(TableHandbook[[#This Row],[UDC]],TableAvailabilities[],5,FALSE)&gt;0,"Y",""),"")</f>
        <v/>
      </c>
      <c r="K212" s="163"/>
      <c r="L212" s="160" t="str">
        <f>IFERROR(VLOOKUP(TableHandbook[[#This Row],[UDC]],TableBARTS[],7,FALSE),"")</f>
        <v>Core/Option</v>
      </c>
      <c r="M212" s="65" t="str">
        <f>IFERROR(VLOOKUP(TableHandbook[[#This Row],[UDC]],TableMJRUANTSO[],7,FALSE),"")</f>
        <v/>
      </c>
      <c r="N212" s="47" t="str">
        <f>IFERROR(VLOOKUP(TableHandbook[[#This Row],[UDC]],TableMJRUCHNSE[],7,FALSE),"")</f>
        <v/>
      </c>
      <c r="O212" s="47" t="str">
        <f>IFERROR(VLOOKUP(TableHandbook[[#This Row],[UDC]],TableMJRUCRWRI[],7,FALSE),"")</f>
        <v/>
      </c>
      <c r="P212" s="47" t="str">
        <f>IFERROR(VLOOKUP(TableHandbook[[#This Row],[UDC]],TableMJRUGEOGR[],7,FALSE),"")</f>
        <v/>
      </c>
      <c r="Q212" s="47" t="str">
        <f>IFERROR(VLOOKUP(TableHandbook[[#This Row],[UDC]],TableMJRUHISTR[],7,FALSE),"")</f>
        <v/>
      </c>
      <c r="R212" s="47" t="str">
        <f>IFERROR(VLOOKUP(TableHandbook[[#This Row],[UDC]],TableMJRUINAUC[],7,FALSE),"")</f>
        <v/>
      </c>
      <c r="S212" s="47" t="str">
        <f>IFERROR(VLOOKUP(TableHandbook[[#This Row],[UDC]],TableMJRUINTRL[],7,FALSE),"")</f>
        <v/>
      </c>
      <c r="T212" s="47" t="str">
        <f>IFERROR(VLOOKUP(TableHandbook[[#This Row],[UDC]],TableMJRUJAPAN[],7,FALSE),"")</f>
        <v/>
      </c>
      <c r="U212" s="47" t="str">
        <f>IFERROR(VLOOKUP(TableHandbook[[#This Row],[UDC]],TableMJRUJOURN[],7,FALSE),"")</f>
        <v/>
      </c>
      <c r="V212" s="65" t="str">
        <f>IFERROR(VLOOKUP(TableHandbook[[#This Row],[UDC]],TableMJRUKORES[],7,FALSE),"")</f>
        <v/>
      </c>
      <c r="W212" s="65" t="str">
        <f>IFERROR(VLOOKUP(TableHandbook[[#This Row],[UDC]],TableMJRULITCU[],7,FALSE),"")</f>
        <v/>
      </c>
      <c r="X212" s="65" t="str">
        <f>IFERROR(VLOOKUP(TableHandbook[[#This Row],[UDC]],TableMJRUNETCM[],7,FALSE),"")</f>
        <v/>
      </c>
      <c r="Y212" s="65" t="str">
        <f>IFERROR(VLOOKUP(TableHandbook[[#This Row],[UDC]],TableMJRUPRWRP[],7,FALSE),"")</f>
        <v/>
      </c>
      <c r="Z212" s="65" t="str">
        <f>IFERROR(VLOOKUP(TableHandbook[[#This Row],[UDC]],TableMJRUSCSTR[],7,FALSE),"")</f>
        <v/>
      </c>
      <c r="AA212" s="74"/>
      <c r="AB212" s="43" t="str">
        <f>IFERROR(VLOOKUP(TableHandbook[[#This Row],[UDC]],TableMJRUBSLAW[],7,FALSE),"")</f>
        <v/>
      </c>
      <c r="AC212" s="66" t="str">
        <f>IFERROR(VLOOKUP(TableHandbook[[#This Row],[UDC]],TableMJRUECONS[],7,FALSE),"")</f>
        <v/>
      </c>
      <c r="AD212" s="66" t="str">
        <f>IFERROR(VLOOKUP(TableHandbook[[#This Row],[UDC]],TableMJRUFINAR[],7,FALSE),"")</f>
        <v/>
      </c>
      <c r="AE212" s="66" t="str">
        <f>IFERROR(VLOOKUP(TableHandbook[[#This Row],[UDC]],TableMJRUFINCE[],7,FALSE),"")</f>
        <v/>
      </c>
      <c r="AF212" s="66" t="str">
        <f>IFERROR(VLOOKUP(TableHandbook[[#This Row],[UDC]],TableMJRUHRMGM[],7,FALSE),"")</f>
        <v/>
      </c>
      <c r="AG212" s="66" t="str">
        <f>IFERROR(VLOOKUP(TableHandbook[[#This Row],[UDC]],TableMJRUINTBU[],7,FALSE),"")</f>
        <v/>
      </c>
      <c r="AH212" s="66" t="str">
        <f>IFERROR(VLOOKUP(TableHandbook[[#This Row],[UDC]],TableMJRULGSCM[],7,FALSE),"")</f>
        <v/>
      </c>
      <c r="AI212" s="66" t="str">
        <f>IFERROR(VLOOKUP(TableHandbook[[#This Row],[UDC]],TableMJRUMNGMT[],7,FALSE),"")</f>
        <v/>
      </c>
      <c r="AJ212" s="66" t="str">
        <f>IFERROR(VLOOKUP(TableHandbook[[#This Row],[UDC]],TableMJRUMRKTG[],7,FALSE),"")</f>
        <v/>
      </c>
      <c r="AK212" s="66" t="str">
        <f>IFERROR(VLOOKUP(TableHandbook[[#This Row],[UDC]],TableMJRUPRPTY[],7,FALSE),"")</f>
        <v/>
      </c>
      <c r="AL212" s="66" t="str">
        <f>IFERROR(VLOOKUP(TableHandbook[[#This Row],[UDC]],TableMJRUSCRAR[],7,FALSE),"")</f>
        <v/>
      </c>
      <c r="AM212" s="66" t="str">
        <f>IFERROR(VLOOKUP(TableHandbook[[#This Row],[UDC]],TableMJRUTHTRA[],7,FALSE),"")</f>
        <v/>
      </c>
      <c r="AN212" s="66" t="str">
        <f>IFERROR(VLOOKUP(TableHandbook[[#This Row],[UDC]],TableMJRUTRHOS[],7,FALSE),"")</f>
        <v/>
      </c>
    </row>
    <row r="213" spans="1:40" x14ac:dyDescent="0.25">
      <c r="A213" s="8" t="s">
        <v>331</v>
      </c>
      <c r="B213" s="9">
        <v>3</v>
      </c>
      <c r="C213" s="8"/>
      <c r="D213" s="8" t="s">
        <v>330</v>
      </c>
      <c r="E213" s="9">
        <v>200</v>
      </c>
      <c r="F213" s="49" t="s">
        <v>277</v>
      </c>
      <c r="G213" s="82" t="str">
        <f>IFERROR(IF(VLOOKUP(TableHandbook[[#This Row],[UDC]],TableAvailabilities[],2,FALSE)&gt;0,"Y",""),"")</f>
        <v/>
      </c>
      <c r="H213" s="83" t="str">
        <f>IFERROR(IF(VLOOKUP(TableHandbook[[#This Row],[UDC]],TableAvailabilities[],3,FALSE)&gt;0,"Y",""),"")</f>
        <v/>
      </c>
      <c r="I213" s="84" t="str">
        <f>IFERROR(IF(VLOOKUP(TableHandbook[[#This Row],[UDC]],TableAvailabilities[],4,FALSE)&gt;0,"Y",""),"")</f>
        <v/>
      </c>
      <c r="J213" s="85" t="str">
        <f>IFERROR(IF(VLOOKUP(TableHandbook[[#This Row],[UDC]],TableAvailabilities[],5,FALSE)&gt;0,"Y",""),"")</f>
        <v/>
      </c>
      <c r="K213" s="163" t="s">
        <v>533</v>
      </c>
      <c r="L213" s="160" t="str">
        <f>IFERROR(VLOOKUP(TableHandbook[[#This Row],[UDC]],TableBARTS[],7,FALSE),"")</f>
        <v>Option</v>
      </c>
      <c r="M213" s="65" t="str">
        <f>IFERROR(VLOOKUP(TableHandbook[[#This Row],[UDC]],TableMJRUANTSO[],7,FALSE),"")</f>
        <v/>
      </c>
      <c r="N213" s="47" t="str">
        <f>IFERROR(VLOOKUP(TableHandbook[[#This Row],[UDC]],TableMJRUCHNSE[],7,FALSE),"")</f>
        <v/>
      </c>
      <c r="O213" s="47" t="str">
        <f>IFERROR(VLOOKUP(TableHandbook[[#This Row],[UDC]],TableMJRUCRWRI[],7,FALSE),"")</f>
        <v/>
      </c>
      <c r="P213" s="47" t="str">
        <f>IFERROR(VLOOKUP(TableHandbook[[#This Row],[UDC]],TableMJRUGEOGR[],7,FALSE),"")</f>
        <v/>
      </c>
      <c r="Q213" s="47" t="str">
        <f>IFERROR(VLOOKUP(TableHandbook[[#This Row],[UDC]],TableMJRUHISTR[],7,FALSE),"")</f>
        <v/>
      </c>
      <c r="R213" s="47" t="str">
        <f>IFERROR(VLOOKUP(TableHandbook[[#This Row],[UDC]],TableMJRUINAUC[],7,FALSE),"")</f>
        <v/>
      </c>
      <c r="S213" s="47" t="str">
        <f>IFERROR(VLOOKUP(TableHandbook[[#This Row],[UDC]],TableMJRUINTRL[],7,FALSE),"")</f>
        <v/>
      </c>
      <c r="T213" s="47" t="str">
        <f>IFERROR(VLOOKUP(TableHandbook[[#This Row],[UDC]],TableMJRUJAPAN[],7,FALSE),"")</f>
        <v/>
      </c>
      <c r="U213" s="47" t="str">
        <f>IFERROR(VLOOKUP(TableHandbook[[#This Row],[UDC]],TableMJRUJOURN[],7,FALSE),"")</f>
        <v/>
      </c>
      <c r="V213" s="65" t="str">
        <f>IFERROR(VLOOKUP(TableHandbook[[#This Row],[UDC]],TableMJRUKORES[],7,FALSE),"")</f>
        <v/>
      </c>
      <c r="W213" s="65" t="str">
        <f>IFERROR(VLOOKUP(TableHandbook[[#This Row],[UDC]],TableMJRULITCU[],7,FALSE),"")</f>
        <v/>
      </c>
      <c r="X213" s="65" t="str">
        <f>IFERROR(VLOOKUP(TableHandbook[[#This Row],[UDC]],TableMJRUNETCM[],7,FALSE),"")</f>
        <v/>
      </c>
      <c r="Y213" s="65" t="str">
        <f>IFERROR(VLOOKUP(TableHandbook[[#This Row],[UDC]],TableMJRUPRWRP[],7,FALSE),"")</f>
        <v/>
      </c>
      <c r="Z213" s="65" t="str">
        <f>IFERROR(VLOOKUP(TableHandbook[[#This Row],[UDC]],TableMJRUSCSTR[],7,FALSE),"")</f>
        <v/>
      </c>
      <c r="AA213" s="74"/>
      <c r="AB213" s="43" t="str">
        <f>IFERROR(VLOOKUP(TableHandbook[[#This Row],[UDC]],TableMJRUBSLAW[],7,FALSE),"")</f>
        <v/>
      </c>
      <c r="AC213" s="66" t="str">
        <f>IFERROR(VLOOKUP(TableHandbook[[#This Row],[UDC]],TableMJRUECONS[],7,FALSE),"")</f>
        <v/>
      </c>
      <c r="AD213" s="66" t="str">
        <f>IFERROR(VLOOKUP(TableHandbook[[#This Row],[UDC]],TableMJRUFINAR[],7,FALSE),"")</f>
        <v/>
      </c>
      <c r="AE213" s="66" t="str">
        <f>IFERROR(VLOOKUP(TableHandbook[[#This Row],[UDC]],TableMJRUFINCE[],7,FALSE),"")</f>
        <v/>
      </c>
      <c r="AF213" s="66" t="str">
        <f>IFERROR(VLOOKUP(TableHandbook[[#This Row],[UDC]],TableMJRUHRMGM[],7,FALSE),"")</f>
        <v/>
      </c>
      <c r="AG213" s="66" t="str">
        <f>IFERROR(VLOOKUP(TableHandbook[[#This Row],[UDC]],TableMJRUINTBU[],7,FALSE),"")</f>
        <v/>
      </c>
      <c r="AH213" s="66" t="str">
        <f>IFERROR(VLOOKUP(TableHandbook[[#This Row],[UDC]],TableMJRULGSCM[],7,FALSE),"")</f>
        <v/>
      </c>
      <c r="AI213" s="66" t="str">
        <f>IFERROR(VLOOKUP(TableHandbook[[#This Row],[UDC]],TableMJRUMNGMT[],7,FALSE),"")</f>
        <v/>
      </c>
      <c r="AJ213" s="66" t="str">
        <f>IFERROR(VLOOKUP(TableHandbook[[#This Row],[UDC]],TableMJRUMRKTG[],7,FALSE),"")</f>
        <v/>
      </c>
      <c r="AK213" s="66" t="str">
        <f>IFERROR(VLOOKUP(TableHandbook[[#This Row],[UDC]],TableMJRUPRPTY[],7,FALSE),"")</f>
        <v/>
      </c>
      <c r="AL213" s="66" t="str">
        <f>IFERROR(VLOOKUP(TableHandbook[[#This Row],[UDC]],TableMJRUSCRAR[],7,FALSE),"")</f>
        <v/>
      </c>
      <c r="AM213" s="66" t="str">
        <f>IFERROR(VLOOKUP(TableHandbook[[#This Row],[UDC]],TableMJRUTHTRA[],7,FALSE),"")</f>
        <v/>
      </c>
      <c r="AN213" s="66" t="str">
        <f>IFERROR(VLOOKUP(TableHandbook[[#This Row],[UDC]],TableMJRUTRHOS[],7,FALSE),"")</f>
        <v/>
      </c>
    </row>
    <row r="214" spans="1:40" x14ac:dyDescent="0.25">
      <c r="A214" s="8" t="s">
        <v>738</v>
      </c>
      <c r="B214" s="9">
        <v>2</v>
      </c>
      <c r="C214" s="8"/>
      <c r="D214" s="8" t="s">
        <v>739</v>
      </c>
      <c r="E214" s="9">
        <v>200</v>
      </c>
      <c r="F214" s="49" t="s">
        <v>277</v>
      </c>
      <c r="G214" s="67" t="str">
        <f>IFERROR(IF(VLOOKUP(TableHandbook[[#This Row],[UDC]],TableAvailabilities[],2,FALSE)&gt;0,"Y",""),"")</f>
        <v/>
      </c>
      <c r="H214" s="68" t="str">
        <f>IFERROR(IF(VLOOKUP(TableHandbook[[#This Row],[UDC]],TableAvailabilities[],3,FALSE)&gt;0,"Y",""),"")</f>
        <v/>
      </c>
      <c r="I214" s="69" t="str">
        <f>IFERROR(IF(VLOOKUP(TableHandbook[[#This Row],[UDC]],TableAvailabilities[],4,FALSE)&gt;0,"Y",""),"")</f>
        <v/>
      </c>
      <c r="J214" s="70" t="str">
        <f>IFERROR(IF(VLOOKUP(TableHandbook[[#This Row],[UDC]],TableAvailabilities[],5,FALSE)&gt;0,"Y",""),"")</f>
        <v/>
      </c>
      <c r="K214" s="163" t="s">
        <v>535</v>
      </c>
      <c r="L214" s="160" t="str">
        <f>IFERROR(VLOOKUP(TableHandbook[[#This Row],[UDC]],TableBARTS[],7,FALSE),"")</f>
        <v/>
      </c>
      <c r="M214" s="65" t="str">
        <f>IFERROR(VLOOKUP(TableHandbook[[#This Row],[UDC]],TableMJRUANTSO[],7,FALSE),"")</f>
        <v/>
      </c>
      <c r="N214" s="47" t="str">
        <f>IFERROR(VLOOKUP(TableHandbook[[#This Row],[UDC]],TableMJRUCHNSE[],7,FALSE),"")</f>
        <v/>
      </c>
      <c r="O214" s="47" t="str">
        <f>IFERROR(VLOOKUP(TableHandbook[[#This Row],[UDC]],TableMJRUCRWRI[],7,FALSE),"")</f>
        <v/>
      </c>
      <c r="P214" s="47" t="str">
        <f>IFERROR(VLOOKUP(TableHandbook[[#This Row],[UDC]],TableMJRUGEOGR[],7,FALSE),"")</f>
        <v/>
      </c>
      <c r="Q214" s="47" t="str">
        <f>IFERROR(VLOOKUP(TableHandbook[[#This Row],[UDC]],TableMJRUHISTR[],7,FALSE),"")</f>
        <v/>
      </c>
      <c r="R214" s="47" t="str">
        <f>IFERROR(VLOOKUP(TableHandbook[[#This Row],[UDC]],TableMJRUINAUC[],7,FALSE),"")</f>
        <v/>
      </c>
      <c r="S214" s="47" t="str">
        <f>IFERROR(VLOOKUP(TableHandbook[[#This Row],[UDC]],TableMJRUINTRL[],7,FALSE),"")</f>
        <v/>
      </c>
      <c r="T214" s="47" t="str">
        <f>IFERROR(VLOOKUP(TableHandbook[[#This Row],[UDC]],TableMJRUJAPAN[],7,FALSE),"")</f>
        <v/>
      </c>
      <c r="U214" s="47" t="str">
        <f>IFERROR(VLOOKUP(TableHandbook[[#This Row],[UDC]],TableMJRUJOURN[],7,FALSE),"")</f>
        <v/>
      </c>
      <c r="V214" s="65" t="str">
        <f>IFERROR(VLOOKUP(TableHandbook[[#This Row],[UDC]],TableMJRUKORES[],7,FALSE),"")</f>
        <v/>
      </c>
      <c r="W214" s="65" t="str">
        <f>IFERROR(VLOOKUP(TableHandbook[[#This Row],[UDC]],TableMJRULITCU[],7,FALSE),"")</f>
        <v/>
      </c>
      <c r="X214" s="65" t="str">
        <f>IFERROR(VLOOKUP(TableHandbook[[#This Row],[UDC]],TableMJRUNETCM[],7,FALSE),"")</f>
        <v/>
      </c>
      <c r="Y214" s="65" t="str">
        <f>IFERROR(VLOOKUP(TableHandbook[[#This Row],[UDC]],TableMJRUPRWRP[],7,FALSE),"")</f>
        <v/>
      </c>
      <c r="Z214" s="65" t="str">
        <f>IFERROR(VLOOKUP(TableHandbook[[#This Row],[UDC]],TableMJRUSCSTR[],7,FALSE),"")</f>
        <v/>
      </c>
      <c r="AA214" s="74"/>
      <c r="AB214" s="43" t="str">
        <f>IFERROR(VLOOKUP(TableHandbook[[#This Row],[UDC]],TableMJRUBSLAW[],7,FALSE),"")</f>
        <v/>
      </c>
      <c r="AC214" s="66" t="str">
        <f>IFERROR(VLOOKUP(TableHandbook[[#This Row],[UDC]],TableMJRUECONS[],7,FALSE),"")</f>
        <v/>
      </c>
      <c r="AD214" s="66" t="str">
        <f>IFERROR(VLOOKUP(TableHandbook[[#This Row],[UDC]],TableMJRUFINAR[],7,FALSE),"")</f>
        <v/>
      </c>
      <c r="AE214" s="66" t="str">
        <f>IFERROR(VLOOKUP(TableHandbook[[#This Row],[UDC]],TableMJRUFINCE[],7,FALSE),"")</f>
        <v/>
      </c>
      <c r="AF214" s="66" t="str">
        <f>IFERROR(VLOOKUP(TableHandbook[[#This Row],[UDC]],TableMJRUHRMGM[],7,FALSE),"")</f>
        <v/>
      </c>
      <c r="AG214" s="66" t="str">
        <f>IFERROR(VLOOKUP(TableHandbook[[#This Row],[UDC]],TableMJRUINTBU[],7,FALSE),"")</f>
        <v/>
      </c>
      <c r="AH214" s="66" t="str">
        <f>IFERROR(VLOOKUP(TableHandbook[[#This Row],[UDC]],TableMJRULGSCM[],7,FALSE),"")</f>
        <v/>
      </c>
      <c r="AI214" s="66" t="str">
        <f>IFERROR(VLOOKUP(TableHandbook[[#This Row],[UDC]],TableMJRUMNGMT[],7,FALSE),"")</f>
        <v/>
      </c>
      <c r="AJ214" s="66" t="str">
        <f>IFERROR(VLOOKUP(TableHandbook[[#This Row],[UDC]],TableMJRUMRKTG[],7,FALSE),"")</f>
        <v/>
      </c>
      <c r="AK214" s="66" t="str">
        <f>IFERROR(VLOOKUP(TableHandbook[[#This Row],[UDC]],TableMJRUPRPTY[],7,FALSE),"")</f>
        <v/>
      </c>
      <c r="AL214" s="66" t="str">
        <f>IFERROR(VLOOKUP(TableHandbook[[#This Row],[UDC]],TableMJRUSCRAR[],7,FALSE),"")</f>
        <v/>
      </c>
      <c r="AM214" s="66" t="str">
        <f>IFERROR(VLOOKUP(TableHandbook[[#This Row],[UDC]],TableMJRUTHTRA[],7,FALSE),"")</f>
        <v/>
      </c>
      <c r="AN214" s="66" t="str">
        <f>IFERROR(VLOOKUP(TableHandbook[[#This Row],[UDC]],TableMJRUTRHOS[],7,FALSE),"")</f>
        <v/>
      </c>
    </row>
    <row r="215" spans="1:40" x14ac:dyDescent="0.25">
      <c r="A215" s="8" t="s">
        <v>151</v>
      </c>
      <c r="B215" s="9">
        <v>2</v>
      </c>
      <c r="C215" s="8"/>
      <c r="D215" s="8" t="s">
        <v>150</v>
      </c>
      <c r="E215" s="9">
        <v>200</v>
      </c>
      <c r="F215" s="49" t="s">
        <v>277</v>
      </c>
      <c r="G215" s="67" t="str">
        <f>IFERROR(IF(VLOOKUP(TableHandbook[[#This Row],[UDC]],TableAvailabilities[],2,FALSE)&gt;0,"Y",""),"")</f>
        <v/>
      </c>
      <c r="H215" s="68" t="str">
        <f>IFERROR(IF(VLOOKUP(TableHandbook[[#This Row],[UDC]],TableAvailabilities[],3,FALSE)&gt;0,"Y",""),"")</f>
        <v/>
      </c>
      <c r="I215" s="69" t="str">
        <f>IFERROR(IF(VLOOKUP(TableHandbook[[#This Row],[UDC]],TableAvailabilities[],4,FALSE)&gt;0,"Y",""),"")</f>
        <v/>
      </c>
      <c r="J215" s="70" t="str">
        <f>IFERROR(IF(VLOOKUP(TableHandbook[[#This Row],[UDC]],TableAvailabilities[],5,FALSE)&gt;0,"Y",""),"")</f>
        <v/>
      </c>
      <c r="K215" s="164" t="s">
        <v>533</v>
      </c>
      <c r="L215" s="160" t="str">
        <f>IFERROR(VLOOKUP(TableHandbook[[#This Row],[UDC]],TableBARTS[],7,FALSE),"")</f>
        <v>Core/Option</v>
      </c>
      <c r="M215" s="65" t="str">
        <f>IFERROR(VLOOKUP(TableHandbook[[#This Row],[UDC]],TableMJRUANTSO[],7,FALSE),"")</f>
        <v/>
      </c>
      <c r="N215" s="65" t="str">
        <f>IFERROR(VLOOKUP(TableHandbook[[#This Row],[UDC]],TableMJRUCHNSE[],7,FALSE),"")</f>
        <v/>
      </c>
      <c r="O215" s="65" t="str">
        <f>IFERROR(VLOOKUP(TableHandbook[[#This Row],[UDC]],TableMJRUCRWRI[],7,FALSE),"")</f>
        <v/>
      </c>
      <c r="P215" s="65" t="str">
        <f>IFERROR(VLOOKUP(TableHandbook[[#This Row],[UDC]],TableMJRUGEOGR[],7,FALSE),"")</f>
        <v/>
      </c>
      <c r="Q215" s="65" t="str">
        <f>IFERROR(VLOOKUP(TableHandbook[[#This Row],[UDC]],TableMJRUHISTR[],7,FALSE),"")</f>
        <v/>
      </c>
      <c r="R215" s="65" t="str">
        <f>IFERROR(VLOOKUP(TableHandbook[[#This Row],[UDC]],TableMJRUINAUC[],7,FALSE),"")</f>
        <v/>
      </c>
      <c r="S215" s="65" t="str">
        <f>IFERROR(VLOOKUP(TableHandbook[[#This Row],[UDC]],TableMJRUINTRL[],7,FALSE),"")</f>
        <v/>
      </c>
      <c r="T215" s="65" t="str">
        <f>IFERROR(VLOOKUP(TableHandbook[[#This Row],[UDC]],TableMJRUJAPAN[],7,FALSE),"")</f>
        <v/>
      </c>
      <c r="U215" s="65" t="str">
        <f>IFERROR(VLOOKUP(TableHandbook[[#This Row],[UDC]],TableMJRUJOURN[],7,FALSE),"")</f>
        <v/>
      </c>
      <c r="V215" s="65" t="str">
        <f>IFERROR(VLOOKUP(TableHandbook[[#This Row],[UDC]],TableMJRUKORES[],7,FALSE),"")</f>
        <v/>
      </c>
      <c r="W215" s="65" t="str">
        <f>IFERROR(VLOOKUP(TableHandbook[[#This Row],[UDC]],TableMJRULITCU[],7,FALSE),"")</f>
        <v/>
      </c>
      <c r="X215" s="65" t="str">
        <f>IFERROR(VLOOKUP(TableHandbook[[#This Row],[UDC]],TableMJRUNETCM[],7,FALSE),"")</f>
        <v/>
      </c>
      <c r="Y215" s="65" t="str">
        <f>IFERROR(VLOOKUP(TableHandbook[[#This Row],[UDC]],TableMJRUPRWRP[],7,FALSE),"")</f>
        <v/>
      </c>
      <c r="Z215" s="65" t="str">
        <f>IFERROR(VLOOKUP(TableHandbook[[#This Row],[UDC]],TableMJRUSCSTR[],7,FALSE),"")</f>
        <v/>
      </c>
      <c r="AA215" s="74"/>
      <c r="AB215" s="43" t="str">
        <f>IFERROR(VLOOKUP(TableHandbook[[#This Row],[UDC]],TableMJRUBSLAW[],7,FALSE),"")</f>
        <v/>
      </c>
      <c r="AC215" s="66" t="str">
        <f>IFERROR(VLOOKUP(TableHandbook[[#This Row],[UDC]],TableMJRUECONS[],7,FALSE),"")</f>
        <v/>
      </c>
      <c r="AD215" s="66" t="str">
        <f>IFERROR(VLOOKUP(TableHandbook[[#This Row],[UDC]],TableMJRUFINAR[],7,FALSE),"")</f>
        <v/>
      </c>
      <c r="AE215" s="66" t="str">
        <f>IFERROR(VLOOKUP(TableHandbook[[#This Row],[UDC]],TableMJRUFINCE[],7,FALSE),"")</f>
        <v/>
      </c>
      <c r="AF215" s="66" t="str">
        <f>IFERROR(VLOOKUP(TableHandbook[[#This Row],[UDC]],TableMJRUHRMGM[],7,FALSE),"")</f>
        <v/>
      </c>
      <c r="AG215" s="66" t="str">
        <f>IFERROR(VLOOKUP(TableHandbook[[#This Row],[UDC]],TableMJRUINTBU[],7,FALSE),"")</f>
        <v/>
      </c>
      <c r="AH215" s="66" t="str">
        <f>IFERROR(VLOOKUP(TableHandbook[[#This Row],[UDC]],TableMJRULGSCM[],7,FALSE),"")</f>
        <v/>
      </c>
      <c r="AI215" s="66" t="str">
        <f>IFERROR(VLOOKUP(TableHandbook[[#This Row],[UDC]],TableMJRUMNGMT[],7,FALSE),"")</f>
        <v/>
      </c>
      <c r="AJ215" s="66" t="str">
        <f>IFERROR(VLOOKUP(TableHandbook[[#This Row],[UDC]],TableMJRUMRKTG[],7,FALSE),"")</f>
        <v/>
      </c>
      <c r="AK215" s="66" t="str">
        <f>IFERROR(VLOOKUP(TableHandbook[[#This Row],[UDC]],TableMJRUPRPTY[],7,FALSE),"")</f>
        <v/>
      </c>
      <c r="AL215" s="66" t="str">
        <f>IFERROR(VLOOKUP(TableHandbook[[#This Row],[UDC]],TableMJRUSCRAR[],7,FALSE),"")</f>
        <v/>
      </c>
      <c r="AM215" s="66" t="str">
        <f>IFERROR(VLOOKUP(TableHandbook[[#This Row],[UDC]],TableMJRUTHTRA[],7,FALSE),"")</f>
        <v/>
      </c>
      <c r="AN215" s="66" t="str">
        <f>IFERROR(VLOOKUP(TableHandbook[[#This Row],[UDC]],TableMJRUTRHOS[],7,FALSE),"")</f>
        <v/>
      </c>
    </row>
    <row r="216" spans="1:40" x14ac:dyDescent="0.25">
      <c r="A216" s="8" t="s">
        <v>740</v>
      </c>
      <c r="B216" s="9">
        <v>1</v>
      </c>
      <c r="C216" s="8"/>
      <c r="D216" s="8" t="s">
        <v>150</v>
      </c>
      <c r="E216" s="9">
        <v>200</v>
      </c>
      <c r="F216" s="49" t="s">
        <v>277</v>
      </c>
      <c r="G216" s="67" t="str">
        <f>IFERROR(IF(VLOOKUP(TableHandbook[[#This Row],[UDC]],TableAvailabilities[],2,FALSE)&gt;0,"Y",""),"")</f>
        <v/>
      </c>
      <c r="H216" s="68" t="str">
        <f>IFERROR(IF(VLOOKUP(TableHandbook[[#This Row],[UDC]],TableAvailabilities[],3,FALSE)&gt;0,"Y",""),"")</f>
        <v/>
      </c>
      <c r="I216" s="69" t="str">
        <f>IFERROR(IF(VLOOKUP(TableHandbook[[#This Row],[UDC]],TableAvailabilities[],4,FALSE)&gt;0,"Y",""),"")</f>
        <v/>
      </c>
      <c r="J216" s="70" t="str">
        <f>IFERROR(IF(VLOOKUP(TableHandbook[[#This Row],[UDC]],TableAvailabilities[],5,FALSE)&gt;0,"Y",""),"")</f>
        <v/>
      </c>
      <c r="K216" s="164" t="s">
        <v>535</v>
      </c>
      <c r="L216" s="160" t="str">
        <f>IFERROR(VLOOKUP(TableHandbook[[#This Row],[UDC]],TableBARTS[],7,FALSE),"")</f>
        <v/>
      </c>
      <c r="M216" s="65" t="str">
        <f>IFERROR(VLOOKUP(TableHandbook[[#This Row],[UDC]],TableMJRUANTSO[],7,FALSE),"")</f>
        <v/>
      </c>
      <c r="N216" s="65" t="str">
        <f>IFERROR(VLOOKUP(TableHandbook[[#This Row],[UDC]],TableMJRUCHNSE[],7,FALSE),"")</f>
        <v/>
      </c>
      <c r="O216" s="65" t="str">
        <f>IFERROR(VLOOKUP(TableHandbook[[#This Row],[UDC]],TableMJRUCRWRI[],7,FALSE),"")</f>
        <v/>
      </c>
      <c r="P216" s="65" t="str">
        <f>IFERROR(VLOOKUP(TableHandbook[[#This Row],[UDC]],TableMJRUGEOGR[],7,FALSE),"")</f>
        <v/>
      </c>
      <c r="Q216" s="65" t="str">
        <f>IFERROR(VLOOKUP(TableHandbook[[#This Row],[UDC]],TableMJRUHISTR[],7,FALSE),"")</f>
        <v/>
      </c>
      <c r="R216" s="65" t="str">
        <f>IFERROR(VLOOKUP(TableHandbook[[#This Row],[UDC]],TableMJRUINAUC[],7,FALSE),"")</f>
        <v/>
      </c>
      <c r="S216" s="65" t="str">
        <f>IFERROR(VLOOKUP(TableHandbook[[#This Row],[UDC]],TableMJRUINTRL[],7,FALSE),"")</f>
        <v/>
      </c>
      <c r="T216" s="65" t="str">
        <f>IFERROR(VLOOKUP(TableHandbook[[#This Row],[UDC]],TableMJRUJAPAN[],7,FALSE),"")</f>
        <v/>
      </c>
      <c r="U216" s="65" t="str">
        <f>IFERROR(VLOOKUP(TableHandbook[[#This Row],[UDC]],TableMJRUJOURN[],7,FALSE),"")</f>
        <v/>
      </c>
      <c r="V216" s="65" t="str">
        <f>IFERROR(VLOOKUP(TableHandbook[[#This Row],[UDC]],TableMJRUKORES[],7,FALSE),"")</f>
        <v/>
      </c>
      <c r="W216" s="65" t="str">
        <f>IFERROR(VLOOKUP(TableHandbook[[#This Row],[UDC]],TableMJRULITCU[],7,FALSE),"")</f>
        <v/>
      </c>
      <c r="X216" s="65" t="str">
        <f>IFERROR(VLOOKUP(TableHandbook[[#This Row],[UDC]],TableMJRUNETCM[],7,FALSE),"")</f>
        <v/>
      </c>
      <c r="Y216" s="65" t="str">
        <f>IFERROR(VLOOKUP(TableHandbook[[#This Row],[UDC]],TableMJRUPRWRP[],7,FALSE),"")</f>
        <v/>
      </c>
      <c r="Z216" s="65" t="str">
        <f>IFERROR(VLOOKUP(TableHandbook[[#This Row],[UDC]],TableMJRUSCSTR[],7,FALSE),"")</f>
        <v/>
      </c>
      <c r="AA216" s="74"/>
      <c r="AB216" s="43" t="str">
        <f>IFERROR(VLOOKUP(TableHandbook[[#This Row],[UDC]],TableMJRUBSLAW[],7,FALSE),"")</f>
        <v/>
      </c>
      <c r="AC216" s="66" t="str">
        <f>IFERROR(VLOOKUP(TableHandbook[[#This Row],[UDC]],TableMJRUECONS[],7,FALSE),"")</f>
        <v/>
      </c>
      <c r="AD216" s="66" t="str">
        <f>IFERROR(VLOOKUP(TableHandbook[[#This Row],[UDC]],TableMJRUFINAR[],7,FALSE),"")</f>
        <v/>
      </c>
      <c r="AE216" s="66" t="str">
        <f>IFERROR(VLOOKUP(TableHandbook[[#This Row],[UDC]],TableMJRUFINCE[],7,FALSE),"")</f>
        <v/>
      </c>
      <c r="AF216" s="66" t="str">
        <f>IFERROR(VLOOKUP(TableHandbook[[#This Row],[UDC]],TableMJRUHRMGM[],7,FALSE),"")</f>
        <v/>
      </c>
      <c r="AG216" s="66" t="str">
        <f>IFERROR(VLOOKUP(TableHandbook[[#This Row],[UDC]],TableMJRUINTBU[],7,FALSE),"")</f>
        <v/>
      </c>
      <c r="AH216" s="66" t="str">
        <f>IFERROR(VLOOKUP(TableHandbook[[#This Row],[UDC]],TableMJRULGSCM[],7,FALSE),"")</f>
        <v/>
      </c>
      <c r="AI216" s="66" t="str">
        <f>IFERROR(VLOOKUP(TableHandbook[[#This Row],[UDC]],TableMJRUMNGMT[],7,FALSE),"")</f>
        <v/>
      </c>
      <c r="AJ216" s="66" t="str">
        <f>IFERROR(VLOOKUP(TableHandbook[[#This Row],[UDC]],TableMJRUMRKTG[],7,FALSE),"")</f>
        <v/>
      </c>
      <c r="AK216" s="66" t="str">
        <f>IFERROR(VLOOKUP(TableHandbook[[#This Row],[UDC]],TableMJRUPRPTY[],7,FALSE),"")</f>
        <v/>
      </c>
      <c r="AL216" s="66" t="str">
        <f>IFERROR(VLOOKUP(TableHandbook[[#This Row],[UDC]],TableMJRUSCRAR[],7,FALSE),"")</f>
        <v/>
      </c>
      <c r="AM216" s="66" t="str">
        <f>IFERROR(VLOOKUP(TableHandbook[[#This Row],[UDC]],TableMJRUTHTRA[],7,FALSE),"")</f>
        <v/>
      </c>
      <c r="AN216" s="66" t="str">
        <f>IFERROR(VLOOKUP(TableHandbook[[#This Row],[UDC]],TableMJRUTRHOS[],7,FALSE),"")</f>
        <v/>
      </c>
    </row>
    <row r="217" spans="1:40" x14ac:dyDescent="0.25">
      <c r="A217" s="8" t="s">
        <v>333</v>
      </c>
      <c r="B217" s="9">
        <v>1</v>
      </c>
      <c r="C217" s="8"/>
      <c r="D217" s="8" t="s">
        <v>332</v>
      </c>
      <c r="E217" s="9">
        <v>200</v>
      </c>
      <c r="F217" s="49" t="s">
        <v>277</v>
      </c>
      <c r="G217" s="67" t="str">
        <f>IFERROR(IF(VLOOKUP(TableHandbook[[#This Row],[UDC]],TableAvailabilities[],2,FALSE)&gt;0,"Y",""),"")</f>
        <v/>
      </c>
      <c r="H217" s="68" t="str">
        <f>IFERROR(IF(VLOOKUP(TableHandbook[[#This Row],[UDC]],TableAvailabilities[],3,FALSE)&gt;0,"Y",""),"")</f>
        <v/>
      </c>
      <c r="I217" s="69" t="str">
        <f>IFERROR(IF(VLOOKUP(TableHandbook[[#This Row],[UDC]],TableAvailabilities[],4,FALSE)&gt;0,"Y",""),"")</f>
        <v/>
      </c>
      <c r="J217" s="70" t="str">
        <f>IFERROR(IF(VLOOKUP(TableHandbook[[#This Row],[UDC]],TableAvailabilities[],5,FALSE)&gt;0,"Y",""),"")</f>
        <v/>
      </c>
      <c r="K217" s="164"/>
      <c r="L217" s="160" t="str">
        <f>IFERROR(VLOOKUP(TableHandbook[[#This Row],[UDC]],TableBARTS[],7,FALSE),"")</f>
        <v>Option</v>
      </c>
      <c r="M217" s="65" t="str">
        <f>IFERROR(VLOOKUP(TableHandbook[[#This Row],[UDC]],TableMJRUANTSO[],7,FALSE),"")</f>
        <v/>
      </c>
      <c r="N217" s="65" t="str">
        <f>IFERROR(VLOOKUP(TableHandbook[[#This Row],[UDC]],TableMJRUCHNSE[],7,FALSE),"")</f>
        <v/>
      </c>
      <c r="O217" s="65" t="str">
        <f>IFERROR(VLOOKUP(TableHandbook[[#This Row],[UDC]],TableMJRUCRWRI[],7,FALSE),"")</f>
        <v/>
      </c>
      <c r="P217" s="65" t="str">
        <f>IFERROR(VLOOKUP(TableHandbook[[#This Row],[UDC]],TableMJRUGEOGR[],7,FALSE),"")</f>
        <v/>
      </c>
      <c r="Q217" s="65" t="str">
        <f>IFERROR(VLOOKUP(TableHandbook[[#This Row],[UDC]],TableMJRUHISTR[],7,FALSE),"")</f>
        <v/>
      </c>
      <c r="R217" s="65" t="str">
        <f>IFERROR(VLOOKUP(TableHandbook[[#This Row],[UDC]],TableMJRUINAUC[],7,FALSE),"")</f>
        <v/>
      </c>
      <c r="S217" s="65" t="str">
        <f>IFERROR(VLOOKUP(TableHandbook[[#This Row],[UDC]],TableMJRUINTRL[],7,FALSE),"")</f>
        <v/>
      </c>
      <c r="T217" s="65" t="str">
        <f>IFERROR(VLOOKUP(TableHandbook[[#This Row],[UDC]],TableMJRUJAPAN[],7,FALSE),"")</f>
        <v/>
      </c>
      <c r="U217" s="65" t="str">
        <f>IFERROR(VLOOKUP(TableHandbook[[#This Row],[UDC]],TableMJRUJOURN[],7,FALSE),"")</f>
        <v/>
      </c>
      <c r="V217" s="65" t="str">
        <f>IFERROR(VLOOKUP(TableHandbook[[#This Row],[UDC]],TableMJRUKORES[],7,FALSE),"")</f>
        <v/>
      </c>
      <c r="W217" s="65" t="str">
        <f>IFERROR(VLOOKUP(TableHandbook[[#This Row],[UDC]],TableMJRULITCU[],7,FALSE),"")</f>
        <v/>
      </c>
      <c r="X217" s="65" t="str">
        <f>IFERROR(VLOOKUP(TableHandbook[[#This Row],[UDC]],TableMJRUNETCM[],7,FALSE),"")</f>
        <v/>
      </c>
      <c r="Y217" s="65" t="str">
        <f>IFERROR(VLOOKUP(TableHandbook[[#This Row],[UDC]],TableMJRUPRWRP[],7,FALSE),"")</f>
        <v/>
      </c>
      <c r="Z217" s="65" t="str">
        <f>IFERROR(VLOOKUP(TableHandbook[[#This Row],[UDC]],TableMJRUSCSTR[],7,FALSE),"")</f>
        <v/>
      </c>
      <c r="AA217" s="74"/>
      <c r="AB217" s="43" t="str">
        <f>IFERROR(VLOOKUP(TableHandbook[[#This Row],[UDC]],TableMJRUBSLAW[],7,FALSE),"")</f>
        <v/>
      </c>
      <c r="AC217" s="66" t="str">
        <f>IFERROR(VLOOKUP(TableHandbook[[#This Row],[UDC]],TableMJRUECONS[],7,FALSE),"")</f>
        <v/>
      </c>
      <c r="AD217" s="66" t="str">
        <f>IFERROR(VLOOKUP(TableHandbook[[#This Row],[UDC]],TableMJRUFINAR[],7,FALSE),"")</f>
        <v/>
      </c>
      <c r="AE217" s="66" t="str">
        <f>IFERROR(VLOOKUP(TableHandbook[[#This Row],[UDC]],TableMJRUFINCE[],7,FALSE),"")</f>
        <v/>
      </c>
      <c r="AF217" s="66" t="str">
        <f>IFERROR(VLOOKUP(TableHandbook[[#This Row],[UDC]],TableMJRUHRMGM[],7,FALSE),"")</f>
        <v/>
      </c>
      <c r="AG217" s="66" t="str">
        <f>IFERROR(VLOOKUP(TableHandbook[[#This Row],[UDC]],TableMJRUINTBU[],7,FALSE),"")</f>
        <v/>
      </c>
      <c r="AH217" s="66" t="str">
        <f>IFERROR(VLOOKUP(TableHandbook[[#This Row],[UDC]],TableMJRULGSCM[],7,FALSE),"")</f>
        <v/>
      </c>
      <c r="AI217" s="66" t="str">
        <f>IFERROR(VLOOKUP(TableHandbook[[#This Row],[UDC]],TableMJRUMNGMT[],7,FALSE),"")</f>
        <v/>
      </c>
      <c r="AJ217" s="66" t="str">
        <f>IFERROR(VLOOKUP(TableHandbook[[#This Row],[UDC]],TableMJRUMRKTG[],7,FALSE),"")</f>
        <v/>
      </c>
      <c r="AK217" s="66" t="str">
        <f>IFERROR(VLOOKUP(TableHandbook[[#This Row],[UDC]],TableMJRUPRPTY[],7,FALSE),"")</f>
        <v/>
      </c>
      <c r="AL217" s="66" t="str">
        <f>IFERROR(VLOOKUP(TableHandbook[[#This Row],[UDC]],TableMJRUSCRAR[],7,FALSE),"")</f>
        <v/>
      </c>
      <c r="AM217" s="66" t="str">
        <f>IFERROR(VLOOKUP(TableHandbook[[#This Row],[UDC]],TableMJRUTHTRA[],7,FALSE),"")</f>
        <v/>
      </c>
      <c r="AN217" s="66" t="str">
        <f>IFERROR(VLOOKUP(TableHandbook[[#This Row],[UDC]],TableMJRUTRHOS[],7,FALSE),"")</f>
        <v/>
      </c>
    </row>
    <row r="218" spans="1:40" x14ac:dyDescent="0.25">
      <c r="A218" s="8" t="s">
        <v>154</v>
      </c>
      <c r="B218" s="9">
        <v>1</v>
      </c>
      <c r="C218" s="8"/>
      <c r="D218" s="8" t="s">
        <v>153</v>
      </c>
      <c r="E218" s="9">
        <v>200</v>
      </c>
      <c r="F218" s="49" t="s">
        <v>277</v>
      </c>
      <c r="G218" s="82" t="str">
        <f>IFERROR(IF(VLOOKUP(TableHandbook[[#This Row],[UDC]],TableAvailabilities[],2,FALSE)&gt;0,"Y",""),"")</f>
        <v/>
      </c>
      <c r="H218" s="83" t="str">
        <f>IFERROR(IF(VLOOKUP(TableHandbook[[#This Row],[UDC]],TableAvailabilities[],3,FALSE)&gt;0,"Y",""),"")</f>
        <v/>
      </c>
      <c r="I218" s="84" t="str">
        <f>IFERROR(IF(VLOOKUP(TableHandbook[[#This Row],[UDC]],TableAvailabilities[],4,FALSE)&gt;0,"Y",""),"")</f>
        <v/>
      </c>
      <c r="J218" s="85" t="str">
        <f>IFERROR(IF(VLOOKUP(TableHandbook[[#This Row],[UDC]],TableAvailabilities[],5,FALSE)&gt;0,"Y",""),"")</f>
        <v/>
      </c>
      <c r="K218" s="163"/>
      <c r="L218" s="160" t="str">
        <f>IFERROR(VLOOKUP(TableHandbook[[#This Row],[UDC]],TableBARTS[],7,FALSE),"")</f>
        <v>Core/Option</v>
      </c>
      <c r="M218" s="65" t="str">
        <f>IFERROR(VLOOKUP(TableHandbook[[#This Row],[UDC]],TableMJRUANTSO[],7,FALSE),"")</f>
        <v/>
      </c>
      <c r="N218" s="47" t="str">
        <f>IFERROR(VLOOKUP(TableHandbook[[#This Row],[UDC]],TableMJRUCHNSE[],7,FALSE),"")</f>
        <v/>
      </c>
      <c r="O218" s="47" t="str">
        <f>IFERROR(VLOOKUP(TableHandbook[[#This Row],[UDC]],TableMJRUCRWRI[],7,FALSE),"")</f>
        <v/>
      </c>
      <c r="P218" s="47" t="str">
        <f>IFERROR(VLOOKUP(TableHandbook[[#This Row],[UDC]],TableMJRUGEOGR[],7,FALSE),"")</f>
        <v/>
      </c>
      <c r="Q218" s="47" t="str">
        <f>IFERROR(VLOOKUP(TableHandbook[[#This Row],[UDC]],TableMJRUHISTR[],7,FALSE),"")</f>
        <v/>
      </c>
      <c r="R218" s="47" t="str">
        <f>IFERROR(VLOOKUP(TableHandbook[[#This Row],[UDC]],TableMJRUINAUC[],7,FALSE),"")</f>
        <v/>
      </c>
      <c r="S218" s="47" t="str">
        <f>IFERROR(VLOOKUP(TableHandbook[[#This Row],[UDC]],TableMJRUINTRL[],7,FALSE),"")</f>
        <v/>
      </c>
      <c r="T218" s="47" t="str">
        <f>IFERROR(VLOOKUP(TableHandbook[[#This Row],[UDC]],TableMJRUJAPAN[],7,FALSE),"")</f>
        <v/>
      </c>
      <c r="U218" s="47" t="str">
        <f>IFERROR(VLOOKUP(TableHandbook[[#This Row],[UDC]],TableMJRUJOURN[],7,FALSE),"")</f>
        <v/>
      </c>
      <c r="V218" s="65" t="str">
        <f>IFERROR(VLOOKUP(TableHandbook[[#This Row],[UDC]],TableMJRUKORES[],7,FALSE),"")</f>
        <v/>
      </c>
      <c r="W218" s="65" t="str">
        <f>IFERROR(VLOOKUP(TableHandbook[[#This Row],[UDC]],TableMJRULITCU[],7,FALSE),"")</f>
        <v/>
      </c>
      <c r="X218" s="65" t="str">
        <f>IFERROR(VLOOKUP(TableHandbook[[#This Row],[UDC]],TableMJRUNETCM[],7,FALSE),"")</f>
        <v/>
      </c>
      <c r="Y218" s="65" t="str">
        <f>IFERROR(VLOOKUP(TableHandbook[[#This Row],[UDC]],TableMJRUPRWRP[],7,FALSE),"")</f>
        <v/>
      </c>
      <c r="Z218" s="65" t="str">
        <f>IFERROR(VLOOKUP(TableHandbook[[#This Row],[UDC]],TableMJRUSCSTR[],7,FALSE),"")</f>
        <v/>
      </c>
      <c r="AA218" s="74"/>
      <c r="AB218" s="43" t="str">
        <f>IFERROR(VLOOKUP(TableHandbook[[#This Row],[UDC]],TableMJRUBSLAW[],7,FALSE),"")</f>
        <v/>
      </c>
      <c r="AC218" s="66" t="str">
        <f>IFERROR(VLOOKUP(TableHandbook[[#This Row],[UDC]],TableMJRUECONS[],7,FALSE),"")</f>
        <v/>
      </c>
      <c r="AD218" s="66" t="str">
        <f>IFERROR(VLOOKUP(TableHandbook[[#This Row],[UDC]],TableMJRUFINAR[],7,FALSE),"")</f>
        <v/>
      </c>
      <c r="AE218" s="66" t="str">
        <f>IFERROR(VLOOKUP(TableHandbook[[#This Row],[UDC]],TableMJRUFINCE[],7,FALSE),"")</f>
        <v/>
      </c>
      <c r="AF218" s="66" t="str">
        <f>IFERROR(VLOOKUP(TableHandbook[[#This Row],[UDC]],TableMJRUHRMGM[],7,FALSE),"")</f>
        <v/>
      </c>
      <c r="AG218" s="66" t="str">
        <f>IFERROR(VLOOKUP(TableHandbook[[#This Row],[UDC]],TableMJRUINTBU[],7,FALSE),"")</f>
        <v/>
      </c>
      <c r="AH218" s="66" t="str">
        <f>IFERROR(VLOOKUP(TableHandbook[[#This Row],[UDC]],TableMJRULGSCM[],7,FALSE),"")</f>
        <v/>
      </c>
      <c r="AI218" s="66" t="str">
        <f>IFERROR(VLOOKUP(TableHandbook[[#This Row],[UDC]],TableMJRUMNGMT[],7,FALSE),"")</f>
        <v/>
      </c>
      <c r="AJ218" s="66" t="str">
        <f>IFERROR(VLOOKUP(TableHandbook[[#This Row],[UDC]],TableMJRUMRKTG[],7,FALSE),"")</f>
        <v/>
      </c>
      <c r="AK218" s="66" t="str">
        <f>IFERROR(VLOOKUP(TableHandbook[[#This Row],[UDC]],TableMJRUPRPTY[],7,FALSE),"")</f>
        <v/>
      </c>
      <c r="AL218" s="66" t="str">
        <f>IFERROR(VLOOKUP(TableHandbook[[#This Row],[UDC]],TableMJRUSCRAR[],7,FALSE),"")</f>
        <v/>
      </c>
      <c r="AM218" s="66" t="str">
        <f>IFERROR(VLOOKUP(TableHandbook[[#This Row],[UDC]],TableMJRUTHTRA[],7,FALSE),"")</f>
        <v/>
      </c>
      <c r="AN218" s="66" t="str">
        <f>IFERROR(VLOOKUP(TableHandbook[[#This Row],[UDC]],TableMJRUTRHOS[],7,FALSE),"")</f>
        <v/>
      </c>
    </row>
    <row r="219" spans="1:40" x14ac:dyDescent="0.25">
      <c r="A219" s="8" t="s">
        <v>337</v>
      </c>
      <c r="B219" s="9">
        <v>1</v>
      </c>
      <c r="C219" s="8"/>
      <c r="D219" s="8" t="s">
        <v>336</v>
      </c>
      <c r="E219" s="9">
        <v>200</v>
      </c>
      <c r="F219" s="49" t="s">
        <v>277</v>
      </c>
      <c r="G219" s="82" t="str">
        <f>IFERROR(IF(VLOOKUP(TableHandbook[[#This Row],[UDC]],TableAvailabilities[],2,FALSE)&gt;0,"Y",""),"")</f>
        <v/>
      </c>
      <c r="H219" s="83" t="str">
        <f>IFERROR(IF(VLOOKUP(TableHandbook[[#This Row],[UDC]],TableAvailabilities[],3,FALSE)&gt;0,"Y",""),"")</f>
        <v/>
      </c>
      <c r="I219" s="84" t="str">
        <f>IFERROR(IF(VLOOKUP(TableHandbook[[#This Row],[UDC]],TableAvailabilities[],4,FALSE)&gt;0,"Y",""),"")</f>
        <v/>
      </c>
      <c r="J219" s="85" t="str">
        <f>IFERROR(IF(VLOOKUP(TableHandbook[[#This Row],[UDC]],TableAvailabilities[],5,FALSE)&gt;0,"Y",""),"")</f>
        <v/>
      </c>
      <c r="K219" s="163"/>
      <c r="L219" s="160" t="str">
        <f>IFERROR(VLOOKUP(TableHandbook[[#This Row],[UDC]],TableBARTS[],7,FALSE),"")</f>
        <v>Option</v>
      </c>
      <c r="M219" s="65" t="str">
        <f>IFERROR(VLOOKUP(TableHandbook[[#This Row],[UDC]],TableMJRUANTSO[],7,FALSE),"")</f>
        <v/>
      </c>
      <c r="N219" s="47" t="str">
        <f>IFERROR(VLOOKUP(TableHandbook[[#This Row],[UDC]],TableMJRUCHNSE[],7,FALSE),"")</f>
        <v/>
      </c>
      <c r="O219" s="47" t="str">
        <f>IFERROR(VLOOKUP(TableHandbook[[#This Row],[UDC]],TableMJRUCRWRI[],7,FALSE),"")</f>
        <v/>
      </c>
      <c r="P219" s="47" t="str">
        <f>IFERROR(VLOOKUP(TableHandbook[[#This Row],[UDC]],TableMJRUGEOGR[],7,FALSE),"")</f>
        <v/>
      </c>
      <c r="Q219" s="47" t="str">
        <f>IFERROR(VLOOKUP(TableHandbook[[#This Row],[UDC]],TableMJRUHISTR[],7,FALSE),"")</f>
        <v/>
      </c>
      <c r="R219" s="47" t="str">
        <f>IFERROR(VLOOKUP(TableHandbook[[#This Row],[UDC]],TableMJRUINAUC[],7,FALSE),"")</f>
        <v/>
      </c>
      <c r="S219" s="47" t="str">
        <f>IFERROR(VLOOKUP(TableHandbook[[#This Row],[UDC]],TableMJRUINTRL[],7,FALSE),"")</f>
        <v/>
      </c>
      <c r="T219" s="47" t="str">
        <f>IFERROR(VLOOKUP(TableHandbook[[#This Row],[UDC]],TableMJRUJAPAN[],7,FALSE),"")</f>
        <v/>
      </c>
      <c r="U219" s="47" t="str">
        <f>IFERROR(VLOOKUP(TableHandbook[[#This Row],[UDC]],TableMJRUJOURN[],7,FALSE),"")</f>
        <v/>
      </c>
      <c r="V219" s="65" t="str">
        <f>IFERROR(VLOOKUP(TableHandbook[[#This Row],[UDC]],TableMJRUKORES[],7,FALSE),"")</f>
        <v/>
      </c>
      <c r="W219" s="65" t="str">
        <f>IFERROR(VLOOKUP(TableHandbook[[#This Row],[UDC]],TableMJRULITCU[],7,FALSE),"")</f>
        <v/>
      </c>
      <c r="X219" s="65" t="str">
        <f>IFERROR(VLOOKUP(TableHandbook[[#This Row],[UDC]],TableMJRUNETCM[],7,FALSE),"")</f>
        <v/>
      </c>
      <c r="Y219" s="65" t="str">
        <f>IFERROR(VLOOKUP(TableHandbook[[#This Row],[UDC]],TableMJRUPRWRP[],7,FALSE),"")</f>
        <v/>
      </c>
      <c r="Z219" s="65" t="str">
        <f>IFERROR(VLOOKUP(TableHandbook[[#This Row],[UDC]],TableMJRUSCSTR[],7,FALSE),"")</f>
        <v/>
      </c>
      <c r="AA219" s="74"/>
      <c r="AB219" s="43" t="str">
        <f>IFERROR(VLOOKUP(TableHandbook[[#This Row],[UDC]],TableMJRUBSLAW[],7,FALSE),"")</f>
        <v/>
      </c>
      <c r="AC219" s="66" t="str">
        <f>IFERROR(VLOOKUP(TableHandbook[[#This Row],[UDC]],TableMJRUECONS[],7,FALSE),"")</f>
        <v/>
      </c>
      <c r="AD219" s="66" t="str">
        <f>IFERROR(VLOOKUP(TableHandbook[[#This Row],[UDC]],TableMJRUFINAR[],7,FALSE),"")</f>
        <v/>
      </c>
      <c r="AE219" s="66" t="str">
        <f>IFERROR(VLOOKUP(TableHandbook[[#This Row],[UDC]],TableMJRUFINCE[],7,FALSE),"")</f>
        <v/>
      </c>
      <c r="AF219" s="66" t="str">
        <f>IFERROR(VLOOKUP(TableHandbook[[#This Row],[UDC]],TableMJRUHRMGM[],7,FALSE),"")</f>
        <v/>
      </c>
      <c r="AG219" s="66" t="str">
        <f>IFERROR(VLOOKUP(TableHandbook[[#This Row],[UDC]],TableMJRUINTBU[],7,FALSE),"")</f>
        <v/>
      </c>
      <c r="AH219" s="66" t="str">
        <f>IFERROR(VLOOKUP(TableHandbook[[#This Row],[UDC]],TableMJRULGSCM[],7,FALSE),"")</f>
        <v/>
      </c>
      <c r="AI219" s="66" t="str">
        <f>IFERROR(VLOOKUP(TableHandbook[[#This Row],[UDC]],TableMJRUMNGMT[],7,FALSE),"")</f>
        <v/>
      </c>
      <c r="AJ219" s="66" t="str">
        <f>IFERROR(VLOOKUP(TableHandbook[[#This Row],[UDC]],TableMJRUMRKTG[],7,FALSE),"")</f>
        <v/>
      </c>
      <c r="AK219" s="66" t="str">
        <f>IFERROR(VLOOKUP(TableHandbook[[#This Row],[UDC]],TableMJRUPRPTY[],7,FALSE),"")</f>
        <v/>
      </c>
      <c r="AL219" s="66" t="str">
        <f>IFERROR(VLOOKUP(TableHandbook[[#This Row],[UDC]],TableMJRUSCRAR[],7,FALSE),"")</f>
        <v/>
      </c>
      <c r="AM219" s="66" t="str">
        <f>IFERROR(VLOOKUP(TableHandbook[[#This Row],[UDC]],TableMJRUTHTRA[],7,FALSE),"")</f>
        <v/>
      </c>
      <c r="AN219" s="66" t="str">
        <f>IFERROR(VLOOKUP(TableHandbook[[#This Row],[UDC]],TableMJRUTRHOS[],7,FALSE),"")</f>
        <v/>
      </c>
    </row>
    <row r="220" spans="1:40" x14ac:dyDescent="0.25">
      <c r="A220" s="8" t="s">
        <v>342</v>
      </c>
      <c r="B220" s="9">
        <v>2</v>
      </c>
      <c r="C220" s="8"/>
      <c r="D220" s="8" t="s">
        <v>16</v>
      </c>
      <c r="E220" s="9">
        <v>200</v>
      </c>
      <c r="F220" s="49"/>
      <c r="G220" s="67" t="str">
        <f>IFERROR(IF(VLOOKUP(TableHandbook[[#This Row],[UDC]],TableAvailabilities[],2,FALSE)&gt;0,"Y",""),"")</f>
        <v/>
      </c>
      <c r="H220" s="68" t="str">
        <f>IFERROR(IF(VLOOKUP(TableHandbook[[#This Row],[UDC]],TableAvailabilities[],3,FALSE)&gt;0,"Y",""),"")</f>
        <v/>
      </c>
      <c r="I220" s="69" t="str">
        <f>IFERROR(IF(VLOOKUP(TableHandbook[[#This Row],[UDC]],TableAvailabilities[],4,FALSE)&gt;0,"Y",""),"")</f>
        <v/>
      </c>
      <c r="J220" s="70" t="str">
        <f>IFERROR(IF(VLOOKUP(TableHandbook[[#This Row],[UDC]],TableAvailabilities[],5,FALSE)&gt;0,"Y",""),"")</f>
        <v/>
      </c>
      <c r="K220" s="164" t="s">
        <v>533</v>
      </c>
      <c r="L220" s="160" t="str">
        <f>IFERROR(VLOOKUP(TableHandbook[[#This Row],[UDC]],TableBARTS[],7,FALSE),"")</f>
        <v>Option</v>
      </c>
      <c r="M220" s="65" t="str">
        <f>IFERROR(VLOOKUP(TableHandbook[[#This Row],[UDC]],TableMJRUANTSO[],7,FALSE),"")</f>
        <v/>
      </c>
      <c r="N220" s="47" t="str">
        <f>IFERROR(VLOOKUP(TableHandbook[[#This Row],[UDC]],TableMJRUCHNSE[],7,FALSE),"")</f>
        <v/>
      </c>
      <c r="O220" s="47" t="str">
        <f>IFERROR(VLOOKUP(TableHandbook[[#This Row],[UDC]],TableMJRUCRWRI[],7,FALSE),"")</f>
        <v/>
      </c>
      <c r="P220" s="47" t="str">
        <f>IFERROR(VLOOKUP(TableHandbook[[#This Row],[UDC]],TableMJRUGEOGR[],7,FALSE),"")</f>
        <v/>
      </c>
      <c r="Q220" s="47" t="str">
        <f>IFERROR(VLOOKUP(TableHandbook[[#This Row],[UDC]],TableMJRUHISTR[],7,FALSE),"")</f>
        <v/>
      </c>
      <c r="R220" s="47" t="str">
        <f>IFERROR(VLOOKUP(TableHandbook[[#This Row],[UDC]],TableMJRUINAUC[],7,FALSE),"")</f>
        <v/>
      </c>
      <c r="S220" s="47" t="str">
        <f>IFERROR(VLOOKUP(TableHandbook[[#This Row],[UDC]],TableMJRUINTRL[],7,FALSE),"")</f>
        <v/>
      </c>
      <c r="T220" s="47" t="str">
        <f>IFERROR(VLOOKUP(TableHandbook[[#This Row],[UDC]],TableMJRUJAPAN[],7,FALSE),"")</f>
        <v/>
      </c>
      <c r="U220" s="47" t="str">
        <f>IFERROR(VLOOKUP(TableHandbook[[#This Row],[UDC]],TableMJRUJOURN[],7,FALSE),"")</f>
        <v/>
      </c>
      <c r="V220" s="65" t="str">
        <f>IFERROR(VLOOKUP(TableHandbook[[#This Row],[UDC]],TableMJRUKORES[],7,FALSE),"")</f>
        <v/>
      </c>
      <c r="W220" s="65" t="str">
        <f>IFERROR(VLOOKUP(TableHandbook[[#This Row],[UDC]],TableMJRULITCU[],7,FALSE),"")</f>
        <v/>
      </c>
      <c r="X220" s="65" t="str">
        <f>IFERROR(VLOOKUP(TableHandbook[[#This Row],[UDC]],TableMJRUNETCM[],7,FALSE),"")</f>
        <v/>
      </c>
      <c r="Y220" s="65" t="str">
        <f>IFERROR(VLOOKUP(TableHandbook[[#This Row],[UDC]],TableMJRUPRWRP[],7,FALSE),"")</f>
        <v/>
      </c>
      <c r="Z220" s="65" t="str">
        <f>IFERROR(VLOOKUP(TableHandbook[[#This Row],[UDC]],TableMJRUSCSTR[],7,FALSE),"")</f>
        <v/>
      </c>
      <c r="AA220" s="74"/>
      <c r="AB220" s="43" t="str">
        <f>IFERROR(VLOOKUP(TableHandbook[[#This Row],[UDC]],TableMJRUBSLAW[],7,FALSE),"")</f>
        <v/>
      </c>
      <c r="AC220" s="66" t="str">
        <f>IFERROR(VLOOKUP(TableHandbook[[#This Row],[UDC]],TableMJRUECONS[],7,FALSE),"")</f>
        <v/>
      </c>
      <c r="AD220" s="66" t="str">
        <f>IFERROR(VLOOKUP(TableHandbook[[#This Row],[UDC]],TableMJRUFINAR[],7,FALSE),"")</f>
        <v/>
      </c>
      <c r="AE220" s="66" t="str">
        <f>IFERROR(VLOOKUP(TableHandbook[[#This Row],[UDC]],TableMJRUFINCE[],7,FALSE),"")</f>
        <v/>
      </c>
      <c r="AF220" s="66" t="str">
        <f>IFERROR(VLOOKUP(TableHandbook[[#This Row],[UDC]],TableMJRUHRMGM[],7,FALSE),"")</f>
        <v/>
      </c>
      <c r="AG220" s="66" t="str">
        <f>IFERROR(VLOOKUP(TableHandbook[[#This Row],[UDC]],TableMJRUINTBU[],7,FALSE),"")</f>
        <v/>
      </c>
      <c r="AH220" s="66" t="str">
        <f>IFERROR(VLOOKUP(TableHandbook[[#This Row],[UDC]],TableMJRULGSCM[],7,FALSE),"")</f>
        <v/>
      </c>
      <c r="AI220" s="66" t="str">
        <f>IFERROR(VLOOKUP(TableHandbook[[#This Row],[UDC]],TableMJRUMNGMT[],7,FALSE),"")</f>
        <v/>
      </c>
      <c r="AJ220" s="66" t="str">
        <f>IFERROR(VLOOKUP(TableHandbook[[#This Row],[UDC]],TableMJRUMRKTG[],7,FALSE),"")</f>
        <v/>
      </c>
      <c r="AK220" s="66" t="str">
        <f>IFERROR(VLOOKUP(TableHandbook[[#This Row],[UDC]],TableMJRUPRPTY[],7,FALSE),"")</f>
        <v/>
      </c>
      <c r="AL220" s="66" t="str">
        <f>IFERROR(VLOOKUP(TableHandbook[[#This Row],[UDC]],TableMJRUSCRAR[],7,FALSE),"")</f>
        <v/>
      </c>
      <c r="AM220" s="66" t="str">
        <f>IFERROR(VLOOKUP(TableHandbook[[#This Row],[UDC]],TableMJRUTHTRA[],7,FALSE),"")</f>
        <v/>
      </c>
      <c r="AN220" s="66" t="str">
        <f>IFERROR(VLOOKUP(TableHandbook[[#This Row],[UDC]],TableMJRUTRHOS[],7,FALSE),"")</f>
        <v/>
      </c>
    </row>
    <row r="221" spans="1:40" x14ac:dyDescent="0.25">
      <c r="A221" s="8" t="s">
        <v>741</v>
      </c>
      <c r="B221" s="9">
        <v>1</v>
      </c>
      <c r="C221" s="8"/>
      <c r="D221" s="8" t="s">
        <v>16</v>
      </c>
      <c r="E221" s="9">
        <v>200</v>
      </c>
      <c r="F221" s="49" t="s">
        <v>277</v>
      </c>
      <c r="G221" s="67" t="str">
        <f>IFERROR(IF(VLOOKUP(TableHandbook[[#This Row],[UDC]],TableAvailabilities[],2,FALSE)&gt;0,"Y",""),"")</f>
        <v/>
      </c>
      <c r="H221" s="68" t="str">
        <f>IFERROR(IF(VLOOKUP(TableHandbook[[#This Row],[UDC]],TableAvailabilities[],3,FALSE)&gt;0,"Y",""),"")</f>
        <v/>
      </c>
      <c r="I221" s="69" t="str">
        <f>IFERROR(IF(VLOOKUP(TableHandbook[[#This Row],[UDC]],TableAvailabilities[],4,FALSE)&gt;0,"Y",""),"")</f>
        <v/>
      </c>
      <c r="J221" s="70" t="str">
        <f>IFERROR(IF(VLOOKUP(TableHandbook[[#This Row],[UDC]],TableAvailabilities[],5,FALSE)&gt;0,"Y",""),"")</f>
        <v/>
      </c>
      <c r="K221" s="164" t="s">
        <v>535</v>
      </c>
      <c r="L221" s="160" t="str">
        <f>IFERROR(VLOOKUP(TableHandbook[[#This Row],[UDC]],TableBARTS[],7,FALSE),"")</f>
        <v/>
      </c>
      <c r="M221" s="65" t="str">
        <f>IFERROR(VLOOKUP(TableHandbook[[#This Row],[UDC]],TableMJRUANTSO[],7,FALSE),"")</f>
        <v/>
      </c>
      <c r="N221" s="47" t="str">
        <f>IFERROR(VLOOKUP(TableHandbook[[#This Row],[UDC]],TableMJRUCHNSE[],7,FALSE),"")</f>
        <v/>
      </c>
      <c r="O221" s="47" t="str">
        <f>IFERROR(VLOOKUP(TableHandbook[[#This Row],[UDC]],TableMJRUCRWRI[],7,FALSE),"")</f>
        <v/>
      </c>
      <c r="P221" s="47" t="str">
        <f>IFERROR(VLOOKUP(TableHandbook[[#This Row],[UDC]],TableMJRUGEOGR[],7,FALSE),"")</f>
        <v/>
      </c>
      <c r="Q221" s="47" t="str">
        <f>IFERROR(VLOOKUP(TableHandbook[[#This Row],[UDC]],TableMJRUHISTR[],7,FALSE),"")</f>
        <v/>
      </c>
      <c r="R221" s="47" t="str">
        <f>IFERROR(VLOOKUP(TableHandbook[[#This Row],[UDC]],TableMJRUINAUC[],7,FALSE),"")</f>
        <v/>
      </c>
      <c r="S221" s="47" t="str">
        <f>IFERROR(VLOOKUP(TableHandbook[[#This Row],[UDC]],TableMJRUINTRL[],7,FALSE),"")</f>
        <v/>
      </c>
      <c r="T221" s="47" t="str">
        <f>IFERROR(VLOOKUP(TableHandbook[[#This Row],[UDC]],TableMJRUJAPAN[],7,FALSE),"")</f>
        <v/>
      </c>
      <c r="U221" s="47" t="str">
        <f>IFERROR(VLOOKUP(TableHandbook[[#This Row],[UDC]],TableMJRUJOURN[],7,FALSE),"")</f>
        <v/>
      </c>
      <c r="V221" s="65" t="str">
        <f>IFERROR(VLOOKUP(TableHandbook[[#This Row],[UDC]],TableMJRUKORES[],7,FALSE),"")</f>
        <v/>
      </c>
      <c r="W221" s="65" t="str">
        <f>IFERROR(VLOOKUP(TableHandbook[[#This Row],[UDC]],TableMJRULITCU[],7,FALSE),"")</f>
        <v/>
      </c>
      <c r="X221" s="65" t="str">
        <f>IFERROR(VLOOKUP(TableHandbook[[#This Row],[UDC]],TableMJRUNETCM[],7,FALSE),"")</f>
        <v/>
      </c>
      <c r="Y221" s="65" t="str">
        <f>IFERROR(VLOOKUP(TableHandbook[[#This Row],[UDC]],TableMJRUPRWRP[],7,FALSE),"")</f>
        <v/>
      </c>
      <c r="Z221" s="65" t="str">
        <f>IFERROR(VLOOKUP(TableHandbook[[#This Row],[UDC]],TableMJRUSCSTR[],7,FALSE),"")</f>
        <v/>
      </c>
      <c r="AA221" s="74"/>
      <c r="AB221" s="43" t="str">
        <f>IFERROR(VLOOKUP(TableHandbook[[#This Row],[UDC]],TableMJRUBSLAW[],7,FALSE),"")</f>
        <v/>
      </c>
      <c r="AC221" s="66" t="str">
        <f>IFERROR(VLOOKUP(TableHandbook[[#This Row],[UDC]],TableMJRUECONS[],7,FALSE),"")</f>
        <v/>
      </c>
      <c r="AD221" s="66" t="str">
        <f>IFERROR(VLOOKUP(TableHandbook[[#This Row],[UDC]],TableMJRUFINAR[],7,FALSE),"")</f>
        <v/>
      </c>
      <c r="AE221" s="66" t="str">
        <f>IFERROR(VLOOKUP(TableHandbook[[#This Row],[UDC]],TableMJRUFINCE[],7,FALSE),"")</f>
        <v/>
      </c>
      <c r="AF221" s="66" t="str">
        <f>IFERROR(VLOOKUP(TableHandbook[[#This Row],[UDC]],TableMJRUHRMGM[],7,FALSE),"")</f>
        <v/>
      </c>
      <c r="AG221" s="66" t="str">
        <f>IFERROR(VLOOKUP(TableHandbook[[#This Row],[UDC]],TableMJRUINTBU[],7,FALSE),"")</f>
        <v/>
      </c>
      <c r="AH221" s="66" t="str">
        <f>IFERROR(VLOOKUP(TableHandbook[[#This Row],[UDC]],TableMJRULGSCM[],7,FALSE),"")</f>
        <v/>
      </c>
      <c r="AI221" s="66" t="str">
        <f>IFERROR(VLOOKUP(TableHandbook[[#This Row],[UDC]],TableMJRUMNGMT[],7,FALSE),"")</f>
        <v/>
      </c>
      <c r="AJ221" s="66" t="str">
        <f>IFERROR(VLOOKUP(TableHandbook[[#This Row],[UDC]],TableMJRUMRKTG[],7,FALSE),"")</f>
        <v/>
      </c>
      <c r="AK221" s="66" t="str">
        <f>IFERROR(VLOOKUP(TableHandbook[[#This Row],[UDC]],TableMJRUPRPTY[],7,FALSE),"")</f>
        <v/>
      </c>
      <c r="AL221" s="66" t="str">
        <f>IFERROR(VLOOKUP(TableHandbook[[#This Row],[UDC]],TableMJRUSCRAR[],7,FALSE),"")</f>
        <v/>
      </c>
      <c r="AM221" s="66" t="str">
        <f>IFERROR(VLOOKUP(TableHandbook[[#This Row],[UDC]],TableMJRUTHTRA[],7,FALSE),"")</f>
        <v/>
      </c>
      <c r="AN221" s="66" t="str">
        <f>IFERROR(VLOOKUP(TableHandbook[[#This Row],[UDC]],TableMJRUTRHOS[],7,FALSE),"")</f>
        <v/>
      </c>
    </row>
    <row r="222" spans="1:40" x14ac:dyDescent="0.25">
      <c r="A222" s="8" t="s">
        <v>480</v>
      </c>
      <c r="B222" s="9">
        <v>1</v>
      </c>
      <c r="C222" s="8"/>
      <c r="D222" s="8" t="s">
        <v>742</v>
      </c>
      <c r="E222" s="9">
        <v>25</v>
      </c>
      <c r="F222" s="174" t="s">
        <v>526</v>
      </c>
      <c r="G222" s="82" t="str">
        <f>IFERROR(IF(VLOOKUP(TableHandbook[[#This Row],[UDC]],TableAvailabilities[],2,FALSE)&gt;0,"Y",""),"")</f>
        <v>Y</v>
      </c>
      <c r="H222" s="83" t="str">
        <f>IFERROR(IF(VLOOKUP(TableHandbook[[#This Row],[UDC]],TableAvailabilities[],3,FALSE)&gt;0,"Y",""),"")</f>
        <v>Y</v>
      </c>
      <c r="I222" s="84" t="str">
        <f>IFERROR(IF(VLOOKUP(TableHandbook[[#This Row],[UDC]],TableAvailabilities[],4,FALSE)&gt;0,"Y",""),"")</f>
        <v>Y</v>
      </c>
      <c r="J222" s="85" t="str">
        <f>IFERROR(IF(VLOOKUP(TableHandbook[[#This Row],[UDC]],TableAvailabilities[],5,FALSE)&gt;0,"Y",""),"")</f>
        <v/>
      </c>
      <c r="K222" s="168"/>
      <c r="L222" s="160" t="str">
        <f>IFERROR(VLOOKUP(TableHandbook[[#This Row],[UDC]],TableBARTS[],7,FALSE),"")</f>
        <v/>
      </c>
      <c r="M222" s="65" t="str">
        <f>IFERROR(VLOOKUP(TableHandbook[[#This Row],[UDC]],TableMJRUANTSO[],7,FALSE),"")</f>
        <v/>
      </c>
      <c r="N222" s="47" t="str">
        <f>IFERROR(VLOOKUP(TableHandbook[[#This Row],[UDC]],TableMJRUCHNSE[],7,FALSE),"")</f>
        <v/>
      </c>
      <c r="O222" s="47" t="str">
        <f>IFERROR(VLOOKUP(TableHandbook[[#This Row],[UDC]],TableMJRUCRWRI[],7,FALSE),"")</f>
        <v/>
      </c>
      <c r="P222" s="47" t="str">
        <f>IFERROR(VLOOKUP(TableHandbook[[#This Row],[UDC]],TableMJRUGEOGR[],7,FALSE),"")</f>
        <v/>
      </c>
      <c r="Q222" s="47" t="str">
        <f>IFERROR(VLOOKUP(TableHandbook[[#This Row],[UDC]],TableMJRUHISTR[],7,FALSE),"")</f>
        <v/>
      </c>
      <c r="R222" s="47" t="str">
        <f>IFERROR(VLOOKUP(TableHandbook[[#This Row],[UDC]],TableMJRUINAUC[],7,FALSE),"")</f>
        <v/>
      </c>
      <c r="S222" s="47" t="str">
        <f>IFERROR(VLOOKUP(TableHandbook[[#This Row],[UDC]],TableMJRUINTRL[],7,FALSE),"")</f>
        <v/>
      </c>
      <c r="T222" s="47" t="str">
        <f>IFERROR(VLOOKUP(TableHandbook[[#This Row],[UDC]],TableMJRUJAPAN[],7,FALSE),"")</f>
        <v/>
      </c>
      <c r="U222" s="47" t="str">
        <f>IFERROR(VLOOKUP(TableHandbook[[#This Row],[UDC]],TableMJRUJOURN[],7,FALSE),"")</f>
        <v/>
      </c>
      <c r="V222" s="65" t="str">
        <f>IFERROR(VLOOKUP(TableHandbook[[#This Row],[UDC]],TableMJRUKORES[],7,FALSE),"")</f>
        <v/>
      </c>
      <c r="W222" s="65" t="str">
        <f>IFERROR(VLOOKUP(TableHandbook[[#This Row],[UDC]],TableMJRULITCU[],7,FALSE),"")</f>
        <v/>
      </c>
      <c r="X222" s="65" t="str">
        <f>IFERROR(VLOOKUP(TableHandbook[[#This Row],[UDC]],TableMJRUNETCM[],7,FALSE),"")</f>
        <v/>
      </c>
      <c r="Y222" s="65" t="str">
        <f>IFERROR(VLOOKUP(TableHandbook[[#This Row],[UDC]],TableMJRUPRWRP[],7,FALSE),"")</f>
        <v/>
      </c>
      <c r="Z222" s="65" t="str">
        <f>IFERROR(VLOOKUP(TableHandbook[[#This Row],[UDC]],TableMJRUSCSTR[],7,FALSE),"")</f>
        <v/>
      </c>
      <c r="AA222" s="74"/>
      <c r="AB222" s="43" t="str">
        <f>IFERROR(VLOOKUP(TableHandbook[[#This Row],[UDC]],TableMJRUBSLAW[],7,FALSE),"")</f>
        <v/>
      </c>
      <c r="AC222" s="66" t="str">
        <f>IFERROR(VLOOKUP(TableHandbook[[#This Row],[UDC]],TableMJRUECONS[],7,FALSE),"")</f>
        <v/>
      </c>
      <c r="AD222" s="66" t="str">
        <f>IFERROR(VLOOKUP(TableHandbook[[#This Row],[UDC]],TableMJRUFINAR[],7,FALSE),"")</f>
        <v/>
      </c>
      <c r="AE222" s="66" t="str">
        <f>IFERROR(VLOOKUP(TableHandbook[[#This Row],[UDC]],TableMJRUFINCE[],7,FALSE),"")</f>
        <v/>
      </c>
      <c r="AF222" s="66" t="str">
        <f>IFERROR(VLOOKUP(TableHandbook[[#This Row],[UDC]],TableMJRUHRMGM[],7,FALSE),"")</f>
        <v/>
      </c>
      <c r="AG222" s="66" t="str">
        <f>IFERROR(VLOOKUP(TableHandbook[[#This Row],[UDC]],TableMJRUINTBU[],7,FALSE),"")</f>
        <v/>
      </c>
      <c r="AH222" s="66" t="str">
        <f>IFERROR(VLOOKUP(TableHandbook[[#This Row],[UDC]],TableMJRULGSCM[],7,FALSE),"")</f>
        <v/>
      </c>
      <c r="AI222" s="66" t="str">
        <f>IFERROR(VLOOKUP(TableHandbook[[#This Row],[UDC]],TableMJRUMNGMT[],7,FALSE),"")</f>
        <v/>
      </c>
      <c r="AJ222" s="66" t="str">
        <f>IFERROR(VLOOKUP(TableHandbook[[#This Row],[UDC]],TableMJRUMRKTG[],7,FALSE),"")</f>
        <v>AltCore</v>
      </c>
      <c r="AK222" s="66" t="str">
        <f>IFERROR(VLOOKUP(TableHandbook[[#This Row],[UDC]],TableMJRUPRPTY[],7,FALSE),"")</f>
        <v/>
      </c>
      <c r="AL222" s="66" t="str">
        <f>IFERROR(VLOOKUP(TableHandbook[[#This Row],[UDC]],TableMJRUSCRAR[],7,FALSE),"")</f>
        <v/>
      </c>
      <c r="AM222" s="66" t="str">
        <f>IFERROR(VLOOKUP(TableHandbook[[#This Row],[UDC]],TableMJRUTHTRA[],7,FALSE),"")</f>
        <v/>
      </c>
      <c r="AN222" s="66" t="str">
        <f>IFERROR(VLOOKUP(TableHandbook[[#This Row],[UDC]],TableMJRUTRHOS[],7,FALSE),"")</f>
        <v/>
      </c>
    </row>
    <row r="223" spans="1:40" x14ac:dyDescent="0.25">
      <c r="A223" s="8" t="s">
        <v>487</v>
      </c>
      <c r="B223" s="9">
        <v>2</v>
      </c>
      <c r="C223" s="8"/>
      <c r="D223" s="8" t="s">
        <v>743</v>
      </c>
      <c r="E223" s="9">
        <v>25</v>
      </c>
      <c r="F223" s="49" t="s">
        <v>681</v>
      </c>
      <c r="G223" s="82" t="str">
        <f>IFERROR(IF(VLOOKUP(TableHandbook[[#This Row],[UDC]],TableAvailabilities[],2,FALSE)&gt;0,"Y",""),"")</f>
        <v>Y</v>
      </c>
      <c r="H223" s="83" t="str">
        <f>IFERROR(IF(VLOOKUP(TableHandbook[[#This Row],[UDC]],TableAvailabilities[],3,FALSE)&gt;0,"Y",""),"")</f>
        <v>Y</v>
      </c>
      <c r="I223" s="84" t="str">
        <f>IFERROR(IF(VLOOKUP(TableHandbook[[#This Row],[UDC]],TableAvailabilities[],4,FALSE)&gt;0,"Y",""),"")</f>
        <v>Y</v>
      </c>
      <c r="J223" s="85" t="str">
        <f>IFERROR(IF(VLOOKUP(TableHandbook[[#This Row],[UDC]],TableAvailabilities[],5,FALSE)&gt;0,"Y",""),"")</f>
        <v>Y</v>
      </c>
      <c r="K223" s="168"/>
      <c r="L223" s="160" t="str">
        <f>IFERROR(VLOOKUP(TableHandbook[[#This Row],[UDC]],TableBARTS[],7,FALSE),"")</f>
        <v/>
      </c>
      <c r="M223" s="65" t="str">
        <f>IFERROR(VLOOKUP(TableHandbook[[#This Row],[UDC]],TableMJRUANTSO[],7,FALSE),"")</f>
        <v/>
      </c>
      <c r="N223" s="47" t="str">
        <f>IFERROR(VLOOKUP(TableHandbook[[#This Row],[UDC]],TableMJRUCHNSE[],7,FALSE),"")</f>
        <v/>
      </c>
      <c r="O223" s="47" t="str">
        <f>IFERROR(VLOOKUP(TableHandbook[[#This Row],[UDC]],TableMJRUCRWRI[],7,FALSE),"")</f>
        <v/>
      </c>
      <c r="P223" s="47" t="str">
        <f>IFERROR(VLOOKUP(TableHandbook[[#This Row],[UDC]],TableMJRUGEOGR[],7,FALSE),"")</f>
        <v/>
      </c>
      <c r="Q223" s="47" t="str">
        <f>IFERROR(VLOOKUP(TableHandbook[[#This Row],[UDC]],TableMJRUHISTR[],7,FALSE),"")</f>
        <v/>
      </c>
      <c r="R223" s="47" t="str">
        <f>IFERROR(VLOOKUP(TableHandbook[[#This Row],[UDC]],TableMJRUINAUC[],7,FALSE),"")</f>
        <v/>
      </c>
      <c r="S223" s="47" t="str">
        <f>IFERROR(VLOOKUP(TableHandbook[[#This Row],[UDC]],TableMJRUINTRL[],7,FALSE),"")</f>
        <v/>
      </c>
      <c r="T223" s="47" t="str">
        <f>IFERROR(VLOOKUP(TableHandbook[[#This Row],[UDC]],TableMJRUJAPAN[],7,FALSE),"")</f>
        <v/>
      </c>
      <c r="U223" s="47" t="str">
        <f>IFERROR(VLOOKUP(TableHandbook[[#This Row],[UDC]],TableMJRUJOURN[],7,FALSE),"")</f>
        <v/>
      </c>
      <c r="V223" s="65" t="str">
        <f>IFERROR(VLOOKUP(TableHandbook[[#This Row],[UDC]],TableMJRUKORES[],7,FALSE),"")</f>
        <v/>
      </c>
      <c r="W223" s="65" t="str">
        <f>IFERROR(VLOOKUP(TableHandbook[[#This Row],[UDC]],TableMJRULITCU[],7,FALSE),"")</f>
        <v/>
      </c>
      <c r="X223" s="65" t="str">
        <f>IFERROR(VLOOKUP(TableHandbook[[#This Row],[UDC]],TableMJRUNETCM[],7,FALSE),"")</f>
        <v/>
      </c>
      <c r="Y223" s="65" t="str">
        <f>IFERROR(VLOOKUP(TableHandbook[[#This Row],[UDC]],TableMJRUPRWRP[],7,FALSE),"")</f>
        <v/>
      </c>
      <c r="Z223" s="65" t="str">
        <f>IFERROR(VLOOKUP(TableHandbook[[#This Row],[UDC]],TableMJRUSCSTR[],7,FALSE),"")</f>
        <v/>
      </c>
      <c r="AA223" s="74"/>
      <c r="AB223" s="43" t="str">
        <f>IFERROR(VLOOKUP(TableHandbook[[#This Row],[UDC]],TableMJRUBSLAW[],7,FALSE),"")</f>
        <v/>
      </c>
      <c r="AC223" s="66" t="str">
        <f>IFERROR(VLOOKUP(TableHandbook[[#This Row],[UDC]],TableMJRUECONS[],7,FALSE),"")</f>
        <v/>
      </c>
      <c r="AD223" s="66" t="str">
        <f>IFERROR(VLOOKUP(TableHandbook[[#This Row],[UDC]],TableMJRUFINAR[],7,FALSE),"")</f>
        <v/>
      </c>
      <c r="AE223" s="66" t="str">
        <f>IFERROR(VLOOKUP(TableHandbook[[#This Row],[UDC]],TableMJRUFINCE[],7,FALSE),"")</f>
        <v/>
      </c>
      <c r="AF223" s="66" t="str">
        <f>IFERROR(VLOOKUP(TableHandbook[[#This Row],[UDC]],TableMJRUHRMGM[],7,FALSE),"")</f>
        <v/>
      </c>
      <c r="AG223" s="66" t="str">
        <f>IFERROR(VLOOKUP(TableHandbook[[#This Row],[UDC]],TableMJRUINTBU[],7,FALSE),"")</f>
        <v>AltCore</v>
      </c>
      <c r="AH223" s="66" t="str">
        <f>IFERROR(VLOOKUP(TableHandbook[[#This Row],[UDC]],TableMJRULGSCM[],7,FALSE),"")</f>
        <v/>
      </c>
      <c r="AI223" s="66" t="str">
        <f>IFERROR(VLOOKUP(TableHandbook[[#This Row],[UDC]],TableMJRUMNGMT[],7,FALSE),"")</f>
        <v/>
      </c>
      <c r="AJ223" s="66" t="str">
        <f>IFERROR(VLOOKUP(TableHandbook[[#This Row],[UDC]],TableMJRUMRKTG[],7,FALSE),"")</f>
        <v>AltCore</v>
      </c>
      <c r="AK223" s="66" t="str">
        <f>IFERROR(VLOOKUP(TableHandbook[[#This Row],[UDC]],TableMJRUPRPTY[],7,FALSE),"")</f>
        <v/>
      </c>
      <c r="AL223" s="66" t="str">
        <f>IFERROR(VLOOKUP(TableHandbook[[#This Row],[UDC]],TableMJRUSCRAR[],7,FALSE),"")</f>
        <v/>
      </c>
      <c r="AM223" s="66" t="str">
        <f>IFERROR(VLOOKUP(TableHandbook[[#This Row],[UDC]],TableMJRUTHTRA[],7,FALSE),"")</f>
        <v/>
      </c>
      <c r="AN223" s="66" t="str">
        <f>IFERROR(VLOOKUP(TableHandbook[[#This Row],[UDC]],TableMJRUTRHOS[],7,FALSE),"")</f>
        <v/>
      </c>
    </row>
    <row r="224" spans="1:40" x14ac:dyDescent="0.25">
      <c r="A224" s="8" t="s">
        <v>387</v>
      </c>
      <c r="B224" s="9">
        <v>1</v>
      </c>
      <c r="C224" s="8"/>
      <c r="D224" s="8" t="s">
        <v>744</v>
      </c>
      <c r="E224" s="9">
        <v>25</v>
      </c>
      <c r="F224" s="49" t="s">
        <v>526</v>
      </c>
      <c r="G224" s="82" t="str">
        <f>IFERROR(IF(VLOOKUP(TableHandbook[[#This Row],[UDC]],TableAvailabilities[],2,FALSE)&gt;0,"Y",""),"")</f>
        <v>Y</v>
      </c>
      <c r="H224" s="83" t="str">
        <f>IFERROR(IF(VLOOKUP(TableHandbook[[#This Row],[UDC]],TableAvailabilities[],3,FALSE)&gt;0,"Y",""),"")</f>
        <v>Y</v>
      </c>
      <c r="I224" s="84" t="str">
        <f>IFERROR(IF(VLOOKUP(TableHandbook[[#This Row],[UDC]],TableAvailabilities[],4,FALSE)&gt;0,"Y",""),"")</f>
        <v>Y</v>
      </c>
      <c r="J224" s="85" t="str">
        <f>IFERROR(IF(VLOOKUP(TableHandbook[[#This Row],[UDC]],TableAvailabilities[],5,FALSE)&gt;0,"Y",""),"")</f>
        <v>Y</v>
      </c>
      <c r="K224" s="168"/>
      <c r="L224" s="160" t="str">
        <f>IFERROR(VLOOKUP(TableHandbook[[#This Row],[UDC]],TableBARTS[],7,FALSE),"")</f>
        <v/>
      </c>
      <c r="M224" s="65" t="str">
        <f>IFERROR(VLOOKUP(TableHandbook[[#This Row],[UDC]],TableMJRUANTSO[],7,FALSE),"")</f>
        <v/>
      </c>
      <c r="N224" s="47" t="str">
        <f>IFERROR(VLOOKUP(TableHandbook[[#This Row],[UDC]],TableMJRUCHNSE[],7,FALSE),"")</f>
        <v/>
      </c>
      <c r="O224" s="47" t="str">
        <f>IFERROR(VLOOKUP(TableHandbook[[#This Row],[UDC]],TableMJRUCRWRI[],7,FALSE),"")</f>
        <v/>
      </c>
      <c r="P224" s="47" t="str">
        <f>IFERROR(VLOOKUP(TableHandbook[[#This Row],[UDC]],TableMJRUGEOGR[],7,FALSE),"")</f>
        <v/>
      </c>
      <c r="Q224" s="47" t="str">
        <f>IFERROR(VLOOKUP(TableHandbook[[#This Row],[UDC]],TableMJRUHISTR[],7,FALSE),"")</f>
        <v/>
      </c>
      <c r="R224" s="47" t="str">
        <f>IFERROR(VLOOKUP(TableHandbook[[#This Row],[UDC]],TableMJRUINAUC[],7,FALSE),"")</f>
        <v/>
      </c>
      <c r="S224" s="47" t="str">
        <f>IFERROR(VLOOKUP(TableHandbook[[#This Row],[UDC]],TableMJRUINTRL[],7,FALSE),"")</f>
        <v/>
      </c>
      <c r="T224" s="47" t="str">
        <f>IFERROR(VLOOKUP(TableHandbook[[#This Row],[UDC]],TableMJRUJAPAN[],7,FALSE),"")</f>
        <v/>
      </c>
      <c r="U224" s="47" t="str">
        <f>IFERROR(VLOOKUP(TableHandbook[[#This Row],[UDC]],TableMJRUJOURN[],7,FALSE),"")</f>
        <v/>
      </c>
      <c r="V224" s="65" t="str">
        <f>IFERROR(VLOOKUP(TableHandbook[[#This Row],[UDC]],TableMJRUKORES[],7,FALSE),"")</f>
        <v/>
      </c>
      <c r="W224" s="65" t="str">
        <f>IFERROR(VLOOKUP(TableHandbook[[#This Row],[UDC]],TableMJRULITCU[],7,FALSE),"")</f>
        <v/>
      </c>
      <c r="X224" s="65" t="str">
        <f>IFERROR(VLOOKUP(TableHandbook[[#This Row],[UDC]],TableMJRUNETCM[],7,FALSE),"")</f>
        <v/>
      </c>
      <c r="Y224" s="65" t="str">
        <f>IFERROR(VLOOKUP(TableHandbook[[#This Row],[UDC]],TableMJRUPRWRP[],7,FALSE),"")</f>
        <v/>
      </c>
      <c r="Z224" s="65" t="str">
        <f>IFERROR(VLOOKUP(TableHandbook[[#This Row],[UDC]],TableMJRUSCSTR[],7,FALSE),"")</f>
        <v/>
      </c>
      <c r="AA224" s="74"/>
      <c r="AB224" s="43" t="str">
        <f>IFERROR(VLOOKUP(TableHandbook[[#This Row],[UDC]],TableMJRUBSLAW[],7,FALSE),"")</f>
        <v/>
      </c>
      <c r="AC224" s="66" t="str">
        <f>IFERROR(VLOOKUP(TableHandbook[[#This Row],[UDC]],TableMJRUECONS[],7,FALSE),"")</f>
        <v/>
      </c>
      <c r="AD224" s="66" t="str">
        <f>IFERROR(VLOOKUP(TableHandbook[[#This Row],[UDC]],TableMJRUFINAR[],7,FALSE),"")</f>
        <v/>
      </c>
      <c r="AE224" s="66" t="str">
        <f>IFERROR(VLOOKUP(TableHandbook[[#This Row],[UDC]],TableMJRUFINCE[],7,FALSE),"")</f>
        <v/>
      </c>
      <c r="AF224" s="66" t="str">
        <f>IFERROR(VLOOKUP(TableHandbook[[#This Row],[UDC]],TableMJRUHRMGM[],7,FALSE),"")</f>
        <v/>
      </c>
      <c r="AG224" s="66" t="str">
        <f>IFERROR(VLOOKUP(TableHandbook[[#This Row],[UDC]],TableMJRUINTBU[],7,FALSE),"")</f>
        <v/>
      </c>
      <c r="AH224" s="66" t="str">
        <f>IFERROR(VLOOKUP(TableHandbook[[#This Row],[UDC]],TableMJRULGSCM[],7,FALSE),"")</f>
        <v/>
      </c>
      <c r="AI224" s="66" t="str">
        <f>IFERROR(VLOOKUP(TableHandbook[[#This Row],[UDC]],TableMJRUMNGMT[],7,FALSE),"")</f>
        <v/>
      </c>
      <c r="AJ224" s="66" t="str">
        <f>IFERROR(VLOOKUP(TableHandbook[[#This Row],[UDC]],TableMJRUMRKTG[],7,FALSE),"")</f>
        <v>Core</v>
      </c>
      <c r="AK224" s="66" t="str">
        <f>IFERROR(VLOOKUP(TableHandbook[[#This Row],[UDC]],TableMJRUPRPTY[],7,FALSE),"")</f>
        <v/>
      </c>
      <c r="AL224" s="66" t="str">
        <f>IFERROR(VLOOKUP(TableHandbook[[#This Row],[UDC]],TableMJRUSCRAR[],7,FALSE),"")</f>
        <v/>
      </c>
      <c r="AM224" s="66" t="str">
        <f>IFERROR(VLOOKUP(TableHandbook[[#This Row],[UDC]],TableMJRUTHTRA[],7,FALSE),"")</f>
        <v/>
      </c>
      <c r="AN224" s="66" t="str">
        <f>IFERROR(VLOOKUP(TableHandbook[[#This Row],[UDC]],TableMJRUTRHOS[],7,FALSE),"")</f>
        <v/>
      </c>
    </row>
    <row r="225" spans="1:40" x14ac:dyDescent="0.25">
      <c r="A225" s="8" t="s">
        <v>427</v>
      </c>
      <c r="B225" s="9">
        <v>2</v>
      </c>
      <c r="C225" s="8"/>
      <c r="D225" s="8" t="s">
        <v>745</v>
      </c>
      <c r="E225" s="9">
        <v>25</v>
      </c>
      <c r="F225" s="49" t="s">
        <v>746</v>
      </c>
      <c r="G225" s="82" t="str">
        <f>IFERROR(IF(VLOOKUP(TableHandbook[[#This Row],[UDC]],TableAvailabilities[],2,FALSE)&gt;0,"Y",""),"")</f>
        <v>Y</v>
      </c>
      <c r="H225" s="83" t="str">
        <f>IFERROR(IF(VLOOKUP(TableHandbook[[#This Row],[UDC]],TableAvailabilities[],3,FALSE)&gt;0,"Y",""),"")</f>
        <v>Y</v>
      </c>
      <c r="I225" s="84" t="str">
        <f>IFERROR(IF(VLOOKUP(TableHandbook[[#This Row],[UDC]],TableAvailabilities[],4,FALSE)&gt;0,"Y",""),"")</f>
        <v>Y</v>
      </c>
      <c r="J225" s="85" t="str">
        <f>IFERROR(IF(VLOOKUP(TableHandbook[[#This Row],[UDC]],TableAvailabilities[],5,FALSE)&gt;0,"Y",""),"")</f>
        <v>Y</v>
      </c>
      <c r="K225" s="163"/>
      <c r="L225" s="160" t="str">
        <f>IFERROR(VLOOKUP(TableHandbook[[#This Row],[UDC]],TableBARTS[],7,FALSE),"")</f>
        <v/>
      </c>
      <c r="M225" s="65" t="str">
        <f>IFERROR(VLOOKUP(TableHandbook[[#This Row],[UDC]],TableMJRUANTSO[],7,FALSE),"")</f>
        <v/>
      </c>
      <c r="N225" s="47" t="str">
        <f>IFERROR(VLOOKUP(TableHandbook[[#This Row],[UDC]],TableMJRUCHNSE[],7,FALSE),"")</f>
        <v/>
      </c>
      <c r="O225" s="47" t="str">
        <f>IFERROR(VLOOKUP(TableHandbook[[#This Row],[UDC]],TableMJRUCRWRI[],7,FALSE),"")</f>
        <v/>
      </c>
      <c r="P225" s="47" t="str">
        <f>IFERROR(VLOOKUP(TableHandbook[[#This Row],[UDC]],TableMJRUGEOGR[],7,FALSE),"")</f>
        <v/>
      </c>
      <c r="Q225" s="47" t="str">
        <f>IFERROR(VLOOKUP(TableHandbook[[#This Row],[UDC]],TableMJRUHISTR[],7,FALSE),"")</f>
        <v/>
      </c>
      <c r="R225" s="47" t="str">
        <f>IFERROR(VLOOKUP(TableHandbook[[#This Row],[UDC]],TableMJRUINAUC[],7,FALSE),"")</f>
        <v/>
      </c>
      <c r="S225" s="47" t="str">
        <f>IFERROR(VLOOKUP(TableHandbook[[#This Row],[UDC]],TableMJRUINTRL[],7,FALSE),"")</f>
        <v/>
      </c>
      <c r="T225" s="47" t="str">
        <f>IFERROR(VLOOKUP(TableHandbook[[#This Row],[UDC]],TableMJRUJAPAN[],7,FALSE),"")</f>
        <v/>
      </c>
      <c r="U225" s="47" t="str">
        <f>IFERROR(VLOOKUP(TableHandbook[[#This Row],[UDC]],TableMJRUJOURN[],7,FALSE),"")</f>
        <v/>
      </c>
      <c r="V225" s="65" t="str">
        <f>IFERROR(VLOOKUP(TableHandbook[[#This Row],[UDC]],TableMJRUKORES[],7,FALSE),"")</f>
        <v/>
      </c>
      <c r="W225" s="65" t="str">
        <f>IFERROR(VLOOKUP(TableHandbook[[#This Row],[UDC]],TableMJRULITCU[],7,FALSE),"")</f>
        <v/>
      </c>
      <c r="X225" s="65" t="str">
        <f>IFERROR(VLOOKUP(TableHandbook[[#This Row],[UDC]],TableMJRUNETCM[],7,FALSE),"")</f>
        <v/>
      </c>
      <c r="Y225" s="65" t="str">
        <f>IFERROR(VLOOKUP(TableHandbook[[#This Row],[UDC]],TableMJRUPRWRP[],7,FALSE),"")</f>
        <v/>
      </c>
      <c r="Z225" s="65" t="str">
        <f>IFERROR(VLOOKUP(TableHandbook[[#This Row],[UDC]],TableMJRUSCSTR[],7,FALSE),"")</f>
        <v/>
      </c>
      <c r="AA225" s="74"/>
      <c r="AB225" s="43" t="str">
        <f>IFERROR(VLOOKUP(TableHandbook[[#This Row],[UDC]],TableMJRUBSLAW[],7,FALSE),"")</f>
        <v/>
      </c>
      <c r="AC225" s="66" t="str">
        <f>IFERROR(VLOOKUP(TableHandbook[[#This Row],[UDC]],TableMJRUECONS[],7,FALSE),"")</f>
        <v/>
      </c>
      <c r="AD225" s="66" t="str">
        <f>IFERROR(VLOOKUP(TableHandbook[[#This Row],[UDC]],TableMJRUFINAR[],7,FALSE),"")</f>
        <v/>
      </c>
      <c r="AE225" s="66" t="str">
        <f>IFERROR(VLOOKUP(TableHandbook[[#This Row],[UDC]],TableMJRUFINCE[],7,FALSE),"")</f>
        <v/>
      </c>
      <c r="AF225" s="66" t="str">
        <f>IFERROR(VLOOKUP(TableHandbook[[#This Row],[UDC]],TableMJRUHRMGM[],7,FALSE),"")</f>
        <v/>
      </c>
      <c r="AG225" s="66" t="str">
        <f>IFERROR(VLOOKUP(TableHandbook[[#This Row],[UDC]],TableMJRUINTBU[],7,FALSE),"")</f>
        <v/>
      </c>
      <c r="AH225" s="66" t="str">
        <f>IFERROR(VLOOKUP(TableHandbook[[#This Row],[UDC]],TableMJRULGSCM[],7,FALSE),"")</f>
        <v/>
      </c>
      <c r="AI225" s="66" t="str">
        <f>IFERROR(VLOOKUP(TableHandbook[[#This Row],[UDC]],TableMJRUMNGMT[],7,FALSE),"")</f>
        <v/>
      </c>
      <c r="AJ225" s="66" t="str">
        <f>IFERROR(VLOOKUP(TableHandbook[[#This Row],[UDC]],TableMJRUMRKTG[],7,FALSE),"")</f>
        <v>Core</v>
      </c>
      <c r="AK225" s="66" t="str">
        <f>IFERROR(VLOOKUP(TableHandbook[[#This Row],[UDC]],TableMJRUPRPTY[],7,FALSE),"")</f>
        <v/>
      </c>
      <c r="AL225" s="66" t="str">
        <f>IFERROR(VLOOKUP(TableHandbook[[#This Row],[UDC]],TableMJRUSCRAR[],7,FALSE),"")</f>
        <v/>
      </c>
      <c r="AM225" s="66" t="str">
        <f>IFERROR(VLOOKUP(TableHandbook[[#This Row],[UDC]],TableMJRUTHTRA[],7,FALSE),"")</f>
        <v/>
      </c>
      <c r="AN225" s="66" t="str">
        <f>IFERROR(VLOOKUP(TableHandbook[[#This Row],[UDC]],TableMJRUTRHOS[],7,FALSE),"")</f>
        <v/>
      </c>
    </row>
    <row r="226" spans="1:40" x14ac:dyDescent="0.25">
      <c r="A226" s="8" t="s">
        <v>403</v>
      </c>
      <c r="B226" s="9">
        <v>2</v>
      </c>
      <c r="C226" s="8"/>
      <c r="D226" s="8" t="s">
        <v>747</v>
      </c>
      <c r="E226" s="9">
        <v>25</v>
      </c>
      <c r="F226" s="49" t="s">
        <v>526</v>
      </c>
      <c r="G226" s="67" t="str">
        <f>IFERROR(IF(VLOOKUP(TableHandbook[[#This Row],[UDC]],TableAvailabilities[],2,FALSE)&gt;0,"Y",""),"")</f>
        <v>Y</v>
      </c>
      <c r="H226" s="68" t="str">
        <f>IFERROR(IF(VLOOKUP(TableHandbook[[#This Row],[UDC]],TableAvailabilities[],3,FALSE)&gt;0,"Y",""),"")</f>
        <v>Y</v>
      </c>
      <c r="I226" s="69" t="str">
        <f>IFERROR(IF(VLOOKUP(TableHandbook[[#This Row],[UDC]],TableAvailabilities[],4,FALSE)&gt;0,"Y",""),"")</f>
        <v>Y</v>
      </c>
      <c r="J226" s="70" t="str">
        <f>IFERROR(IF(VLOOKUP(TableHandbook[[#This Row],[UDC]],TableAvailabilities[],5,FALSE)&gt;0,"Y",""),"")</f>
        <v>Y</v>
      </c>
      <c r="K226" s="163"/>
      <c r="L226" s="160" t="str">
        <f>IFERROR(VLOOKUP(TableHandbook[[#This Row],[UDC]],TableBARTS[],7,FALSE),"")</f>
        <v/>
      </c>
      <c r="M226" s="65" t="str">
        <f>IFERROR(VLOOKUP(TableHandbook[[#This Row],[UDC]],TableMJRUANTSO[],7,FALSE),"")</f>
        <v/>
      </c>
      <c r="N226" s="47" t="str">
        <f>IFERROR(VLOOKUP(TableHandbook[[#This Row],[UDC]],TableMJRUCHNSE[],7,FALSE),"")</f>
        <v/>
      </c>
      <c r="O226" s="47" t="str">
        <f>IFERROR(VLOOKUP(TableHandbook[[#This Row],[UDC]],TableMJRUCRWRI[],7,FALSE),"")</f>
        <v/>
      </c>
      <c r="P226" s="47" t="str">
        <f>IFERROR(VLOOKUP(TableHandbook[[#This Row],[UDC]],TableMJRUGEOGR[],7,FALSE),"")</f>
        <v/>
      </c>
      <c r="Q226" s="47" t="str">
        <f>IFERROR(VLOOKUP(TableHandbook[[#This Row],[UDC]],TableMJRUHISTR[],7,FALSE),"")</f>
        <v/>
      </c>
      <c r="R226" s="47" t="str">
        <f>IFERROR(VLOOKUP(TableHandbook[[#This Row],[UDC]],TableMJRUINAUC[],7,FALSE),"")</f>
        <v/>
      </c>
      <c r="S226" s="47" t="str">
        <f>IFERROR(VLOOKUP(TableHandbook[[#This Row],[UDC]],TableMJRUINTRL[],7,FALSE),"")</f>
        <v/>
      </c>
      <c r="T226" s="47" t="str">
        <f>IFERROR(VLOOKUP(TableHandbook[[#This Row],[UDC]],TableMJRUJAPAN[],7,FALSE),"")</f>
        <v/>
      </c>
      <c r="U226" s="47" t="str">
        <f>IFERROR(VLOOKUP(TableHandbook[[#This Row],[UDC]],TableMJRUJOURN[],7,FALSE),"")</f>
        <v/>
      </c>
      <c r="V226" s="65" t="str">
        <f>IFERROR(VLOOKUP(TableHandbook[[#This Row],[UDC]],TableMJRUKORES[],7,FALSE),"")</f>
        <v/>
      </c>
      <c r="W226" s="65" t="str">
        <f>IFERROR(VLOOKUP(TableHandbook[[#This Row],[UDC]],TableMJRULITCU[],7,FALSE),"")</f>
        <v/>
      </c>
      <c r="X226" s="65" t="str">
        <f>IFERROR(VLOOKUP(TableHandbook[[#This Row],[UDC]],TableMJRUNETCM[],7,FALSE),"")</f>
        <v/>
      </c>
      <c r="Y226" s="65" t="str">
        <f>IFERROR(VLOOKUP(TableHandbook[[#This Row],[UDC]],TableMJRUPRWRP[],7,FALSE),"")</f>
        <v/>
      </c>
      <c r="Z226" s="65" t="str">
        <f>IFERROR(VLOOKUP(TableHandbook[[#This Row],[UDC]],TableMJRUSCSTR[],7,FALSE),"")</f>
        <v/>
      </c>
      <c r="AA226" s="74"/>
      <c r="AB226" s="43" t="str">
        <f>IFERROR(VLOOKUP(TableHandbook[[#This Row],[UDC]],TableMJRUBSLAW[],7,FALSE),"")</f>
        <v/>
      </c>
      <c r="AC226" s="66" t="str">
        <f>IFERROR(VLOOKUP(TableHandbook[[#This Row],[UDC]],TableMJRUECONS[],7,FALSE),"")</f>
        <v/>
      </c>
      <c r="AD226" s="66" t="str">
        <f>IFERROR(VLOOKUP(TableHandbook[[#This Row],[UDC]],TableMJRUFINAR[],7,FALSE),"")</f>
        <v/>
      </c>
      <c r="AE226" s="66" t="str">
        <f>IFERROR(VLOOKUP(TableHandbook[[#This Row],[UDC]],TableMJRUFINCE[],7,FALSE),"")</f>
        <v/>
      </c>
      <c r="AF226" s="66" t="str">
        <f>IFERROR(VLOOKUP(TableHandbook[[#This Row],[UDC]],TableMJRUHRMGM[],7,FALSE),"")</f>
        <v/>
      </c>
      <c r="AG226" s="66" t="str">
        <f>IFERROR(VLOOKUP(TableHandbook[[#This Row],[UDC]],TableMJRUINTBU[],7,FALSE),"")</f>
        <v/>
      </c>
      <c r="AH226" s="66" t="str">
        <f>IFERROR(VLOOKUP(TableHandbook[[#This Row],[UDC]],TableMJRULGSCM[],7,FALSE),"")</f>
        <v/>
      </c>
      <c r="AI226" s="66" t="str">
        <f>IFERROR(VLOOKUP(TableHandbook[[#This Row],[UDC]],TableMJRUMNGMT[],7,FALSE),"")</f>
        <v/>
      </c>
      <c r="AJ226" s="66" t="str">
        <f>IFERROR(VLOOKUP(TableHandbook[[#This Row],[UDC]],TableMJRUMRKTG[],7,FALSE),"")</f>
        <v>Core</v>
      </c>
      <c r="AK226" s="66" t="str">
        <f>IFERROR(VLOOKUP(TableHandbook[[#This Row],[UDC]],TableMJRUPRPTY[],7,FALSE),"")</f>
        <v/>
      </c>
      <c r="AL226" s="66" t="str">
        <f>IFERROR(VLOOKUP(TableHandbook[[#This Row],[UDC]],TableMJRUSCRAR[],7,FALSE),"")</f>
        <v/>
      </c>
      <c r="AM226" s="66" t="str">
        <f>IFERROR(VLOOKUP(TableHandbook[[#This Row],[UDC]],TableMJRUTHTRA[],7,FALSE),"")</f>
        <v/>
      </c>
      <c r="AN226" s="66" t="str">
        <f>IFERROR(VLOOKUP(TableHandbook[[#This Row],[UDC]],TableMJRUTRHOS[],7,FALSE),"")</f>
        <v/>
      </c>
    </row>
    <row r="227" spans="1:40" x14ac:dyDescent="0.25">
      <c r="A227" s="8" t="s">
        <v>404</v>
      </c>
      <c r="B227" s="9">
        <v>3</v>
      </c>
      <c r="C227" s="8"/>
      <c r="D227" s="8" t="s">
        <v>748</v>
      </c>
      <c r="E227" s="9">
        <v>25</v>
      </c>
      <c r="F227" s="49" t="s">
        <v>526</v>
      </c>
      <c r="G227" s="67" t="str">
        <f>IFERROR(IF(VLOOKUP(TableHandbook[[#This Row],[UDC]],TableAvailabilities[],2,FALSE)&gt;0,"Y",""),"")</f>
        <v>Y</v>
      </c>
      <c r="H227" s="68" t="str">
        <f>IFERROR(IF(VLOOKUP(TableHandbook[[#This Row],[UDC]],TableAvailabilities[],3,FALSE)&gt;0,"Y",""),"")</f>
        <v>Y</v>
      </c>
      <c r="I227" s="69" t="str">
        <f>IFERROR(IF(VLOOKUP(TableHandbook[[#This Row],[UDC]],TableAvailabilities[],4,FALSE)&gt;0,"Y",""),"")</f>
        <v>Y</v>
      </c>
      <c r="J227" s="70" t="str">
        <f>IFERROR(IF(VLOOKUP(TableHandbook[[#This Row],[UDC]],TableAvailabilities[],5,FALSE)&gt;0,"Y",""),"")</f>
        <v>Y</v>
      </c>
      <c r="K227" s="164" t="s">
        <v>533</v>
      </c>
      <c r="L227" s="160" t="str">
        <f>IFERROR(VLOOKUP(TableHandbook[[#This Row],[UDC]],TableBARTS[],7,FALSE),"")</f>
        <v/>
      </c>
      <c r="M227" s="65" t="str">
        <f>IFERROR(VLOOKUP(TableHandbook[[#This Row],[UDC]],TableMJRUANTSO[],7,FALSE),"")</f>
        <v/>
      </c>
      <c r="N227" s="65" t="str">
        <f>IFERROR(VLOOKUP(TableHandbook[[#This Row],[UDC]],TableMJRUCHNSE[],7,FALSE),"")</f>
        <v/>
      </c>
      <c r="O227" s="65" t="str">
        <f>IFERROR(VLOOKUP(TableHandbook[[#This Row],[UDC]],TableMJRUCRWRI[],7,FALSE),"")</f>
        <v/>
      </c>
      <c r="P227" s="65" t="str">
        <f>IFERROR(VLOOKUP(TableHandbook[[#This Row],[UDC]],TableMJRUGEOGR[],7,FALSE),"")</f>
        <v/>
      </c>
      <c r="Q227" s="65" t="str">
        <f>IFERROR(VLOOKUP(TableHandbook[[#This Row],[UDC]],TableMJRUHISTR[],7,FALSE),"")</f>
        <v/>
      </c>
      <c r="R227" s="65" t="str">
        <f>IFERROR(VLOOKUP(TableHandbook[[#This Row],[UDC]],TableMJRUINAUC[],7,FALSE),"")</f>
        <v/>
      </c>
      <c r="S227" s="65" t="str">
        <f>IFERROR(VLOOKUP(TableHandbook[[#This Row],[UDC]],TableMJRUINTRL[],7,FALSE),"")</f>
        <v/>
      </c>
      <c r="T227" s="65" t="str">
        <f>IFERROR(VLOOKUP(TableHandbook[[#This Row],[UDC]],TableMJRUJAPAN[],7,FALSE),"")</f>
        <v/>
      </c>
      <c r="U227" s="65" t="str">
        <f>IFERROR(VLOOKUP(TableHandbook[[#This Row],[UDC]],TableMJRUJOURN[],7,FALSE),"")</f>
        <v/>
      </c>
      <c r="V227" s="65" t="str">
        <f>IFERROR(VLOOKUP(TableHandbook[[#This Row],[UDC]],TableMJRUKORES[],7,FALSE),"")</f>
        <v/>
      </c>
      <c r="W227" s="65" t="str">
        <f>IFERROR(VLOOKUP(TableHandbook[[#This Row],[UDC]],TableMJRULITCU[],7,FALSE),"")</f>
        <v/>
      </c>
      <c r="X227" s="65" t="str">
        <f>IFERROR(VLOOKUP(TableHandbook[[#This Row],[UDC]],TableMJRUNETCM[],7,FALSE),"")</f>
        <v/>
      </c>
      <c r="Y227" s="65" t="str">
        <f>IFERROR(VLOOKUP(TableHandbook[[#This Row],[UDC]],TableMJRUPRWRP[],7,FALSE),"")</f>
        <v/>
      </c>
      <c r="Z227" s="65" t="str">
        <f>IFERROR(VLOOKUP(TableHandbook[[#This Row],[UDC]],TableMJRUSCSTR[],7,FALSE),"")</f>
        <v/>
      </c>
      <c r="AA227" s="74"/>
      <c r="AB227" s="43" t="str">
        <f>IFERROR(VLOOKUP(TableHandbook[[#This Row],[UDC]],TableMJRUBSLAW[],7,FALSE),"")</f>
        <v/>
      </c>
      <c r="AC227" s="66" t="str">
        <f>IFERROR(VLOOKUP(TableHandbook[[#This Row],[UDC]],TableMJRUECONS[],7,FALSE),"")</f>
        <v/>
      </c>
      <c r="AD227" s="66" t="str">
        <f>IFERROR(VLOOKUP(TableHandbook[[#This Row],[UDC]],TableMJRUFINAR[],7,FALSE),"")</f>
        <v/>
      </c>
      <c r="AE227" s="66" t="str">
        <f>IFERROR(VLOOKUP(TableHandbook[[#This Row],[UDC]],TableMJRUFINCE[],7,FALSE),"")</f>
        <v/>
      </c>
      <c r="AF227" s="66" t="str">
        <f>IFERROR(VLOOKUP(TableHandbook[[#This Row],[UDC]],TableMJRUHRMGM[],7,FALSE),"")</f>
        <v/>
      </c>
      <c r="AG227" s="66" t="str">
        <f>IFERROR(VLOOKUP(TableHandbook[[#This Row],[UDC]],TableMJRUINTBU[],7,FALSE),"")</f>
        <v/>
      </c>
      <c r="AH227" s="66" t="str">
        <f>IFERROR(VLOOKUP(TableHandbook[[#This Row],[UDC]],TableMJRULGSCM[],7,FALSE),"")</f>
        <v/>
      </c>
      <c r="AI227" s="66" t="str">
        <f>IFERROR(VLOOKUP(TableHandbook[[#This Row],[UDC]],TableMJRUMNGMT[],7,FALSE),"")</f>
        <v/>
      </c>
      <c r="AJ227" s="66" t="str">
        <f>IFERROR(VLOOKUP(TableHandbook[[#This Row],[UDC]],TableMJRUMRKTG[],7,FALSE),"")</f>
        <v>Core</v>
      </c>
      <c r="AK227" s="66" t="str">
        <f>IFERROR(VLOOKUP(TableHandbook[[#This Row],[UDC]],TableMJRUPRPTY[],7,FALSE),"")</f>
        <v/>
      </c>
      <c r="AL227" s="66" t="str">
        <f>IFERROR(VLOOKUP(TableHandbook[[#This Row],[UDC]],TableMJRUSCRAR[],7,FALSE),"")</f>
        <v/>
      </c>
      <c r="AM227" s="66" t="str">
        <f>IFERROR(VLOOKUP(TableHandbook[[#This Row],[UDC]],TableMJRUTHTRA[],7,FALSE),"")</f>
        <v/>
      </c>
      <c r="AN227" s="66" t="str">
        <f>IFERROR(VLOOKUP(TableHandbook[[#This Row],[UDC]],TableMJRUTRHOS[],7,FALSE),"")</f>
        <v/>
      </c>
    </row>
    <row r="228" spans="1:40" x14ac:dyDescent="0.25">
      <c r="A228" s="8" t="s">
        <v>749</v>
      </c>
      <c r="B228" s="9">
        <v>2</v>
      </c>
      <c r="C228" s="8"/>
      <c r="D228" s="8" t="s">
        <v>750</v>
      </c>
      <c r="E228" s="9">
        <v>25</v>
      </c>
      <c r="F228" s="49" t="s">
        <v>526</v>
      </c>
      <c r="G228" s="67" t="str">
        <f>IFERROR(IF(VLOOKUP(TableHandbook[[#This Row],[UDC]],TableAvailabilities[],2,FALSE)&gt;0,"Y",""),"")</f>
        <v/>
      </c>
      <c r="H228" s="68" t="str">
        <f>IFERROR(IF(VLOOKUP(TableHandbook[[#This Row],[UDC]],TableAvailabilities[],3,FALSE)&gt;0,"Y",""),"")</f>
        <v/>
      </c>
      <c r="I228" s="69" t="str">
        <f>IFERROR(IF(VLOOKUP(TableHandbook[[#This Row],[UDC]],TableAvailabilities[],4,FALSE)&gt;0,"Y",""),"")</f>
        <v/>
      </c>
      <c r="J228" s="70" t="str">
        <f>IFERROR(IF(VLOOKUP(TableHandbook[[#This Row],[UDC]],TableAvailabilities[],5,FALSE)&gt;0,"Y",""),"")</f>
        <v/>
      </c>
      <c r="K228" s="164" t="s">
        <v>535</v>
      </c>
      <c r="L228" s="160" t="str">
        <f>IFERROR(VLOOKUP(TableHandbook[[#This Row],[UDC]],TableBARTS[],7,FALSE),"")</f>
        <v/>
      </c>
      <c r="M228" s="65" t="str">
        <f>IFERROR(VLOOKUP(TableHandbook[[#This Row],[UDC]],TableMJRUANTSO[],7,FALSE),"")</f>
        <v/>
      </c>
      <c r="N228" s="65" t="str">
        <f>IFERROR(VLOOKUP(TableHandbook[[#This Row],[UDC]],TableMJRUCHNSE[],7,FALSE),"")</f>
        <v/>
      </c>
      <c r="O228" s="65" t="str">
        <f>IFERROR(VLOOKUP(TableHandbook[[#This Row],[UDC]],TableMJRUCRWRI[],7,FALSE),"")</f>
        <v/>
      </c>
      <c r="P228" s="65" t="str">
        <f>IFERROR(VLOOKUP(TableHandbook[[#This Row],[UDC]],TableMJRUGEOGR[],7,FALSE),"")</f>
        <v/>
      </c>
      <c r="Q228" s="65" t="str">
        <f>IFERROR(VLOOKUP(TableHandbook[[#This Row],[UDC]],TableMJRUHISTR[],7,FALSE),"")</f>
        <v/>
      </c>
      <c r="R228" s="65" t="str">
        <f>IFERROR(VLOOKUP(TableHandbook[[#This Row],[UDC]],TableMJRUINAUC[],7,FALSE),"")</f>
        <v/>
      </c>
      <c r="S228" s="65" t="str">
        <f>IFERROR(VLOOKUP(TableHandbook[[#This Row],[UDC]],TableMJRUINTRL[],7,FALSE),"")</f>
        <v/>
      </c>
      <c r="T228" s="65" t="str">
        <f>IFERROR(VLOOKUP(TableHandbook[[#This Row],[UDC]],TableMJRUJAPAN[],7,FALSE),"")</f>
        <v/>
      </c>
      <c r="U228" s="65" t="str">
        <f>IFERROR(VLOOKUP(TableHandbook[[#This Row],[UDC]],TableMJRUJOURN[],7,FALSE),"")</f>
        <v/>
      </c>
      <c r="V228" s="65" t="str">
        <f>IFERROR(VLOOKUP(TableHandbook[[#This Row],[UDC]],TableMJRUKORES[],7,FALSE),"")</f>
        <v/>
      </c>
      <c r="W228" s="65" t="str">
        <f>IFERROR(VLOOKUP(TableHandbook[[#This Row],[UDC]],TableMJRULITCU[],7,FALSE),"")</f>
        <v/>
      </c>
      <c r="X228" s="65" t="str">
        <f>IFERROR(VLOOKUP(TableHandbook[[#This Row],[UDC]],TableMJRUNETCM[],7,FALSE),"")</f>
        <v/>
      </c>
      <c r="Y228" s="65" t="str">
        <f>IFERROR(VLOOKUP(TableHandbook[[#This Row],[UDC]],TableMJRUPRWRP[],7,FALSE),"")</f>
        <v/>
      </c>
      <c r="Z228" s="65" t="str">
        <f>IFERROR(VLOOKUP(TableHandbook[[#This Row],[UDC]],TableMJRUSCSTR[],7,FALSE),"")</f>
        <v/>
      </c>
      <c r="AA228" s="74"/>
      <c r="AB228" s="43" t="str">
        <f>IFERROR(VLOOKUP(TableHandbook[[#This Row],[UDC]],TableMJRUBSLAW[],7,FALSE),"")</f>
        <v/>
      </c>
      <c r="AC228" s="66" t="str">
        <f>IFERROR(VLOOKUP(TableHandbook[[#This Row],[UDC]],TableMJRUECONS[],7,FALSE),"")</f>
        <v/>
      </c>
      <c r="AD228" s="66" t="str">
        <f>IFERROR(VLOOKUP(TableHandbook[[#This Row],[UDC]],TableMJRUFINAR[],7,FALSE),"")</f>
        <v/>
      </c>
      <c r="AE228" s="66" t="str">
        <f>IFERROR(VLOOKUP(TableHandbook[[#This Row],[UDC]],TableMJRUFINCE[],7,FALSE),"")</f>
        <v/>
      </c>
      <c r="AF228" s="66" t="str">
        <f>IFERROR(VLOOKUP(TableHandbook[[#This Row],[UDC]],TableMJRUHRMGM[],7,FALSE),"")</f>
        <v/>
      </c>
      <c r="AG228" s="66" t="str">
        <f>IFERROR(VLOOKUP(TableHandbook[[#This Row],[UDC]],TableMJRUINTBU[],7,FALSE),"")</f>
        <v/>
      </c>
      <c r="AH228" s="66" t="str">
        <f>IFERROR(VLOOKUP(TableHandbook[[#This Row],[UDC]],TableMJRULGSCM[],7,FALSE),"")</f>
        <v/>
      </c>
      <c r="AI228" s="66" t="str">
        <f>IFERROR(VLOOKUP(TableHandbook[[#This Row],[UDC]],TableMJRUMNGMT[],7,FALSE),"")</f>
        <v/>
      </c>
      <c r="AJ228" s="66" t="str">
        <f>IFERROR(VLOOKUP(TableHandbook[[#This Row],[UDC]],TableMJRUMRKTG[],7,FALSE),"")</f>
        <v/>
      </c>
      <c r="AK228" s="66" t="str">
        <f>IFERROR(VLOOKUP(TableHandbook[[#This Row],[UDC]],TableMJRUPRPTY[],7,FALSE),"")</f>
        <v/>
      </c>
      <c r="AL228" s="66" t="str">
        <f>IFERROR(VLOOKUP(TableHandbook[[#This Row],[UDC]],TableMJRUSCRAR[],7,FALSE),"")</f>
        <v/>
      </c>
      <c r="AM228" s="66" t="str">
        <f>IFERROR(VLOOKUP(TableHandbook[[#This Row],[UDC]],TableMJRUTHTRA[],7,FALSE),"")</f>
        <v/>
      </c>
      <c r="AN228" s="66" t="str">
        <f>IFERROR(VLOOKUP(TableHandbook[[#This Row],[UDC]],TableMJRUTRHOS[],7,FALSE),"")</f>
        <v/>
      </c>
    </row>
    <row r="229" spans="1:40" ht="26.25" x14ac:dyDescent="0.25">
      <c r="A229" s="8" t="s">
        <v>453</v>
      </c>
      <c r="B229" s="9">
        <v>2</v>
      </c>
      <c r="C229" s="8"/>
      <c r="D229" s="8" t="s">
        <v>751</v>
      </c>
      <c r="E229" s="9">
        <v>25</v>
      </c>
      <c r="F229" s="49" t="s">
        <v>752</v>
      </c>
      <c r="G229" s="67" t="str">
        <f>IFERROR(IF(VLOOKUP(TableHandbook[[#This Row],[UDC]],TableAvailabilities[],2,FALSE)&gt;0,"Y",""),"")</f>
        <v>Y</v>
      </c>
      <c r="H229" s="68" t="str">
        <f>IFERROR(IF(VLOOKUP(TableHandbook[[#This Row],[UDC]],TableAvailabilities[],3,FALSE)&gt;0,"Y",""),"")</f>
        <v>Y</v>
      </c>
      <c r="I229" s="69" t="str">
        <f>IFERROR(IF(VLOOKUP(TableHandbook[[#This Row],[UDC]],TableAvailabilities[],4,FALSE)&gt;0,"Y",""),"")</f>
        <v>Y</v>
      </c>
      <c r="J229" s="70" t="str">
        <f>IFERROR(IF(VLOOKUP(TableHandbook[[#This Row],[UDC]],TableAvailabilities[],5,FALSE)&gt;0,"Y",""),"")</f>
        <v>Y</v>
      </c>
      <c r="K229" s="164"/>
      <c r="L229" s="160" t="str">
        <f>IFERROR(VLOOKUP(TableHandbook[[#This Row],[UDC]],TableBARTS[],7,FALSE),"")</f>
        <v/>
      </c>
      <c r="M229" s="65" t="str">
        <f>IFERROR(VLOOKUP(TableHandbook[[#This Row],[UDC]],TableMJRUANTSO[],7,FALSE),"")</f>
        <v/>
      </c>
      <c r="N229" s="65" t="str">
        <f>IFERROR(VLOOKUP(TableHandbook[[#This Row],[UDC]],TableMJRUCHNSE[],7,FALSE),"")</f>
        <v/>
      </c>
      <c r="O229" s="65" t="str">
        <f>IFERROR(VLOOKUP(TableHandbook[[#This Row],[UDC]],TableMJRUCRWRI[],7,FALSE),"")</f>
        <v/>
      </c>
      <c r="P229" s="65" t="str">
        <f>IFERROR(VLOOKUP(TableHandbook[[#This Row],[UDC]],TableMJRUGEOGR[],7,FALSE),"")</f>
        <v/>
      </c>
      <c r="Q229" s="65" t="str">
        <f>IFERROR(VLOOKUP(TableHandbook[[#This Row],[UDC]],TableMJRUHISTR[],7,FALSE),"")</f>
        <v/>
      </c>
      <c r="R229" s="65" t="str">
        <f>IFERROR(VLOOKUP(TableHandbook[[#This Row],[UDC]],TableMJRUINAUC[],7,FALSE),"")</f>
        <v/>
      </c>
      <c r="S229" s="65" t="str">
        <f>IFERROR(VLOOKUP(TableHandbook[[#This Row],[UDC]],TableMJRUINTRL[],7,FALSE),"")</f>
        <v/>
      </c>
      <c r="T229" s="65" t="str">
        <f>IFERROR(VLOOKUP(TableHandbook[[#This Row],[UDC]],TableMJRUJAPAN[],7,FALSE),"")</f>
        <v/>
      </c>
      <c r="U229" s="65" t="str">
        <f>IFERROR(VLOOKUP(TableHandbook[[#This Row],[UDC]],TableMJRUJOURN[],7,FALSE),"")</f>
        <v/>
      </c>
      <c r="V229" s="65" t="str">
        <f>IFERROR(VLOOKUP(TableHandbook[[#This Row],[UDC]],TableMJRUKORES[],7,FALSE),"")</f>
        <v/>
      </c>
      <c r="W229" s="65" t="str">
        <f>IFERROR(VLOOKUP(TableHandbook[[#This Row],[UDC]],TableMJRULITCU[],7,FALSE),"")</f>
        <v/>
      </c>
      <c r="X229" s="65" t="str">
        <f>IFERROR(VLOOKUP(TableHandbook[[#This Row],[UDC]],TableMJRUNETCM[],7,FALSE),"")</f>
        <v/>
      </c>
      <c r="Y229" s="65" t="str">
        <f>IFERROR(VLOOKUP(TableHandbook[[#This Row],[UDC]],TableMJRUPRWRP[],7,FALSE),"")</f>
        <v/>
      </c>
      <c r="Z229" s="65" t="str">
        <f>IFERROR(VLOOKUP(TableHandbook[[#This Row],[UDC]],TableMJRUSCSTR[],7,FALSE),"")</f>
        <v/>
      </c>
      <c r="AA229" s="74"/>
      <c r="AB229" s="43" t="str">
        <f>IFERROR(VLOOKUP(TableHandbook[[#This Row],[UDC]],TableMJRUBSLAW[],7,FALSE),"")</f>
        <v/>
      </c>
      <c r="AC229" s="66" t="str">
        <f>IFERROR(VLOOKUP(TableHandbook[[#This Row],[UDC]],TableMJRUECONS[],7,FALSE),"")</f>
        <v/>
      </c>
      <c r="AD229" s="66" t="str">
        <f>IFERROR(VLOOKUP(TableHandbook[[#This Row],[UDC]],TableMJRUFINAR[],7,FALSE),"")</f>
        <v/>
      </c>
      <c r="AE229" s="66" t="str">
        <f>IFERROR(VLOOKUP(TableHandbook[[#This Row],[UDC]],TableMJRUFINCE[],7,FALSE),"")</f>
        <v/>
      </c>
      <c r="AF229" s="66" t="str">
        <f>IFERROR(VLOOKUP(TableHandbook[[#This Row],[UDC]],TableMJRUHRMGM[],7,FALSE),"")</f>
        <v/>
      </c>
      <c r="AG229" s="66" t="str">
        <f>IFERROR(VLOOKUP(TableHandbook[[#This Row],[UDC]],TableMJRUINTBU[],7,FALSE),"")</f>
        <v/>
      </c>
      <c r="AH229" s="66" t="str">
        <f>IFERROR(VLOOKUP(TableHandbook[[#This Row],[UDC]],TableMJRULGSCM[],7,FALSE),"")</f>
        <v/>
      </c>
      <c r="AI229" s="66" t="str">
        <f>IFERROR(VLOOKUP(TableHandbook[[#This Row],[UDC]],TableMJRUMNGMT[],7,FALSE),"")</f>
        <v/>
      </c>
      <c r="AJ229" s="66" t="str">
        <f>IFERROR(VLOOKUP(TableHandbook[[#This Row],[UDC]],TableMJRUMRKTG[],7,FALSE),"")</f>
        <v>Core</v>
      </c>
      <c r="AK229" s="66" t="str">
        <f>IFERROR(VLOOKUP(TableHandbook[[#This Row],[UDC]],TableMJRUPRPTY[],7,FALSE),"")</f>
        <v/>
      </c>
      <c r="AL229" s="66" t="str">
        <f>IFERROR(VLOOKUP(TableHandbook[[#This Row],[UDC]],TableMJRUSCRAR[],7,FALSE),"")</f>
        <v/>
      </c>
      <c r="AM229" s="66" t="str">
        <f>IFERROR(VLOOKUP(TableHandbook[[#This Row],[UDC]],TableMJRUTHTRA[],7,FALSE),"")</f>
        <v/>
      </c>
      <c r="AN229" s="66" t="str">
        <f>IFERROR(VLOOKUP(TableHandbook[[#This Row],[UDC]],TableMJRUTRHOS[],7,FALSE),"")</f>
        <v/>
      </c>
    </row>
    <row r="230" spans="1:40" x14ac:dyDescent="0.25">
      <c r="A230" s="8" t="s">
        <v>452</v>
      </c>
      <c r="B230" s="9">
        <v>1</v>
      </c>
      <c r="C230" s="8"/>
      <c r="D230" s="8" t="s">
        <v>753</v>
      </c>
      <c r="E230" s="9">
        <v>25</v>
      </c>
      <c r="F230" s="49" t="s">
        <v>754</v>
      </c>
      <c r="G230" s="67" t="str">
        <f>IFERROR(IF(VLOOKUP(TableHandbook[[#This Row],[UDC]],TableAvailabilities[],2,FALSE)&gt;0,"Y",""),"")</f>
        <v>Y</v>
      </c>
      <c r="H230" s="68" t="str">
        <f>IFERROR(IF(VLOOKUP(TableHandbook[[#This Row],[UDC]],TableAvailabilities[],3,FALSE)&gt;0,"Y",""),"")</f>
        <v>Y</v>
      </c>
      <c r="I230" s="69" t="str">
        <f>IFERROR(IF(VLOOKUP(TableHandbook[[#This Row],[UDC]],TableAvailabilities[],4,FALSE)&gt;0,"Y",""),"")</f>
        <v>Y</v>
      </c>
      <c r="J230" s="70" t="str">
        <f>IFERROR(IF(VLOOKUP(TableHandbook[[#This Row],[UDC]],TableAvailabilities[],5,FALSE)&gt;0,"Y",""),"")</f>
        <v>Y</v>
      </c>
      <c r="K230" s="164"/>
      <c r="L230" s="160" t="str">
        <f>IFERROR(VLOOKUP(TableHandbook[[#This Row],[UDC]],TableBARTS[],7,FALSE),"")</f>
        <v/>
      </c>
      <c r="M230" s="65" t="str">
        <f>IFERROR(VLOOKUP(TableHandbook[[#This Row],[UDC]],TableMJRUANTSO[],7,FALSE),"")</f>
        <v/>
      </c>
      <c r="N230" s="65" t="str">
        <f>IFERROR(VLOOKUP(TableHandbook[[#This Row],[UDC]],TableMJRUCHNSE[],7,FALSE),"")</f>
        <v/>
      </c>
      <c r="O230" s="65" t="str">
        <f>IFERROR(VLOOKUP(TableHandbook[[#This Row],[UDC]],TableMJRUCRWRI[],7,FALSE),"")</f>
        <v/>
      </c>
      <c r="P230" s="65" t="str">
        <f>IFERROR(VLOOKUP(TableHandbook[[#This Row],[UDC]],TableMJRUGEOGR[],7,FALSE),"")</f>
        <v/>
      </c>
      <c r="Q230" s="65" t="str">
        <f>IFERROR(VLOOKUP(TableHandbook[[#This Row],[UDC]],TableMJRUHISTR[],7,FALSE),"")</f>
        <v/>
      </c>
      <c r="R230" s="65" t="str">
        <f>IFERROR(VLOOKUP(TableHandbook[[#This Row],[UDC]],TableMJRUINAUC[],7,FALSE),"")</f>
        <v/>
      </c>
      <c r="S230" s="65" t="str">
        <f>IFERROR(VLOOKUP(TableHandbook[[#This Row],[UDC]],TableMJRUINTRL[],7,FALSE),"")</f>
        <v/>
      </c>
      <c r="T230" s="65" t="str">
        <f>IFERROR(VLOOKUP(TableHandbook[[#This Row],[UDC]],TableMJRUJAPAN[],7,FALSE),"")</f>
        <v/>
      </c>
      <c r="U230" s="65" t="str">
        <f>IFERROR(VLOOKUP(TableHandbook[[#This Row],[UDC]],TableMJRUJOURN[],7,FALSE),"")</f>
        <v/>
      </c>
      <c r="V230" s="65" t="str">
        <f>IFERROR(VLOOKUP(TableHandbook[[#This Row],[UDC]],TableMJRUKORES[],7,FALSE),"")</f>
        <v/>
      </c>
      <c r="W230" s="65" t="str">
        <f>IFERROR(VLOOKUP(TableHandbook[[#This Row],[UDC]],TableMJRULITCU[],7,FALSE),"")</f>
        <v/>
      </c>
      <c r="X230" s="65" t="str">
        <f>IFERROR(VLOOKUP(TableHandbook[[#This Row],[UDC]],TableMJRUNETCM[],7,FALSE),"")</f>
        <v/>
      </c>
      <c r="Y230" s="65" t="str">
        <f>IFERROR(VLOOKUP(TableHandbook[[#This Row],[UDC]],TableMJRUPRWRP[],7,FALSE),"")</f>
        <v/>
      </c>
      <c r="Z230" s="65" t="str">
        <f>IFERROR(VLOOKUP(TableHandbook[[#This Row],[UDC]],TableMJRUSCSTR[],7,FALSE),"")</f>
        <v/>
      </c>
      <c r="AA230" s="74"/>
      <c r="AB230" s="43" t="str">
        <f>IFERROR(VLOOKUP(TableHandbook[[#This Row],[UDC]],TableMJRUBSLAW[],7,FALSE),"")</f>
        <v/>
      </c>
      <c r="AC230" s="66" t="str">
        <f>IFERROR(VLOOKUP(TableHandbook[[#This Row],[UDC]],TableMJRUECONS[],7,FALSE),"")</f>
        <v/>
      </c>
      <c r="AD230" s="66" t="str">
        <f>IFERROR(VLOOKUP(TableHandbook[[#This Row],[UDC]],TableMJRUFINAR[],7,FALSE),"")</f>
        <v/>
      </c>
      <c r="AE230" s="66" t="str">
        <f>IFERROR(VLOOKUP(TableHandbook[[#This Row],[UDC]],TableMJRUFINCE[],7,FALSE),"")</f>
        <v/>
      </c>
      <c r="AF230" s="66" t="str">
        <f>IFERROR(VLOOKUP(TableHandbook[[#This Row],[UDC]],TableMJRUHRMGM[],7,FALSE),"")</f>
        <v/>
      </c>
      <c r="AG230" s="66" t="str">
        <f>IFERROR(VLOOKUP(TableHandbook[[#This Row],[UDC]],TableMJRUINTBU[],7,FALSE),"")</f>
        <v/>
      </c>
      <c r="AH230" s="66" t="str">
        <f>IFERROR(VLOOKUP(TableHandbook[[#This Row],[UDC]],TableMJRULGSCM[],7,FALSE),"")</f>
        <v/>
      </c>
      <c r="AI230" s="66" t="str">
        <f>IFERROR(VLOOKUP(TableHandbook[[#This Row],[UDC]],TableMJRUMNGMT[],7,FALSE),"")</f>
        <v/>
      </c>
      <c r="AJ230" s="66" t="str">
        <f>IFERROR(VLOOKUP(TableHandbook[[#This Row],[UDC]],TableMJRUMRKTG[],7,FALSE),"")</f>
        <v>Core</v>
      </c>
      <c r="AK230" s="66" t="str">
        <f>IFERROR(VLOOKUP(TableHandbook[[#This Row],[UDC]],TableMJRUPRPTY[],7,FALSE),"")</f>
        <v/>
      </c>
      <c r="AL230" s="66" t="str">
        <f>IFERROR(VLOOKUP(TableHandbook[[#This Row],[UDC]],TableMJRUSCRAR[],7,FALSE),"")</f>
        <v/>
      </c>
      <c r="AM230" s="66" t="str">
        <f>IFERROR(VLOOKUP(TableHandbook[[#This Row],[UDC]],TableMJRUTHTRA[],7,FALSE),"")</f>
        <v/>
      </c>
      <c r="AN230" s="66" t="str">
        <f>IFERROR(VLOOKUP(TableHandbook[[#This Row],[UDC]],TableMJRUTRHOS[],7,FALSE),"")</f>
        <v/>
      </c>
    </row>
    <row r="231" spans="1:40" x14ac:dyDescent="0.25">
      <c r="A231" s="8" t="s">
        <v>755</v>
      </c>
      <c r="B231" s="9">
        <v>2</v>
      </c>
      <c r="C231" s="8"/>
      <c r="D231" s="8" t="s">
        <v>756</v>
      </c>
      <c r="E231" s="9">
        <v>25</v>
      </c>
      <c r="F231" s="49" t="s">
        <v>708</v>
      </c>
      <c r="G231" s="67" t="str">
        <f>IFERROR(IF(VLOOKUP(TableHandbook[[#This Row],[UDC]],TableAvailabilities[],2,FALSE)&gt;0,"Y",""),"")</f>
        <v/>
      </c>
      <c r="H231" s="68" t="str">
        <f>IFERROR(IF(VLOOKUP(TableHandbook[[#This Row],[UDC]],TableAvailabilities[],3,FALSE)&gt;0,"Y",""),"")</f>
        <v/>
      </c>
      <c r="I231" s="69" t="str">
        <f>IFERROR(IF(VLOOKUP(TableHandbook[[#This Row],[UDC]],TableAvailabilities[],4,FALSE)&gt;0,"Y",""),"")</f>
        <v/>
      </c>
      <c r="J231" s="70" t="str">
        <f>IFERROR(IF(VLOOKUP(TableHandbook[[#This Row],[UDC]],TableAvailabilities[],5,FALSE)&gt;0,"Y",""),"")</f>
        <v/>
      </c>
      <c r="K231" s="190" t="s">
        <v>757</v>
      </c>
      <c r="L231" s="160" t="str">
        <f>IFERROR(VLOOKUP(TableHandbook[[#This Row],[UDC]],TableBARTS[],7,FALSE),"")</f>
        <v/>
      </c>
      <c r="M231" s="65" t="str">
        <f>IFERROR(VLOOKUP(TableHandbook[[#This Row],[UDC]],TableMJRUANTSO[],7,FALSE),"")</f>
        <v/>
      </c>
      <c r="N231" s="65" t="str">
        <f>IFERROR(VLOOKUP(TableHandbook[[#This Row],[UDC]],TableMJRUCHNSE[],7,FALSE),"")</f>
        <v/>
      </c>
      <c r="O231" s="65" t="str">
        <f>IFERROR(VLOOKUP(TableHandbook[[#This Row],[UDC]],TableMJRUCRWRI[],7,FALSE),"")</f>
        <v/>
      </c>
      <c r="P231" s="65" t="str">
        <f>IFERROR(VLOOKUP(TableHandbook[[#This Row],[UDC]],TableMJRUGEOGR[],7,FALSE),"")</f>
        <v/>
      </c>
      <c r="Q231" s="65" t="str">
        <f>IFERROR(VLOOKUP(TableHandbook[[#This Row],[UDC]],TableMJRUHISTR[],7,FALSE),"")</f>
        <v/>
      </c>
      <c r="R231" s="65" t="str">
        <f>IFERROR(VLOOKUP(TableHandbook[[#This Row],[UDC]],TableMJRUINAUC[],7,FALSE),"")</f>
        <v/>
      </c>
      <c r="S231" s="65" t="str">
        <f>IFERROR(VLOOKUP(TableHandbook[[#This Row],[UDC]],TableMJRUINTRL[],7,FALSE),"")</f>
        <v/>
      </c>
      <c r="T231" s="65" t="str">
        <f>IFERROR(VLOOKUP(TableHandbook[[#This Row],[UDC]],TableMJRUJAPAN[],7,FALSE),"")</f>
        <v/>
      </c>
      <c r="U231" s="65" t="str">
        <f>IFERROR(VLOOKUP(TableHandbook[[#This Row],[UDC]],TableMJRUJOURN[],7,FALSE),"")</f>
        <v/>
      </c>
      <c r="V231" s="65" t="str">
        <f>IFERROR(VLOOKUP(TableHandbook[[#This Row],[UDC]],TableMJRUKORES[],7,FALSE),"")</f>
        <v/>
      </c>
      <c r="W231" s="65" t="str">
        <f>IFERROR(VLOOKUP(TableHandbook[[#This Row],[UDC]],TableMJRULITCU[],7,FALSE),"")</f>
        <v/>
      </c>
      <c r="X231" s="65" t="str">
        <f>IFERROR(VLOOKUP(TableHandbook[[#This Row],[UDC]],TableMJRUNETCM[],7,FALSE),"")</f>
        <v/>
      </c>
      <c r="Y231" s="65" t="str">
        <f>IFERROR(VLOOKUP(TableHandbook[[#This Row],[UDC]],TableMJRUPRWRP[],7,FALSE),"")</f>
        <v/>
      </c>
      <c r="Z231" s="65" t="str">
        <f>IFERROR(VLOOKUP(TableHandbook[[#This Row],[UDC]],TableMJRUSCSTR[],7,FALSE),"")</f>
        <v/>
      </c>
      <c r="AA231" s="74"/>
      <c r="AB231" s="43" t="str">
        <f>IFERROR(VLOOKUP(TableHandbook[[#This Row],[UDC]],TableMJRUBSLAW[],7,FALSE),"")</f>
        <v/>
      </c>
      <c r="AC231" s="66" t="str">
        <f>IFERROR(VLOOKUP(TableHandbook[[#This Row],[UDC]],TableMJRUECONS[],7,FALSE),"")</f>
        <v/>
      </c>
      <c r="AD231" s="66" t="str">
        <f>IFERROR(VLOOKUP(TableHandbook[[#This Row],[UDC]],TableMJRUFINAR[],7,FALSE),"")</f>
        <v/>
      </c>
      <c r="AE231" s="66" t="str">
        <f>IFERROR(VLOOKUP(TableHandbook[[#This Row],[UDC]],TableMJRUFINCE[],7,FALSE),"")</f>
        <v/>
      </c>
      <c r="AF231" s="66" t="str">
        <f>IFERROR(VLOOKUP(TableHandbook[[#This Row],[UDC]],TableMJRUHRMGM[],7,FALSE),"")</f>
        <v/>
      </c>
      <c r="AG231" s="66" t="str">
        <f>IFERROR(VLOOKUP(TableHandbook[[#This Row],[UDC]],TableMJRUINTBU[],7,FALSE),"")</f>
        <v/>
      </c>
      <c r="AH231" s="66" t="str">
        <f>IFERROR(VLOOKUP(TableHandbook[[#This Row],[UDC]],TableMJRULGSCM[],7,FALSE),"")</f>
        <v/>
      </c>
      <c r="AI231" s="66" t="str">
        <f>IFERROR(VLOOKUP(TableHandbook[[#This Row],[UDC]],TableMJRUMNGMT[],7,FALSE),"")</f>
        <v/>
      </c>
      <c r="AJ231" s="66" t="str">
        <f>IFERROR(VLOOKUP(TableHandbook[[#This Row],[UDC]],TableMJRUMRKTG[],7,FALSE),"")</f>
        <v/>
      </c>
      <c r="AK231" s="66" t="str">
        <f>IFERROR(VLOOKUP(TableHandbook[[#This Row],[UDC]],TableMJRUPRPTY[],7,FALSE),"")</f>
        <v/>
      </c>
      <c r="AL231" s="66" t="str">
        <f>IFERROR(VLOOKUP(TableHandbook[[#This Row],[UDC]],TableMJRUSCRAR[],7,FALSE),"")</f>
        <v/>
      </c>
      <c r="AM231" s="66" t="str">
        <f>IFERROR(VLOOKUP(TableHandbook[[#This Row],[UDC]],TableMJRUTHTRA[],7,FALSE),"")</f>
        <v/>
      </c>
      <c r="AN231" s="66" t="str">
        <f>IFERROR(VLOOKUP(TableHandbook[[#This Row],[UDC]],TableMJRUTRHOS[],7,FALSE),"")</f>
        <v/>
      </c>
    </row>
    <row r="232" spans="1:40" x14ac:dyDescent="0.25">
      <c r="A232" s="8" t="s">
        <v>492</v>
      </c>
      <c r="B232" s="9">
        <v>4</v>
      </c>
      <c r="C232" s="8"/>
      <c r="D232" s="8" t="s">
        <v>758</v>
      </c>
      <c r="E232" s="9">
        <v>25</v>
      </c>
      <c r="F232" s="49" t="s">
        <v>759</v>
      </c>
      <c r="G232" s="67" t="str">
        <f>IFERROR(IF(VLOOKUP(TableHandbook[[#This Row],[UDC]],TableAvailabilities[],2,FALSE)&gt;0,"Y",""),"")</f>
        <v>Y</v>
      </c>
      <c r="H232" s="68" t="str">
        <f>IFERROR(IF(VLOOKUP(TableHandbook[[#This Row],[UDC]],TableAvailabilities[],3,FALSE)&gt;0,"Y",""),"")</f>
        <v/>
      </c>
      <c r="I232" s="69" t="str">
        <f>IFERROR(IF(VLOOKUP(TableHandbook[[#This Row],[UDC]],TableAvailabilities[],4,FALSE)&gt;0,"Y",""),"")</f>
        <v>Y</v>
      </c>
      <c r="J232" s="70" t="str">
        <f>IFERROR(IF(VLOOKUP(TableHandbook[[#This Row],[UDC]],TableAvailabilities[],5,FALSE)&gt;0,"Y",""),"")</f>
        <v/>
      </c>
      <c r="K232" s="164"/>
      <c r="L232" s="160" t="str">
        <f>IFERROR(VLOOKUP(TableHandbook[[#This Row],[UDC]],TableBARTS[],7,FALSE),"")</f>
        <v/>
      </c>
      <c r="M232" s="65" t="str">
        <f>IFERROR(VLOOKUP(TableHandbook[[#This Row],[UDC]],TableMJRUANTSO[],7,FALSE),"")</f>
        <v/>
      </c>
      <c r="N232" s="65" t="str">
        <f>IFERROR(VLOOKUP(TableHandbook[[#This Row],[UDC]],TableMJRUCHNSE[],7,FALSE),"")</f>
        <v/>
      </c>
      <c r="O232" s="65" t="str">
        <f>IFERROR(VLOOKUP(TableHandbook[[#This Row],[UDC]],TableMJRUCRWRI[],7,FALSE),"")</f>
        <v/>
      </c>
      <c r="P232" s="65" t="str">
        <f>IFERROR(VLOOKUP(TableHandbook[[#This Row],[UDC]],TableMJRUGEOGR[],7,FALSE),"")</f>
        <v/>
      </c>
      <c r="Q232" s="65" t="str">
        <f>IFERROR(VLOOKUP(TableHandbook[[#This Row],[UDC]],TableMJRUHISTR[],7,FALSE),"")</f>
        <v/>
      </c>
      <c r="R232" s="65" t="str">
        <f>IFERROR(VLOOKUP(TableHandbook[[#This Row],[UDC]],TableMJRUINAUC[],7,FALSE),"")</f>
        <v/>
      </c>
      <c r="S232" s="65" t="str">
        <f>IFERROR(VLOOKUP(TableHandbook[[#This Row],[UDC]],TableMJRUINTRL[],7,FALSE),"")</f>
        <v/>
      </c>
      <c r="T232" s="65" t="str">
        <f>IFERROR(VLOOKUP(TableHandbook[[#This Row],[UDC]],TableMJRUJAPAN[],7,FALSE),"")</f>
        <v/>
      </c>
      <c r="U232" s="65" t="str">
        <f>IFERROR(VLOOKUP(TableHandbook[[#This Row],[UDC]],TableMJRUJOURN[],7,FALSE),"")</f>
        <v/>
      </c>
      <c r="V232" s="65" t="str">
        <f>IFERROR(VLOOKUP(TableHandbook[[#This Row],[UDC]],TableMJRUKORES[],7,FALSE),"")</f>
        <v/>
      </c>
      <c r="W232" s="65" t="str">
        <f>IFERROR(VLOOKUP(TableHandbook[[#This Row],[UDC]],TableMJRULITCU[],7,FALSE),"")</f>
        <v/>
      </c>
      <c r="X232" s="65" t="str">
        <f>IFERROR(VLOOKUP(TableHandbook[[#This Row],[UDC]],TableMJRUNETCM[],7,FALSE),"")</f>
        <v/>
      </c>
      <c r="Y232" s="65" t="str">
        <f>IFERROR(VLOOKUP(TableHandbook[[#This Row],[UDC]],TableMJRUPRWRP[],7,FALSE),"")</f>
        <v/>
      </c>
      <c r="Z232" s="65" t="str">
        <f>IFERROR(VLOOKUP(TableHandbook[[#This Row],[UDC]],TableMJRUSCSTR[],7,FALSE),"")</f>
        <v/>
      </c>
      <c r="AA232" s="74"/>
      <c r="AB232" s="43" t="str">
        <f>IFERROR(VLOOKUP(TableHandbook[[#This Row],[UDC]],TableMJRUBSLAW[],7,FALSE),"")</f>
        <v/>
      </c>
      <c r="AC232" s="66" t="str">
        <f>IFERROR(VLOOKUP(TableHandbook[[#This Row],[UDC]],TableMJRUECONS[],7,FALSE),"")</f>
        <v/>
      </c>
      <c r="AD232" s="66" t="str">
        <f>IFERROR(VLOOKUP(TableHandbook[[#This Row],[UDC]],TableMJRUFINAR[],7,FALSE),"")</f>
        <v/>
      </c>
      <c r="AE232" s="66" t="str">
        <f>IFERROR(VLOOKUP(TableHandbook[[#This Row],[UDC]],TableMJRUFINCE[],7,FALSE),"")</f>
        <v/>
      </c>
      <c r="AF232" s="66" t="str">
        <f>IFERROR(VLOOKUP(TableHandbook[[#This Row],[UDC]],TableMJRUHRMGM[],7,FALSE),"")</f>
        <v/>
      </c>
      <c r="AG232" s="66" t="str">
        <f>IFERROR(VLOOKUP(TableHandbook[[#This Row],[UDC]],TableMJRUINTBU[],7,FALSE),"")</f>
        <v/>
      </c>
      <c r="AH232" s="66" t="str">
        <f>IFERROR(VLOOKUP(TableHandbook[[#This Row],[UDC]],TableMJRULGSCM[],7,FALSE),"")</f>
        <v/>
      </c>
      <c r="AI232" s="66" t="str">
        <f>IFERROR(VLOOKUP(TableHandbook[[#This Row],[UDC]],TableMJRUMNGMT[],7,FALSE),"")</f>
        <v/>
      </c>
      <c r="AJ232" s="66" t="str">
        <f>IFERROR(VLOOKUP(TableHandbook[[#This Row],[UDC]],TableMJRUMRKTG[],7,FALSE),"")</f>
        <v>AltCore</v>
      </c>
      <c r="AK232" s="66" t="str">
        <f>IFERROR(VLOOKUP(TableHandbook[[#This Row],[UDC]],TableMJRUPRPTY[],7,FALSE),"")</f>
        <v/>
      </c>
      <c r="AL232" s="66" t="str">
        <f>IFERROR(VLOOKUP(TableHandbook[[#This Row],[UDC]],TableMJRUSCRAR[],7,FALSE),"")</f>
        <v/>
      </c>
      <c r="AM232" s="66" t="str">
        <f>IFERROR(VLOOKUP(TableHandbook[[#This Row],[UDC]],TableMJRUTHTRA[],7,FALSE),"")</f>
        <v/>
      </c>
      <c r="AN232" s="66" t="str">
        <f>IFERROR(VLOOKUP(TableHandbook[[#This Row],[UDC]],TableMJRUTRHOS[],7,FALSE),"")</f>
        <v>AltCore</v>
      </c>
    </row>
    <row r="233" spans="1:40" x14ac:dyDescent="0.25">
      <c r="A233" s="8" t="s">
        <v>495</v>
      </c>
      <c r="B233" s="9">
        <v>1</v>
      </c>
      <c r="C233" s="8"/>
      <c r="D233" s="8" t="s">
        <v>760</v>
      </c>
      <c r="E233" s="9">
        <v>25</v>
      </c>
      <c r="F233" s="49" t="s">
        <v>708</v>
      </c>
      <c r="G233" s="67" t="str">
        <f>IFERROR(IF(VLOOKUP(TableHandbook[[#This Row],[UDC]],TableAvailabilities[],2,FALSE)&gt;0,"Y",""),"")</f>
        <v>Y</v>
      </c>
      <c r="H233" s="68" t="str">
        <f>IFERROR(IF(VLOOKUP(TableHandbook[[#This Row],[UDC]],TableAvailabilities[],3,FALSE)&gt;0,"Y",""),"")</f>
        <v>Y</v>
      </c>
      <c r="I233" s="69" t="str">
        <f>IFERROR(IF(VLOOKUP(TableHandbook[[#This Row],[UDC]],TableAvailabilities[],4,FALSE)&gt;0,"Y",""),"")</f>
        <v>Y</v>
      </c>
      <c r="J233" s="70" t="str">
        <f>IFERROR(IF(VLOOKUP(TableHandbook[[#This Row],[UDC]],TableAvailabilities[],5,FALSE)&gt;0,"Y",""),"")</f>
        <v>Y</v>
      </c>
      <c r="K233" s="164"/>
      <c r="L233" s="160" t="str">
        <f>IFERROR(VLOOKUP(TableHandbook[[#This Row],[UDC]],TableBARTS[],7,FALSE),"")</f>
        <v/>
      </c>
      <c r="M233" s="65" t="str">
        <f>IFERROR(VLOOKUP(TableHandbook[[#This Row],[UDC]],TableMJRUANTSO[],7,FALSE),"")</f>
        <v/>
      </c>
      <c r="N233" s="65" t="str">
        <f>IFERROR(VLOOKUP(TableHandbook[[#This Row],[UDC]],TableMJRUCHNSE[],7,FALSE),"")</f>
        <v/>
      </c>
      <c r="O233" s="65" t="str">
        <f>IFERROR(VLOOKUP(TableHandbook[[#This Row],[UDC]],TableMJRUCRWRI[],7,FALSE),"")</f>
        <v/>
      </c>
      <c r="P233" s="65" t="str">
        <f>IFERROR(VLOOKUP(TableHandbook[[#This Row],[UDC]],TableMJRUGEOGR[],7,FALSE),"")</f>
        <v/>
      </c>
      <c r="Q233" s="65" t="str">
        <f>IFERROR(VLOOKUP(TableHandbook[[#This Row],[UDC]],TableMJRUHISTR[],7,FALSE),"")</f>
        <v/>
      </c>
      <c r="R233" s="65" t="str">
        <f>IFERROR(VLOOKUP(TableHandbook[[#This Row],[UDC]],TableMJRUINAUC[],7,FALSE),"")</f>
        <v/>
      </c>
      <c r="S233" s="65" t="str">
        <f>IFERROR(VLOOKUP(TableHandbook[[#This Row],[UDC]],TableMJRUINTRL[],7,FALSE),"")</f>
        <v/>
      </c>
      <c r="T233" s="65" t="str">
        <f>IFERROR(VLOOKUP(TableHandbook[[#This Row],[UDC]],TableMJRUJAPAN[],7,FALSE),"")</f>
        <v/>
      </c>
      <c r="U233" s="65" t="str">
        <f>IFERROR(VLOOKUP(TableHandbook[[#This Row],[UDC]],TableMJRUJOURN[],7,FALSE),"")</f>
        <v/>
      </c>
      <c r="V233" s="65" t="str">
        <f>IFERROR(VLOOKUP(TableHandbook[[#This Row],[UDC]],TableMJRUKORES[],7,FALSE),"")</f>
        <v/>
      </c>
      <c r="W233" s="65" t="str">
        <f>IFERROR(VLOOKUP(TableHandbook[[#This Row],[UDC]],TableMJRULITCU[],7,FALSE),"")</f>
        <v/>
      </c>
      <c r="X233" s="65" t="str">
        <f>IFERROR(VLOOKUP(TableHandbook[[#This Row],[UDC]],TableMJRUNETCM[],7,FALSE),"")</f>
        <v/>
      </c>
      <c r="Y233" s="65" t="str">
        <f>IFERROR(VLOOKUP(TableHandbook[[#This Row],[UDC]],TableMJRUPRWRP[],7,FALSE),"")</f>
        <v/>
      </c>
      <c r="Z233" s="65" t="str">
        <f>IFERROR(VLOOKUP(TableHandbook[[#This Row],[UDC]],TableMJRUSCSTR[],7,FALSE),"")</f>
        <v/>
      </c>
      <c r="AA233" s="74"/>
      <c r="AB233" s="43" t="str">
        <f>IFERROR(VLOOKUP(TableHandbook[[#This Row],[UDC]],TableMJRUBSLAW[],7,FALSE),"")</f>
        <v/>
      </c>
      <c r="AC233" s="66" t="str">
        <f>IFERROR(VLOOKUP(TableHandbook[[#This Row],[UDC]],TableMJRUECONS[],7,FALSE),"")</f>
        <v/>
      </c>
      <c r="AD233" s="66" t="str">
        <f>IFERROR(VLOOKUP(TableHandbook[[#This Row],[UDC]],TableMJRUFINAR[],7,FALSE),"")</f>
        <v/>
      </c>
      <c r="AE233" s="66" t="str">
        <f>IFERROR(VLOOKUP(TableHandbook[[#This Row],[UDC]],TableMJRUFINCE[],7,FALSE),"")</f>
        <v/>
      </c>
      <c r="AF233" s="66" t="str">
        <f>IFERROR(VLOOKUP(TableHandbook[[#This Row],[UDC]],TableMJRUHRMGM[],7,FALSE),"")</f>
        <v/>
      </c>
      <c r="AG233" s="66" t="str">
        <f>IFERROR(VLOOKUP(TableHandbook[[#This Row],[UDC]],TableMJRUINTBU[],7,FALSE),"")</f>
        <v/>
      </c>
      <c r="AH233" s="66" t="str">
        <f>IFERROR(VLOOKUP(TableHandbook[[#This Row],[UDC]],TableMJRULGSCM[],7,FALSE),"")</f>
        <v/>
      </c>
      <c r="AI233" s="66" t="str">
        <f>IFERROR(VLOOKUP(TableHandbook[[#This Row],[UDC]],TableMJRUMNGMT[],7,FALSE),"")</f>
        <v/>
      </c>
      <c r="AJ233" s="66" t="str">
        <f>IFERROR(VLOOKUP(TableHandbook[[#This Row],[UDC]],TableMJRUMRKTG[],7,FALSE),"")</f>
        <v>AltCore</v>
      </c>
      <c r="AK233" s="66" t="str">
        <f>IFERROR(VLOOKUP(TableHandbook[[#This Row],[UDC]],TableMJRUPRPTY[],7,FALSE),"")</f>
        <v/>
      </c>
      <c r="AL233" s="66" t="str">
        <f>IFERROR(VLOOKUP(TableHandbook[[#This Row],[UDC]],TableMJRUSCRAR[],7,FALSE),"")</f>
        <v/>
      </c>
      <c r="AM233" s="66" t="str">
        <f>IFERROR(VLOOKUP(TableHandbook[[#This Row],[UDC]],TableMJRUTHTRA[],7,FALSE),"")</f>
        <v/>
      </c>
      <c r="AN233" s="66" t="str">
        <f>IFERROR(VLOOKUP(TableHandbook[[#This Row],[UDC]],TableMJRUTRHOS[],7,FALSE),"")</f>
        <v/>
      </c>
    </row>
    <row r="234" spans="1:40" x14ac:dyDescent="0.25">
      <c r="A234" s="8" t="s">
        <v>63</v>
      </c>
      <c r="B234" s="9">
        <v>2</v>
      </c>
      <c r="C234" s="8"/>
      <c r="D234" s="8" t="s">
        <v>761</v>
      </c>
      <c r="E234" s="9">
        <v>25</v>
      </c>
      <c r="F234" s="49" t="s">
        <v>526</v>
      </c>
      <c r="G234" s="67" t="str">
        <f>IFERROR(IF(VLOOKUP(TableHandbook[[#This Row],[UDC]],TableAvailabilities[],2,FALSE)&gt;0,"Y",""),"")</f>
        <v/>
      </c>
      <c r="H234" s="68" t="str">
        <f>IFERROR(IF(VLOOKUP(TableHandbook[[#This Row],[UDC]],TableAvailabilities[],3,FALSE)&gt;0,"Y",""),"")</f>
        <v/>
      </c>
      <c r="I234" s="69" t="str">
        <f>IFERROR(IF(VLOOKUP(TableHandbook[[#This Row],[UDC]],TableAvailabilities[],4,FALSE)&gt;0,"Y",""),"")</f>
        <v>Y</v>
      </c>
      <c r="J234" s="70" t="str">
        <f>IFERROR(IF(VLOOKUP(TableHandbook[[#This Row],[UDC]],TableAvailabilities[],5,FALSE)&gt;0,"Y",""),"")</f>
        <v>Y</v>
      </c>
      <c r="K234" s="164"/>
      <c r="L234" s="160" t="str">
        <f>IFERROR(VLOOKUP(TableHandbook[[#This Row],[UDC]],TableBARTS[],7,FALSE),"")</f>
        <v>Option</v>
      </c>
      <c r="M234" s="65" t="str">
        <f>IFERROR(VLOOKUP(TableHandbook[[#This Row],[UDC]],TableMJRUANTSO[],7,FALSE),"")</f>
        <v/>
      </c>
      <c r="N234" s="65" t="str">
        <f>IFERROR(VLOOKUP(TableHandbook[[#This Row],[UDC]],TableMJRUCHNSE[],7,FALSE),"")</f>
        <v/>
      </c>
      <c r="O234" s="65" t="str">
        <f>IFERROR(VLOOKUP(TableHandbook[[#This Row],[UDC]],TableMJRUCRWRI[],7,FALSE),"")</f>
        <v/>
      </c>
      <c r="P234" s="65" t="str">
        <f>IFERROR(VLOOKUP(TableHandbook[[#This Row],[UDC]],TableMJRUGEOGR[],7,FALSE),"")</f>
        <v/>
      </c>
      <c r="Q234" s="65" t="str">
        <f>IFERROR(VLOOKUP(TableHandbook[[#This Row],[UDC]],TableMJRUHISTR[],7,FALSE),"")</f>
        <v/>
      </c>
      <c r="R234" s="65" t="str">
        <f>IFERROR(VLOOKUP(TableHandbook[[#This Row],[UDC]],TableMJRUINAUC[],7,FALSE),"")</f>
        <v/>
      </c>
      <c r="S234" s="65" t="str">
        <f>IFERROR(VLOOKUP(TableHandbook[[#This Row],[UDC]],TableMJRUINTRL[],7,FALSE),"")</f>
        <v/>
      </c>
      <c r="T234" s="65" t="str">
        <f>IFERROR(VLOOKUP(TableHandbook[[#This Row],[UDC]],TableMJRUJAPAN[],7,FALSE),"")</f>
        <v/>
      </c>
      <c r="U234" s="65" t="str">
        <f>IFERROR(VLOOKUP(TableHandbook[[#This Row],[UDC]],TableMJRUJOURN[],7,FALSE),"")</f>
        <v/>
      </c>
      <c r="V234" s="65" t="str">
        <f>IFERROR(VLOOKUP(TableHandbook[[#This Row],[UDC]],TableMJRUKORES[],7,FALSE),"")</f>
        <v/>
      </c>
      <c r="W234" s="65" t="str">
        <f>IFERROR(VLOOKUP(TableHandbook[[#This Row],[UDC]],TableMJRULITCU[],7,FALSE),"")</f>
        <v/>
      </c>
      <c r="X234" s="65" t="str">
        <f>IFERROR(VLOOKUP(TableHandbook[[#This Row],[UDC]],TableMJRUNETCM[],7,FALSE),"")</f>
        <v/>
      </c>
      <c r="Y234" s="65" t="str">
        <f>IFERROR(VLOOKUP(TableHandbook[[#This Row],[UDC]],TableMJRUPRWRP[],7,FALSE),"")</f>
        <v/>
      </c>
      <c r="Z234" s="65" t="str">
        <f>IFERROR(VLOOKUP(TableHandbook[[#This Row],[UDC]],TableMJRUSCSTR[],7,FALSE),"")</f>
        <v/>
      </c>
      <c r="AA234" s="74"/>
      <c r="AB234" s="43" t="str">
        <f>IFERROR(VLOOKUP(TableHandbook[[#This Row],[UDC]],TableMJRUBSLAW[],7,FALSE),"")</f>
        <v/>
      </c>
      <c r="AC234" s="66" t="str">
        <f>IFERROR(VLOOKUP(TableHandbook[[#This Row],[UDC]],TableMJRUECONS[],7,FALSE),"")</f>
        <v/>
      </c>
      <c r="AD234" s="66" t="str">
        <f>IFERROR(VLOOKUP(TableHandbook[[#This Row],[UDC]],TableMJRUFINAR[],7,FALSE),"")</f>
        <v/>
      </c>
      <c r="AE234" s="66" t="str">
        <f>IFERROR(VLOOKUP(TableHandbook[[#This Row],[UDC]],TableMJRUFINCE[],7,FALSE),"")</f>
        <v/>
      </c>
      <c r="AF234" s="66" t="str">
        <f>IFERROR(VLOOKUP(TableHandbook[[#This Row],[UDC]],TableMJRUHRMGM[],7,FALSE),"")</f>
        <v/>
      </c>
      <c r="AG234" s="66" t="str">
        <f>IFERROR(VLOOKUP(TableHandbook[[#This Row],[UDC]],TableMJRUINTBU[],7,FALSE),"")</f>
        <v/>
      </c>
      <c r="AH234" s="66" t="str">
        <f>IFERROR(VLOOKUP(TableHandbook[[#This Row],[UDC]],TableMJRULGSCM[],7,FALSE),"")</f>
        <v/>
      </c>
      <c r="AI234" s="66" t="str">
        <f>IFERROR(VLOOKUP(TableHandbook[[#This Row],[UDC]],TableMJRUMNGMT[],7,FALSE),"")</f>
        <v/>
      </c>
      <c r="AJ234" s="66" t="str">
        <f>IFERROR(VLOOKUP(TableHandbook[[#This Row],[UDC]],TableMJRUMRKTG[],7,FALSE),"")</f>
        <v/>
      </c>
      <c r="AK234" s="66" t="str">
        <f>IFERROR(VLOOKUP(TableHandbook[[#This Row],[UDC]],TableMJRUPRPTY[],7,FALSE),"")</f>
        <v/>
      </c>
      <c r="AL234" s="66" t="str">
        <f>IFERROR(VLOOKUP(TableHandbook[[#This Row],[UDC]],TableMJRUSCRAR[],7,FALSE),"")</f>
        <v/>
      </c>
      <c r="AM234" s="66" t="str">
        <f>IFERROR(VLOOKUP(TableHandbook[[#This Row],[UDC]],TableMJRUTHTRA[],7,FALSE),"")</f>
        <v/>
      </c>
      <c r="AN234" s="66" t="str">
        <f>IFERROR(VLOOKUP(TableHandbook[[#This Row],[UDC]],TableMJRUTRHOS[],7,FALSE),"")</f>
        <v/>
      </c>
    </row>
    <row r="235" spans="1:40" x14ac:dyDescent="0.25">
      <c r="A235" s="8" t="s">
        <v>64</v>
      </c>
      <c r="B235" s="9">
        <v>1</v>
      </c>
      <c r="C235" s="8"/>
      <c r="D235" s="8" t="s">
        <v>762</v>
      </c>
      <c r="E235" s="9">
        <v>25</v>
      </c>
      <c r="F235" s="49" t="s">
        <v>526</v>
      </c>
      <c r="G235" s="67" t="str">
        <f>IFERROR(IF(VLOOKUP(TableHandbook[[#This Row],[UDC]],TableAvailabilities[],2,FALSE)&gt;0,"Y",""),"")</f>
        <v>Y</v>
      </c>
      <c r="H235" s="68" t="str">
        <f>IFERROR(IF(VLOOKUP(TableHandbook[[#This Row],[UDC]],TableAvailabilities[],3,FALSE)&gt;0,"Y",""),"")</f>
        <v>Y</v>
      </c>
      <c r="I235" s="69" t="str">
        <f>IFERROR(IF(VLOOKUP(TableHandbook[[#This Row],[UDC]],TableAvailabilities[],4,FALSE)&gt;0,"Y",""),"")</f>
        <v>Y</v>
      </c>
      <c r="J235" s="70" t="str">
        <f>IFERROR(IF(VLOOKUP(TableHandbook[[#This Row],[UDC]],TableAvailabilities[],5,FALSE)&gt;0,"Y",""),"")</f>
        <v>Y</v>
      </c>
      <c r="K235" s="164"/>
      <c r="L235" s="160" t="str">
        <f>IFERROR(VLOOKUP(TableHandbook[[#This Row],[UDC]],TableBARTS[],7,FALSE),"")</f>
        <v>Option</v>
      </c>
      <c r="M235" s="65" t="str">
        <f>IFERROR(VLOOKUP(TableHandbook[[#This Row],[UDC]],TableMJRUANTSO[],7,FALSE),"")</f>
        <v/>
      </c>
      <c r="N235" s="65" t="str">
        <f>IFERROR(VLOOKUP(TableHandbook[[#This Row],[UDC]],TableMJRUCHNSE[],7,FALSE),"")</f>
        <v/>
      </c>
      <c r="O235" s="65" t="str">
        <f>IFERROR(VLOOKUP(TableHandbook[[#This Row],[UDC]],TableMJRUCRWRI[],7,FALSE),"")</f>
        <v/>
      </c>
      <c r="P235" s="65" t="str">
        <f>IFERROR(VLOOKUP(TableHandbook[[#This Row],[UDC]],TableMJRUGEOGR[],7,FALSE),"")</f>
        <v/>
      </c>
      <c r="Q235" s="65" t="str">
        <f>IFERROR(VLOOKUP(TableHandbook[[#This Row],[UDC]],TableMJRUHISTR[],7,FALSE),"")</f>
        <v/>
      </c>
      <c r="R235" s="65" t="str">
        <f>IFERROR(VLOOKUP(TableHandbook[[#This Row],[UDC]],TableMJRUINAUC[],7,FALSE),"")</f>
        <v/>
      </c>
      <c r="S235" s="65" t="str">
        <f>IFERROR(VLOOKUP(TableHandbook[[#This Row],[UDC]],TableMJRUINTRL[],7,FALSE),"")</f>
        <v/>
      </c>
      <c r="T235" s="65" t="str">
        <f>IFERROR(VLOOKUP(TableHandbook[[#This Row],[UDC]],TableMJRUJAPAN[],7,FALSE),"")</f>
        <v/>
      </c>
      <c r="U235" s="65" t="str">
        <f>IFERROR(VLOOKUP(TableHandbook[[#This Row],[UDC]],TableMJRUJOURN[],7,FALSE),"")</f>
        <v/>
      </c>
      <c r="V235" s="65" t="str">
        <f>IFERROR(VLOOKUP(TableHandbook[[#This Row],[UDC]],TableMJRUKORES[],7,FALSE),"")</f>
        <v/>
      </c>
      <c r="W235" s="65" t="str">
        <f>IFERROR(VLOOKUP(TableHandbook[[#This Row],[UDC]],TableMJRULITCU[],7,FALSE),"")</f>
        <v/>
      </c>
      <c r="X235" s="65" t="str">
        <f>IFERROR(VLOOKUP(TableHandbook[[#This Row],[UDC]],TableMJRUNETCM[],7,FALSE),"")</f>
        <v/>
      </c>
      <c r="Y235" s="65" t="str">
        <f>IFERROR(VLOOKUP(TableHandbook[[#This Row],[UDC]],TableMJRUPRWRP[],7,FALSE),"")</f>
        <v/>
      </c>
      <c r="Z235" s="65" t="str">
        <f>IFERROR(VLOOKUP(TableHandbook[[#This Row],[UDC]],TableMJRUSCSTR[],7,FALSE),"")</f>
        <v/>
      </c>
      <c r="AA235" s="74"/>
      <c r="AB235" s="43" t="str">
        <f>IFERROR(VLOOKUP(TableHandbook[[#This Row],[UDC]],TableMJRUBSLAW[],7,FALSE),"")</f>
        <v/>
      </c>
      <c r="AC235" s="66" t="str">
        <f>IFERROR(VLOOKUP(TableHandbook[[#This Row],[UDC]],TableMJRUECONS[],7,FALSE),"")</f>
        <v/>
      </c>
      <c r="AD235" s="66" t="str">
        <f>IFERROR(VLOOKUP(TableHandbook[[#This Row],[UDC]],TableMJRUFINAR[],7,FALSE),"")</f>
        <v/>
      </c>
      <c r="AE235" s="66" t="str">
        <f>IFERROR(VLOOKUP(TableHandbook[[#This Row],[UDC]],TableMJRUFINCE[],7,FALSE),"")</f>
        <v/>
      </c>
      <c r="AF235" s="66" t="str">
        <f>IFERROR(VLOOKUP(TableHandbook[[#This Row],[UDC]],TableMJRUHRMGM[],7,FALSE),"")</f>
        <v/>
      </c>
      <c r="AG235" s="66" t="str">
        <f>IFERROR(VLOOKUP(TableHandbook[[#This Row],[UDC]],TableMJRUINTBU[],7,FALSE),"")</f>
        <v/>
      </c>
      <c r="AH235" s="66" t="str">
        <f>IFERROR(VLOOKUP(TableHandbook[[#This Row],[UDC]],TableMJRULGSCM[],7,FALSE),"")</f>
        <v/>
      </c>
      <c r="AI235" s="66" t="str">
        <f>IFERROR(VLOOKUP(TableHandbook[[#This Row],[UDC]],TableMJRUMNGMT[],7,FALSE),"")</f>
        <v/>
      </c>
      <c r="AJ235" s="66" t="str">
        <f>IFERROR(VLOOKUP(TableHandbook[[#This Row],[UDC]],TableMJRUMRKTG[],7,FALSE),"")</f>
        <v/>
      </c>
      <c r="AK235" s="66" t="str">
        <f>IFERROR(VLOOKUP(TableHandbook[[#This Row],[UDC]],TableMJRUPRPTY[],7,FALSE),"")</f>
        <v/>
      </c>
      <c r="AL235" s="66" t="str">
        <f>IFERROR(VLOOKUP(TableHandbook[[#This Row],[UDC]],TableMJRUSCRAR[],7,FALSE),"")</f>
        <v/>
      </c>
      <c r="AM235" s="66" t="str">
        <f>IFERROR(VLOOKUP(TableHandbook[[#This Row],[UDC]],TableMJRUTHTRA[],7,FALSE),"")</f>
        <v/>
      </c>
      <c r="AN235" s="66" t="str">
        <f>IFERROR(VLOOKUP(TableHandbook[[#This Row],[UDC]],TableMJRUTRHOS[],7,FALSE),"")</f>
        <v/>
      </c>
    </row>
    <row r="236" spans="1:40" x14ac:dyDescent="0.25">
      <c r="A236" s="8" t="s">
        <v>212</v>
      </c>
      <c r="B236" s="9">
        <v>1</v>
      </c>
      <c r="C236" s="8"/>
      <c r="D236" s="8" t="s">
        <v>763</v>
      </c>
      <c r="E236" s="9">
        <v>25</v>
      </c>
      <c r="F236" s="49" t="s">
        <v>526</v>
      </c>
      <c r="G236" s="67" t="str">
        <f>IFERROR(IF(VLOOKUP(TableHandbook[[#This Row],[UDC]],TableAvailabilities[],2,FALSE)&gt;0,"Y",""),"")</f>
        <v>Y</v>
      </c>
      <c r="H236" s="68" t="str">
        <f>IFERROR(IF(VLOOKUP(TableHandbook[[#This Row],[UDC]],TableAvailabilities[],3,FALSE)&gt;0,"Y",""),"")</f>
        <v>Y</v>
      </c>
      <c r="I236" s="69" t="str">
        <f>IFERROR(IF(VLOOKUP(TableHandbook[[#This Row],[UDC]],TableAvailabilities[],4,FALSE)&gt;0,"Y",""),"")</f>
        <v/>
      </c>
      <c r="J236" s="70" t="str">
        <f>IFERROR(IF(VLOOKUP(TableHandbook[[#This Row],[UDC]],TableAvailabilities[],5,FALSE)&gt;0,"Y",""),"")</f>
        <v/>
      </c>
      <c r="K236" s="164"/>
      <c r="L236" s="160" t="str">
        <f>IFERROR(VLOOKUP(TableHandbook[[#This Row],[UDC]],TableBARTS[],7,FALSE),"")</f>
        <v/>
      </c>
      <c r="M236" s="65" t="str">
        <f>IFERROR(VLOOKUP(TableHandbook[[#This Row],[UDC]],TableMJRUANTSO[],7,FALSE),"")</f>
        <v/>
      </c>
      <c r="N236" s="65" t="str">
        <f>IFERROR(VLOOKUP(TableHandbook[[#This Row],[UDC]],TableMJRUCHNSE[],7,FALSE),"")</f>
        <v/>
      </c>
      <c r="O236" s="65" t="str">
        <f>IFERROR(VLOOKUP(TableHandbook[[#This Row],[UDC]],TableMJRUCRWRI[],7,FALSE),"")</f>
        <v/>
      </c>
      <c r="P236" s="65" t="str">
        <f>IFERROR(VLOOKUP(TableHandbook[[#This Row],[UDC]],TableMJRUGEOGR[],7,FALSE),"")</f>
        <v/>
      </c>
      <c r="Q236" s="65" t="str">
        <f>IFERROR(VLOOKUP(TableHandbook[[#This Row],[UDC]],TableMJRUHISTR[],7,FALSE),"")</f>
        <v/>
      </c>
      <c r="R236" s="65" t="str">
        <f>IFERROR(VLOOKUP(TableHandbook[[#This Row],[UDC]],TableMJRUINAUC[],7,FALSE),"")</f>
        <v/>
      </c>
      <c r="S236" s="65" t="str">
        <f>IFERROR(VLOOKUP(TableHandbook[[#This Row],[UDC]],TableMJRUINTRL[],7,FALSE),"")</f>
        <v/>
      </c>
      <c r="T236" s="65" t="str">
        <f>IFERROR(VLOOKUP(TableHandbook[[#This Row],[UDC]],TableMJRUJAPAN[],7,FALSE),"")</f>
        <v/>
      </c>
      <c r="U236" s="65" t="str">
        <f>IFERROR(VLOOKUP(TableHandbook[[#This Row],[UDC]],TableMJRUJOURN[],7,FALSE),"")</f>
        <v/>
      </c>
      <c r="V236" s="65" t="str">
        <f>IFERROR(VLOOKUP(TableHandbook[[#This Row],[UDC]],TableMJRUKORES[],7,FALSE),"")</f>
        <v/>
      </c>
      <c r="W236" s="65" t="str">
        <f>IFERROR(VLOOKUP(TableHandbook[[#This Row],[UDC]],TableMJRULITCU[],7,FALSE),"")</f>
        <v/>
      </c>
      <c r="X236" s="65" t="str">
        <f>IFERROR(VLOOKUP(TableHandbook[[#This Row],[UDC]],TableMJRUNETCM[],7,FALSE),"")</f>
        <v>Core</v>
      </c>
      <c r="Y236" s="65" t="str">
        <f>IFERROR(VLOOKUP(TableHandbook[[#This Row],[UDC]],TableMJRUPRWRP[],7,FALSE),"")</f>
        <v/>
      </c>
      <c r="Z236" s="65" t="str">
        <f>IFERROR(VLOOKUP(TableHandbook[[#This Row],[UDC]],TableMJRUSCSTR[],7,FALSE),"")</f>
        <v/>
      </c>
      <c r="AA236" s="74"/>
      <c r="AB236" s="43" t="str">
        <f>IFERROR(VLOOKUP(TableHandbook[[#This Row],[UDC]],TableMJRUBSLAW[],7,FALSE),"")</f>
        <v/>
      </c>
      <c r="AC236" s="66" t="str">
        <f>IFERROR(VLOOKUP(TableHandbook[[#This Row],[UDC]],TableMJRUECONS[],7,FALSE),"")</f>
        <v/>
      </c>
      <c r="AD236" s="66" t="str">
        <f>IFERROR(VLOOKUP(TableHandbook[[#This Row],[UDC]],TableMJRUFINAR[],7,FALSE),"")</f>
        <v/>
      </c>
      <c r="AE236" s="66" t="str">
        <f>IFERROR(VLOOKUP(TableHandbook[[#This Row],[UDC]],TableMJRUFINCE[],7,FALSE),"")</f>
        <v/>
      </c>
      <c r="AF236" s="66" t="str">
        <f>IFERROR(VLOOKUP(TableHandbook[[#This Row],[UDC]],TableMJRUHRMGM[],7,FALSE),"")</f>
        <v/>
      </c>
      <c r="AG236" s="66" t="str">
        <f>IFERROR(VLOOKUP(TableHandbook[[#This Row],[UDC]],TableMJRUINTBU[],7,FALSE),"")</f>
        <v/>
      </c>
      <c r="AH236" s="66" t="str">
        <f>IFERROR(VLOOKUP(TableHandbook[[#This Row],[UDC]],TableMJRULGSCM[],7,FALSE),"")</f>
        <v/>
      </c>
      <c r="AI236" s="66" t="str">
        <f>IFERROR(VLOOKUP(TableHandbook[[#This Row],[UDC]],TableMJRUMNGMT[],7,FALSE),"")</f>
        <v/>
      </c>
      <c r="AJ236" s="66" t="str">
        <f>IFERROR(VLOOKUP(TableHandbook[[#This Row],[UDC]],TableMJRUMRKTG[],7,FALSE),"")</f>
        <v/>
      </c>
      <c r="AK236" s="66" t="str">
        <f>IFERROR(VLOOKUP(TableHandbook[[#This Row],[UDC]],TableMJRUPRPTY[],7,FALSE),"")</f>
        <v/>
      </c>
      <c r="AL236" s="66" t="str">
        <f>IFERROR(VLOOKUP(TableHandbook[[#This Row],[UDC]],TableMJRUSCRAR[],7,FALSE),"")</f>
        <v/>
      </c>
      <c r="AM236" s="66" t="str">
        <f>IFERROR(VLOOKUP(TableHandbook[[#This Row],[UDC]],TableMJRUTHTRA[],7,FALSE),"")</f>
        <v/>
      </c>
      <c r="AN236" s="66" t="str">
        <f>IFERROR(VLOOKUP(TableHandbook[[#This Row],[UDC]],TableMJRUTRHOS[],7,FALSE),"")</f>
        <v/>
      </c>
    </row>
    <row r="237" spans="1:40" x14ac:dyDescent="0.25">
      <c r="A237" s="8" t="s">
        <v>213</v>
      </c>
      <c r="B237" s="9">
        <v>2</v>
      </c>
      <c r="C237" s="8"/>
      <c r="D237" s="8" t="s">
        <v>764</v>
      </c>
      <c r="E237" s="9">
        <v>25</v>
      </c>
      <c r="F237" s="49" t="s">
        <v>526</v>
      </c>
      <c r="G237" s="67" t="str">
        <f>IFERROR(IF(VLOOKUP(TableHandbook[[#This Row],[UDC]],TableAvailabilities[],2,FALSE)&gt;0,"Y",""),"")</f>
        <v/>
      </c>
      <c r="H237" s="68" t="str">
        <f>IFERROR(IF(VLOOKUP(TableHandbook[[#This Row],[UDC]],TableAvailabilities[],3,FALSE)&gt;0,"Y",""),"")</f>
        <v/>
      </c>
      <c r="I237" s="69" t="str">
        <f>IFERROR(IF(VLOOKUP(TableHandbook[[#This Row],[UDC]],TableAvailabilities[],4,FALSE)&gt;0,"Y",""),"")</f>
        <v>Y</v>
      </c>
      <c r="J237" s="70" t="str">
        <f>IFERROR(IF(VLOOKUP(TableHandbook[[#This Row],[UDC]],TableAvailabilities[],5,FALSE)&gt;0,"Y",""),"")</f>
        <v>Y</v>
      </c>
      <c r="K237" s="164"/>
      <c r="L237" s="160" t="str">
        <f>IFERROR(VLOOKUP(TableHandbook[[#This Row],[UDC]],TableBARTS[],7,FALSE),"")</f>
        <v/>
      </c>
      <c r="M237" s="65" t="str">
        <f>IFERROR(VLOOKUP(TableHandbook[[#This Row],[UDC]],TableMJRUANTSO[],7,FALSE),"")</f>
        <v/>
      </c>
      <c r="N237" s="65" t="str">
        <f>IFERROR(VLOOKUP(TableHandbook[[#This Row],[UDC]],TableMJRUCHNSE[],7,FALSE),"")</f>
        <v/>
      </c>
      <c r="O237" s="65" t="str">
        <f>IFERROR(VLOOKUP(TableHandbook[[#This Row],[UDC]],TableMJRUCRWRI[],7,FALSE),"")</f>
        <v/>
      </c>
      <c r="P237" s="65" t="str">
        <f>IFERROR(VLOOKUP(TableHandbook[[#This Row],[UDC]],TableMJRUGEOGR[],7,FALSE),"")</f>
        <v/>
      </c>
      <c r="Q237" s="65" t="str">
        <f>IFERROR(VLOOKUP(TableHandbook[[#This Row],[UDC]],TableMJRUHISTR[],7,FALSE),"")</f>
        <v/>
      </c>
      <c r="R237" s="65" t="str">
        <f>IFERROR(VLOOKUP(TableHandbook[[#This Row],[UDC]],TableMJRUINAUC[],7,FALSE),"")</f>
        <v/>
      </c>
      <c r="S237" s="65" t="str">
        <f>IFERROR(VLOOKUP(TableHandbook[[#This Row],[UDC]],TableMJRUINTRL[],7,FALSE),"")</f>
        <v/>
      </c>
      <c r="T237" s="65" t="str">
        <f>IFERROR(VLOOKUP(TableHandbook[[#This Row],[UDC]],TableMJRUJAPAN[],7,FALSE),"")</f>
        <v/>
      </c>
      <c r="U237" s="65" t="str">
        <f>IFERROR(VLOOKUP(TableHandbook[[#This Row],[UDC]],TableMJRUJOURN[],7,FALSE),"")</f>
        <v/>
      </c>
      <c r="V237" s="65" t="str">
        <f>IFERROR(VLOOKUP(TableHandbook[[#This Row],[UDC]],TableMJRUKORES[],7,FALSE),"")</f>
        <v/>
      </c>
      <c r="W237" s="65" t="str">
        <f>IFERROR(VLOOKUP(TableHandbook[[#This Row],[UDC]],TableMJRULITCU[],7,FALSE),"")</f>
        <v/>
      </c>
      <c r="X237" s="65" t="str">
        <f>IFERROR(VLOOKUP(TableHandbook[[#This Row],[UDC]],TableMJRUNETCM[],7,FALSE),"")</f>
        <v>Core</v>
      </c>
      <c r="Y237" s="65" t="str">
        <f>IFERROR(VLOOKUP(TableHandbook[[#This Row],[UDC]],TableMJRUPRWRP[],7,FALSE),"")</f>
        <v/>
      </c>
      <c r="Z237" s="65" t="str">
        <f>IFERROR(VLOOKUP(TableHandbook[[#This Row],[UDC]],TableMJRUSCSTR[],7,FALSE),"")</f>
        <v/>
      </c>
      <c r="AA237" s="74"/>
      <c r="AB237" s="43" t="str">
        <f>IFERROR(VLOOKUP(TableHandbook[[#This Row],[UDC]],TableMJRUBSLAW[],7,FALSE),"")</f>
        <v/>
      </c>
      <c r="AC237" s="66" t="str">
        <f>IFERROR(VLOOKUP(TableHandbook[[#This Row],[UDC]],TableMJRUECONS[],7,FALSE),"")</f>
        <v/>
      </c>
      <c r="AD237" s="66" t="str">
        <f>IFERROR(VLOOKUP(TableHandbook[[#This Row],[UDC]],TableMJRUFINAR[],7,FALSE),"")</f>
        <v/>
      </c>
      <c r="AE237" s="66" t="str">
        <f>IFERROR(VLOOKUP(TableHandbook[[#This Row],[UDC]],TableMJRUFINCE[],7,FALSE),"")</f>
        <v/>
      </c>
      <c r="AF237" s="66" t="str">
        <f>IFERROR(VLOOKUP(TableHandbook[[#This Row],[UDC]],TableMJRUHRMGM[],7,FALSE),"")</f>
        <v/>
      </c>
      <c r="AG237" s="66" t="str">
        <f>IFERROR(VLOOKUP(TableHandbook[[#This Row],[UDC]],TableMJRUINTBU[],7,FALSE),"")</f>
        <v/>
      </c>
      <c r="AH237" s="66" t="str">
        <f>IFERROR(VLOOKUP(TableHandbook[[#This Row],[UDC]],TableMJRULGSCM[],7,FALSE),"")</f>
        <v/>
      </c>
      <c r="AI237" s="66" t="str">
        <f>IFERROR(VLOOKUP(TableHandbook[[#This Row],[UDC]],TableMJRUMNGMT[],7,FALSE),"")</f>
        <v/>
      </c>
      <c r="AJ237" s="66" t="str">
        <f>IFERROR(VLOOKUP(TableHandbook[[#This Row],[UDC]],TableMJRUMRKTG[],7,FALSE),"")</f>
        <v/>
      </c>
      <c r="AK237" s="66" t="str">
        <f>IFERROR(VLOOKUP(TableHandbook[[#This Row],[UDC]],TableMJRUPRPTY[],7,FALSE),"")</f>
        <v/>
      </c>
      <c r="AL237" s="66" t="str">
        <f>IFERROR(VLOOKUP(TableHandbook[[#This Row],[UDC]],TableMJRUSCRAR[],7,FALSE),"")</f>
        <v/>
      </c>
      <c r="AM237" s="66" t="str">
        <f>IFERROR(VLOOKUP(TableHandbook[[#This Row],[UDC]],TableMJRUTHTRA[],7,FALSE),"")</f>
        <v/>
      </c>
      <c r="AN237" s="66" t="str">
        <f>IFERROR(VLOOKUP(TableHandbook[[#This Row],[UDC]],TableMJRUTRHOS[],7,FALSE),"")</f>
        <v/>
      </c>
    </row>
    <row r="238" spans="1:40" x14ac:dyDescent="0.25">
      <c r="A238" s="8" t="s">
        <v>236</v>
      </c>
      <c r="B238" s="9">
        <v>2</v>
      </c>
      <c r="C238" s="8"/>
      <c r="D238" s="8" t="s">
        <v>765</v>
      </c>
      <c r="E238" s="9">
        <v>25</v>
      </c>
      <c r="F238" s="49" t="s">
        <v>526</v>
      </c>
      <c r="G238" s="67" t="str">
        <f>IFERROR(IF(VLOOKUP(TableHandbook[[#This Row],[UDC]],TableAvailabilities[],2,FALSE)&gt;0,"Y",""),"")</f>
        <v>Y</v>
      </c>
      <c r="H238" s="68" t="str">
        <f>IFERROR(IF(VLOOKUP(TableHandbook[[#This Row],[UDC]],TableAvailabilities[],3,FALSE)&gt;0,"Y",""),"")</f>
        <v>Y</v>
      </c>
      <c r="I238" s="69" t="str">
        <f>IFERROR(IF(VLOOKUP(TableHandbook[[#This Row],[UDC]],TableAvailabilities[],4,FALSE)&gt;0,"Y",""),"")</f>
        <v/>
      </c>
      <c r="J238" s="70" t="str">
        <f>IFERROR(IF(VLOOKUP(TableHandbook[[#This Row],[UDC]],TableAvailabilities[],5,FALSE)&gt;0,"Y",""),"")</f>
        <v/>
      </c>
      <c r="K238" s="164"/>
      <c r="L238" s="160" t="str">
        <f>IFERROR(VLOOKUP(TableHandbook[[#This Row],[UDC]],TableBARTS[],7,FALSE),"")</f>
        <v/>
      </c>
      <c r="M238" s="65" t="str">
        <f>IFERROR(VLOOKUP(TableHandbook[[#This Row],[UDC]],TableMJRUANTSO[],7,FALSE),"")</f>
        <v/>
      </c>
      <c r="N238" s="65" t="str">
        <f>IFERROR(VLOOKUP(TableHandbook[[#This Row],[UDC]],TableMJRUCHNSE[],7,FALSE),"")</f>
        <v/>
      </c>
      <c r="O238" s="65" t="str">
        <f>IFERROR(VLOOKUP(TableHandbook[[#This Row],[UDC]],TableMJRUCRWRI[],7,FALSE),"")</f>
        <v/>
      </c>
      <c r="P238" s="65" t="str">
        <f>IFERROR(VLOOKUP(TableHandbook[[#This Row],[UDC]],TableMJRUGEOGR[],7,FALSE),"")</f>
        <v/>
      </c>
      <c r="Q238" s="65" t="str">
        <f>IFERROR(VLOOKUP(TableHandbook[[#This Row],[UDC]],TableMJRUHISTR[],7,FALSE),"")</f>
        <v/>
      </c>
      <c r="R238" s="65" t="str">
        <f>IFERROR(VLOOKUP(TableHandbook[[#This Row],[UDC]],TableMJRUINAUC[],7,FALSE),"")</f>
        <v/>
      </c>
      <c r="S238" s="65" t="str">
        <f>IFERROR(VLOOKUP(TableHandbook[[#This Row],[UDC]],TableMJRUINTRL[],7,FALSE),"")</f>
        <v/>
      </c>
      <c r="T238" s="65" t="str">
        <f>IFERROR(VLOOKUP(TableHandbook[[#This Row],[UDC]],TableMJRUJAPAN[],7,FALSE),"")</f>
        <v/>
      </c>
      <c r="U238" s="65" t="str">
        <f>IFERROR(VLOOKUP(TableHandbook[[#This Row],[UDC]],TableMJRUJOURN[],7,FALSE),"")</f>
        <v/>
      </c>
      <c r="V238" s="65" t="str">
        <f>IFERROR(VLOOKUP(TableHandbook[[#This Row],[UDC]],TableMJRUKORES[],7,FALSE),"")</f>
        <v/>
      </c>
      <c r="W238" s="65" t="str">
        <f>IFERROR(VLOOKUP(TableHandbook[[#This Row],[UDC]],TableMJRULITCU[],7,FALSE),"")</f>
        <v/>
      </c>
      <c r="X238" s="65" t="str">
        <f>IFERROR(VLOOKUP(TableHandbook[[#This Row],[UDC]],TableMJRUNETCM[],7,FALSE),"")</f>
        <v>Core</v>
      </c>
      <c r="Y238" s="65" t="str">
        <f>IFERROR(VLOOKUP(TableHandbook[[#This Row],[UDC]],TableMJRUPRWRP[],7,FALSE),"")</f>
        <v/>
      </c>
      <c r="Z238" s="65" t="str">
        <f>IFERROR(VLOOKUP(TableHandbook[[#This Row],[UDC]],TableMJRUSCSTR[],7,FALSE),"")</f>
        <v/>
      </c>
      <c r="AA238" s="74"/>
      <c r="AB238" s="43" t="str">
        <f>IFERROR(VLOOKUP(TableHandbook[[#This Row],[UDC]],TableMJRUBSLAW[],7,FALSE),"")</f>
        <v/>
      </c>
      <c r="AC238" s="66" t="str">
        <f>IFERROR(VLOOKUP(TableHandbook[[#This Row],[UDC]],TableMJRUECONS[],7,FALSE),"")</f>
        <v/>
      </c>
      <c r="AD238" s="66" t="str">
        <f>IFERROR(VLOOKUP(TableHandbook[[#This Row],[UDC]],TableMJRUFINAR[],7,FALSE),"")</f>
        <v/>
      </c>
      <c r="AE238" s="66" t="str">
        <f>IFERROR(VLOOKUP(TableHandbook[[#This Row],[UDC]],TableMJRUFINCE[],7,FALSE),"")</f>
        <v/>
      </c>
      <c r="AF238" s="66" t="str">
        <f>IFERROR(VLOOKUP(TableHandbook[[#This Row],[UDC]],TableMJRUHRMGM[],7,FALSE),"")</f>
        <v/>
      </c>
      <c r="AG238" s="66" t="str">
        <f>IFERROR(VLOOKUP(TableHandbook[[#This Row],[UDC]],TableMJRUINTBU[],7,FALSE),"")</f>
        <v/>
      </c>
      <c r="AH238" s="66" t="str">
        <f>IFERROR(VLOOKUP(TableHandbook[[#This Row],[UDC]],TableMJRULGSCM[],7,FALSE),"")</f>
        <v/>
      </c>
      <c r="AI238" s="66" t="str">
        <f>IFERROR(VLOOKUP(TableHandbook[[#This Row],[UDC]],TableMJRUMNGMT[],7,FALSE),"")</f>
        <v/>
      </c>
      <c r="AJ238" s="66" t="str">
        <f>IFERROR(VLOOKUP(TableHandbook[[#This Row],[UDC]],TableMJRUMRKTG[],7,FALSE),"")</f>
        <v/>
      </c>
      <c r="AK238" s="66" t="str">
        <f>IFERROR(VLOOKUP(TableHandbook[[#This Row],[UDC]],TableMJRUPRPTY[],7,FALSE),"")</f>
        <v/>
      </c>
      <c r="AL238" s="66" t="str">
        <f>IFERROR(VLOOKUP(TableHandbook[[#This Row],[UDC]],TableMJRUSCRAR[],7,FALSE),"")</f>
        <v/>
      </c>
      <c r="AM238" s="66" t="str">
        <f>IFERROR(VLOOKUP(TableHandbook[[#This Row],[UDC]],TableMJRUTHTRA[],7,FALSE),"")</f>
        <v/>
      </c>
      <c r="AN238" s="66" t="str">
        <f>IFERROR(VLOOKUP(TableHandbook[[#This Row],[UDC]],TableMJRUTRHOS[],7,FALSE),"")</f>
        <v/>
      </c>
    </row>
    <row r="239" spans="1:40" x14ac:dyDescent="0.25">
      <c r="A239" s="8" t="s">
        <v>237</v>
      </c>
      <c r="B239" s="9">
        <v>2</v>
      </c>
      <c r="C239" s="8"/>
      <c r="D239" s="8" t="s">
        <v>766</v>
      </c>
      <c r="E239" s="9">
        <v>25</v>
      </c>
      <c r="F239" s="49" t="s">
        <v>526</v>
      </c>
      <c r="G239" s="67" t="str">
        <f>IFERROR(IF(VLOOKUP(TableHandbook[[#This Row],[UDC]],TableAvailabilities[],2,FALSE)&gt;0,"Y",""),"")</f>
        <v/>
      </c>
      <c r="H239" s="68" t="str">
        <f>IFERROR(IF(VLOOKUP(TableHandbook[[#This Row],[UDC]],TableAvailabilities[],3,FALSE)&gt;0,"Y",""),"")</f>
        <v/>
      </c>
      <c r="I239" s="69" t="str">
        <f>IFERROR(IF(VLOOKUP(TableHandbook[[#This Row],[UDC]],TableAvailabilities[],4,FALSE)&gt;0,"Y",""),"")</f>
        <v>Y</v>
      </c>
      <c r="J239" s="70" t="str">
        <f>IFERROR(IF(VLOOKUP(TableHandbook[[#This Row],[UDC]],TableAvailabilities[],5,FALSE)&gt;0,"Y",""),"")</f>
        <v>Y</v>
      </c>
      <c r="K239" s="164"/>
      <c r="L239" s="160" t="str">
        <f>IFERROR(VLOOKUP(TableHandbook[[#This Row],[UDC]],TableBARTS[],7,FALSE),"")</f>
        <v/>
      </c>
      <c r="M239" s="65" t="str">
        <f>IFERROR(VLOOKUP(TableHandbook[[#This Row],[UDC]],TableMJRUANTSO[],7,FALSE),"")</f>
        <v/>
      </c>
      <c r="N239" s="65" t="str">
        <f>IFERROR(VLOOKUP(TableHandbook[[#This Row],[UDC]],TableMJRUCHNSE[],7,FALSE),"")</f>
        <v/>
      </c>
      <c r="O239" s="65" t="str">
        <f>IFERROR(VLOOKUP(TableHandbook[[#This Row],[UDC]],TableMJRUCRWRI[],7,FALSE),"")</f>
        <v/>
      </c>
      <c r="P239" s="65" t="str">
        <f>IFERROR(VLOOKUP(TableHandbook[[#This Row],[UDC]],TableMJRUGEOGR[],7,FALSE),"")</f>
        <v/>
      </c>
      <c r="Q239" s="65" t="str">
        <f>IFERROR(VLOOKUP(TableHandbook[[#This Row],[UDC]],TableMJRUHISTR[],7,FALSE),"")</f>
        <v/>
      </c>
      <c r="R239" s="65" t="str">
        <f>IFERROR(VLOOKUP(TableHandbook[[#This Row],[UDC]],TableMJRUINAUC[],7,FALSE),"")</f>
        <v/>
      </c>
      <c r="S239" s="65" t="str">
        <f>IFERROR(VLOOKUP(TableHandbook[[#This Row],[UDC]],TableMJRUINTRL[],7,FALSE),"")</f>
        <v/>
      </c>
      <c r="T239" s="65" t="str">
        <f>IFERROR(VLOOKUP(TableHandbook[[#This Row],[UDC]],TableMJRUJAPAN[],7,FALSE),"")</f>
        <v/>
      </c>
      <c r="U239" s="65" t="str">
        <f>IFERROR(VLOOKUP(TableHandbook[[#This Row],[UDC]],TableMJRUJOURN[],7,FALSE),"")</f>
        <v/>
      </c>
      <c r="V239" s="65" t="str">
        <f>IFERROR(VLOOKUP(TableHandbook[[#This Row],[UDC]],TableMJRUKORES[],7,FALSE),"")</f>
        <v/>
      </c>
      <c r="W239" s="65" t="str">
        <f>IFERROR(VLOOKUP(TableHandbook[[#This Row],[UDC]],TableMJRULITCU[],7,FALSE),"")</f>
        <v/>
      </c>
      <c r="X239" s="65" t="str">
        <f>IFERROR(VLOOKUP(TableHandbook[[#This Row],[UDC]],TableMJRUNETCM[],7,FALSE),"")</f>
        <v>Core</v>
      </c>
      <c r="Y239" s="65" t="str">
        <f>IFERROR(VLOOKUP(TableHandbook[[#This Row],[UDC]],TableMJRUPRWRP[],7,FALSE),"")</f>
        <v/>
      </c>
      <c r="Z239" s="65" t="str">
        <f>IFERROR(VLOOKUP(TableHandbook[[#This Row],[UDC]],TableMJRUSCSTR[],7,FALSE),"")</f>
        <v/>
      </c>
      <c r="AA239" s="74"/>
      <c r="AB239" s="43" t="str">
        <f>IFERROR(VLOOKUP(TableHandbook[[#This Row],[UDC]],TableMJRUBSLAW[],7,FALSE),"")</f>
        <v/>
      </c>
      <c r="AC239" s="66" t="str">
        <f>IFERROR(VLOOKUP(TableHandbook[[#This Row],[UDC]],TableMJRUECONS[],7,FALSE),"")</f>
        <v/>
      </c>
      <c r="AD239" s="66" t="str">
        <f>IFERROR(VLOOKUP(TableHandbook[[#This Row],[UDC]],TableMJRUFINAR[],7,FALSE),"")</f>
        <v/>
      </c>
      <c r="AE239" s="66" t="str">
        <f>IFERROR(VLOOKUP(TableHandbook[[#This Row],[UDC]],TableMJRUFINCE[],7,FALSE),"")</f>
        <v/>
      </c>
      <c r="AF239" s="66" t="str">
        <f>IFERROR(VLOOKUP(TableHandbook[[#This Row],[UDC]],TableMJRUHRMGM[],7,FALSE),"")</f>
        <v/>
      </c>
      <c r="AG239" s="66" t="str">
        <f>IFERROR(VLOOKUP(TableHandbook[[#This Row],[UDC]],TableMJRUINTBU[],7,FALSE),"")</f>
        <v/>
      </c>
      <c r="AH239" s="66" t="str">
        <f>IFERROR(VLOOKUP(TableHandbook[[#This Row],[UDC]],TableMJRULGSCM[],7,FALSE),"")</f>
        <v/>
      </c>
      <c r="AI239" s="66" t="str">
        <f>IFERROR(VLOOKUP(TableHandbook[[#This Row],[UDC]],TableMJRUMNGMT[],7,FALSE),"")</f>
        <v/>
      </c>
      <c r="AJ239" s="66" t="str">
        <f>IFERROR(VLOOKUP(TableHandbook[[#This Row],[UDC]],TableMJRUMRKTG[],7,FALSE),"")</f>
        <v/>
      </c>
      <c r="AK239" s="66" t="str">
        <f>IFERROR(VLOOKUP(TableHandbook[[#This Row],[UDC]],TableMJRUPRPTY[],7,FALSE),"")</f>
        <v/>
      </c>
      <c r="AL239" s="66" t="str">
        <f>IFERROR(VLOOKUP(TableHandbook[[#This Row],[UDC]],TableMJRUSCRAR[],7,FALSE),"")</f>
        <v/>
      </c>
      <c r="AM239" s="66" t="str">
        <f>IFERROR(VLOOKUP(TableHandbook[[#This Row],[UDC]],TableMJRUTHTRA[],7,FALSE),"")</f>
        <v/>
      </c>
      <c r="AN239" s="66" t="str">
        <f>IFERROR(VLOOKUP(TableHandbook[[#This Row],[UDC]],TableMJRUTRHOS[],7,FALSE),"")</f>
        <v/>
      </c>
    </row>
    <row r="240" spans="1:40" ht="26.25" x14ac:dyDescent="0.25">
      <c r="A240" s="6" t="s">
        <v>267</v>
      </c>
      <c r="B240" s="107">
        <v>3</v>
      </c>
      <c r="C240" s="6"/>
      <c r="D240" s="6" t="s">
        <v>767</v>
      </c>
      <c r="E240" s="107">
        <v>25</v>
      </c>
      <c r="F240" s="174" t="s">
        <v>768</v>
      </c>
      <c r="G240" s="67" t="str">
        <f>IFERROR(IF(VLOOKUP(TableHandbook[[#This Row],[UDC]],TableAvailabilities[],2,FALSE)&gt;0,"Y",""),"")</f>
        <v/>
      </c>
      <c r="H240" s="68" t="str">
        <f>IFERROR(IF(VLOOKUP(TableHandbook[[#This Row],[UDC]],TableAvailabilities[],3,FALSE)&gt;0,"Y",""),"")</f>
        <v/>
      </c>
      <c r="I240" s="69" t="str">
        <f>IFERROR(IF(VLOOKUP(TableHandbook[[#This Row],[UDC]],TableAvailabilities[],4,FALSE)&gt;0,"Y",""),"")</f>
        <v/>
      </c>
      <c r="J240" s="70" t="str">
        <f>IFERROR(IF(VLOOKUP(TableHandbook[[#This Row],[UDC]],TableAvailabilities[],5,FALSE)&gt;0,"Y",""),"")</f>
        <v>Y</v>
      </c>
      <c r="K240" s="171" t="s">
        <v>769</v>
      </c>
      <c r="L240" s="160" t="str">
        <f>IFERROR(VLOOKUP(TableHandbook[[#This Row],[UDC]],TableBARTS[],7,FALSE),"")</f>
        <v/>
      </c>
      <c r="M240" s="65" t="str">
        <f>IFERROR(VLOOKUP(TableHandbook[[#This Row],[UDC]],TableMJRUANTSO[],7,FALSE),"")</f>
        <v/>
      </c>
      <c r="N240" s="65" t="str">
        <f>IFERROR(VLOOKUP(TableHandbook[[#This Row],[UDC]],TableMJRUCHNSE[],7,FALSE),"")</f>
        <v/>
      </c>
      <c r="O240" s="65" t="str">
        <f>IFERROR(VLOOKUP(TableHandbook[[#This Row],[UDC]],TableMJRUCRWRI[],7,FALSE),"")</f>
        <v/>
      </c>
      <c r="P240" s="65" t="str">
        <f>IFERROR(VLOOKUP(TableHandbook[[#This Row],[UDC]],TableMJRUGEOGR[],7,FALSE),"")</f>
        <v/>
      </c>
      <c r="Q240" s="65" t="str">
        <f>IFERROR(VLOOKUP(TableHandbook[[#This Row],[UDC]],TableMJRUHISTR[],7,FALSE),"")</f>
        <v/>
      </c>
      <c r="R240" s="65" t="str">
        <f>IFERROR(VLOOKUP(TableHandbook[[#This Row],[UDC]],TableMJRUINAUC[],7,FALSE),"")</f>
        <v/>
      </c>
      <c r="S240" s="65" t="str">
        <f>IFERROR(VLOOKUP(TableHandbook[[#This Row],[UDC]],TableMJRUINTRL[],7,FALSE),"")</f>
        <v/>
      </c>
      <c r="T240" s="65" t="str">
        <f>IFERROR(VLOOKUP(TableHandbook[[#This Row],[UDC]],TableMJRUJAPAN[],7,FALSE),"")</f>
        <v/>
      </c>
      <c r="U240" s="65" t="str">
        <f>IFERROR(VLOOKUP(TableHandbook[[#This Row],[UDC]],TableMJRUJOURN[],7,FALSE),"")</f>
        <v/>
      </c>
      <c r="V240" s="65" t="str">
        <f>IFERROR(VLOOKUP(TableHandbook[[#This Row],[UDC]],TableMJRUKORES[],7,FALSE),"")</f>
        <v/>
      </c>
      <c r="W240" s="65" t="str">
        <f>IFERROR(VLOOKUP(TableHandbook[[#This Row],[UDC]],TableMJRULITCU[],7,FALSE),"")</f>
        <v/>
      </c>
      <c r="X240" s="65" t="str">
        <f>IFERROR(VLOOKUP(TableHandbook[[#This Row],[UDC]],TableMJRUNETCM[],7,FALSE),"")</f>
        <v>Core</v>
      </c>
      <c r="Y240" s="65" t="str">
        <f>IFERROR(VLOOKUP(TableHandbook[[#This Row],[UDC]],TableMJRUPRWRP[],7,FALSE),"")</f>
        <v/>
      </c>
      <c r="Z240" s="65" t="str">
        <f>IFERROR(VLOOKUP(TableHandbook[[#This Row],[UDC]],TableMJRUSCSTR[],7,FALSE),"")</f>
        <v/>
      </c>
      <c r="AA240" s="74"/>
      <c r="AB240" s="43" t="str">
        <f>IFERROR(VLOOKUP(TableHandbook[[#This Row],[UDC]],TableMJRUBSLAW[],7,FALSE),"")</f>
        <v/>
      </c>
      <c r="AC240" s="66" t="str">
        <f>IFERROR(VLOOKUP(TableHandbook[[#This Row],[UDC]],TableMJRUECONS[],7,FALSE),"")</f>
        <v/>
      </c>
      <c r="AD240" s="66" t="str">
        <f>IFERROR(VLOOKUP(TableHandbook[[#This Row],[UDC]],TableMJRUFINAR[],7,FALSE),"")</f>
        <v/>
      </c>
      <c r="AE240" s="66" t="str">
        <f>IFERROR(VLOOKUP(TableHandbook[[#This Row],[UDC]],TableMJRUFINCE[],7,FALSE),"")</f>
        <v/>
      </c>
      <c r="AF240" s="66" t="str">
        <f>IFERROR(VLOOKUP(TableHandbook[[#This Row],[UDC]],TableMJRUHRMGM[],7,FALSE),"")</f>
        <v/>
      </c>
      <c r="AG240" s="66" t="str">
        <f>IFERROR(VLOOKUP(TableHandbook[[#This Row],[UDC]],TableMJRUINTBU[],7,FALSE),"")</f>
        <v/>
      </c>
      <c r="AH240" s="66" t="str">
        <f>IFERROR(VLOOKUP(TableHandbook[[#This Row],[UDC]],TableMJRULGSCM[],7,FALSE),"")</f>
        <v/>
      </c>
      <c r="AI240" s="66" t="str">
        <f>IFERROR(VLOOKUP(TableHandbook[[#This Row],[UDC]],TableMJRUMNGMT[],7,FALSE),"")</f>
        <v/>
      </c>
      <c r="AJ240" s="66" t="str">
        <f>IFERROR(VLOOKUP(TableHandbook[[#This Row],[UDC]],TableMJRUMRKTG[],7,FALSE),"")</f>
        <v/>
      </c>
      <c r="AK240" s="66" t="str">
        <f>IFERROR(VLOOKUP(TableHandbook[[#This Row],[UDC]],TableMJRUPRPTY[],7,FALSE),"")</f>
        <v/>
      </c>
      <c r="AL240" s="66" t="str">
        <f>IFERROR(VLOOKUP(TableHandbook[[#This Row],[UDC]],TableMJRUSCRAR[],7,FALSE),"")</f>
        <v/>
      </c>
      <c r="AM240" s="66" t="str">
        <f>IFERROR(VLOOKUP(TableHandbook[[#This Row],[UDC]],TableMJRUTHTRA[],7,FALSE),"")</f>
        <v/>
      </c>
      <c r="AN240" s="66" t="str">
        <f>IFERROR(VLOOKUP(TableHandbook[[#This Row],[UDC]],TableMJRUTRHOS[],7,FALSE),"")</f>
        <v/>
      </c>
    </row>
    <row r="241" spans="1:40" x14ac:dyDescent="0.25">
      <c r="A241" s="8" t="s">
        <v>303</v>
      </c>
      <c r="B241" s="9">
        <v>2</v>
      </c>
      <c r="C241" s="8"/>
      <c r="D241" s="8" t="s">
        <v>770</v>
      </c>
      <c r="E241" s="9">
        <v>25</v>
      </c>
      <c r="F241" s="49" t="s">
        <v>771</v>
      </c>
      <c r="G241" s="67" t="str">
        <f>IFERROR(IF(VLOOKUP(TableHandbook[[#This Row],[UDC]],TableAvailabilities[],2,FALSE)&gt;0,"Y",""),"")</f>
        <v/>
      </c>
      <c r="H241" s="68" t="str">
        <f>IFERROR(IF(VLOOKUP(TableHandbook[[#This Row],[UDC]],TableAvailabilities[],3,FALSE)&gt;0,"Y",""),"")</f>
        <v>Y</v>
      </c>
      <c r="I241" s="69" t="str">
        <f>IFERROR(IF(VLOOKUP(TableHandbook[[#This Row],[UDC]],TableAvailabilities[],4,FALSE)&gt;0,"Y",""),"")</f>
        <v/>
      </c>
      <c r="J241" s="70" t="str">
        <f>IFERROR(IF(VLOOKUP(TableHandbook[[#This Row],[UDC]],TableAvailabilities[],5,FALSE)&gt;0,"Y",""),"")</f>
        <v/>
      </c>
      <c r="K241" s="164"/>
      <c r="L241" s="160" t="str">
        <f>IFERROR(VLOOKUP(TableHandbook[[#This Row],[UDC]],TableBARTS[],7,FALSE),"")</f>
        <v/>
      </c>
      <c r="M241" s="65" t="str">
        <f>IFERROR(VLOOKUP(TableHandbook[[#This Row],[UDC]],TableMJRUANTSO[],7,FALSE),"")</f>
        <v/>
      </c>
      <c r="N241" s="65" t="str">
        <f>IFERROR(VLOOKUP(TableHandbook[[#This Row],[UDC]],TableMJRUCHNSE[],7,FALSE),"")</f>
        <v/>
      </c>
      <c r="O241" s="65" t="str">
        <f>IFERROR(VLOOKUP(TableHandbook[[#This Row],[UDC]],TableMJRUCRWRI[],7,FALSE),"")</f>
        <v/>
      </c>
      <c r="P241" s="65" t="str">
        <f>IFERROR(VLOOKUP(TableHandbook[[#This Row],[UDC]],TableMJRUGEOGR[],7,FALSE),"")</f>
        <v/>
      </c>
      <c r="Q241" s="65" t="str">
        <f>IFERROR(VLOOKUP(TableHandbook[[#This Row],[UDC]],TableMJRUHISTR[],7,FALSE),"")</f>
        <v/>
      </c>
      <c r="R241" s="65" t="str">
        <f>IFERROR(VLOOKUP(TableHandbook[[#This Row],[UDC]],TableMJRUINAUC[],7,FALSE),"")</f>
        <v/>
      </c>
      <c r="S241" s="65" t="str">
        <f>IFERROR(VLOOKUP(TableHandbook[[#This Row],[UDC]],TableMJRUINTRL[],7,FALSE),"")</f>
        <v/>
      </c>
      <c r="T241" s="65" t="str">
        <f>IFERROR(VLOOKUP(TableHandbook[[#This Row],[UDC]],TableMJRUJAPAN[],7,FALSE),"")</f>
        <v/>
      </c>
      <c r="U241" s="65" t="str">
        <f>IFERROR(VLOOKUP(TableHandbook[[#This Row],[UDC]],TableMJRUJOURN[],7,FALSE),"")</f>
        <v/>
      </c>
      <c r="V241" s="65" t="str">
        <f>IFERROR(VLOOKUP(TableHandbook[[#This Row],[UDC]],TableMJRUKORES[],7,FALSE),"")</f>
        <v/>
      </c>
      <c r="W241" s="65" t="str">
        <f>IFERROR(VLOOKUP(TableHandbook[[#This Row],[UDC]],TableMJRULITCU[],7,FALSE),"")</f>
        <v/>
      </c>
      <c r="X241" s="65" t="str">
        <f>IFERROR(VLOOKUP(TableHandbook[[#This Row],[UDC]],TableMJRUNETCM[],7,FALSE),"")</f>
        <v>Option</v>
      </c>
      <c r="Y241" s="65" t="str">
        <f>IFERROR(VLOOKUP(TableHandbook[[#This Row],[UDC]],TableMJRUPRWRP[],7,FALSE),"")</f>
        <v/>
      </c>
      <c r="Z241" s="65" t="str">
        <f>IFERROR(VLOOKUP(TableHandbook[[#This Row],[UDC]],TableMJRUSCSTR[],7,FALSE),"")</f>
        <v/>
      </c>
      <c r="AA241" s="74"/>
      <c r="AB241" s="43" t="str">
        <f>IFERROR(VLOOKUP(TableHandbook[[#This Row],[UDC]],TableMJRUBSLAW[],7,FALSE),"")</f>
        <v/>
      </c>
      <c r="AC241" s="66" t="str">
        <f>IFERROR(VLOOKUP(TableHandbook[[#This Row],[UDC]],TableMJRUECONS[],7,FALSE),"")</f>
        <v/>
      </c>
      <c r="AD241" s="66" t="str">
        <f>IFERROR(VLOOKUP(TableHandbook[[#This Row],[UDC]],TableMJRUFINAR[],7,FALSE),"")</f>
        <v/>
      </c>
      <c r="AE241" s="66" t="str">
        <f>IFERROR(VLOOKUP(TableHandbook[[#This Row],[UDC]],TableMJRUFINCE[],7,FALSE),"")</f>
        <v/>
      </c>
      <c r="AF241" s="66" t="str">
        <f>IFERROR(VLOOKUP(TableHandbook[[#This Row],[UDC]],TableMJRUHRMGM[],7,FALSE),"")</f>
        <v/>
      </c>
      <c r="AG241" s="66" t="str">
        <f>IFERROR(VLOOKUP(TableHandbook[[#This Row],[UDC]],TableMJRUINTBU[],7,FALSE),"")</f>
        <v/>
      </c>
      <c r="AH241" s="66" t="str">
        <f>IFERROR(VLOOKUP(TableHandbook[[#This Row],[UDC]],TableMJRULGSCM[],7,FALSE),"")</f>
        <v/>
      </c>
      <c r="AI241" s="66" t="str">
        <f>IFERROR(VLOOKUP(TableHandbook[[#This Row],[UDC]],TableMJRUMNGMT[],7,FALSE),"")</f>
        <v/>
      </c>
      <c r="AJ241" s="66" t="str">
        <f>IFERROR(VLOOKUP(TableHandbook[[#This Row],[UDC]],TableMJRUMRKTG[],7,FALSE),"")</f>
        <v/>
      </c>
      <c r="AK241" s="66" t="str">
        <f>IFERROR(VLOOKUP(TableHandbook[[#This Row],[UDC]],TableMJRUPRPTY[],7,FALSE),"")</f>
        <v/>
      </c>
      <c r="AL241" s="66" t="str">
        <f>IFERROR(VLOOKUP(TableHandbook[[#This Row],[UDC]],TableMJRUSCRAR[],7,FALSE),"")</f>
        <v/>
      </c>
      <c r="AM241" s="66" t="str">
        <f>IFERROR(VLOOKUP(TableHandbook[[#This Row],[UDC]],TableMJRUTHTRA[],7,FALSE),"")</f>
        <v/>
      </c>
      <c r="AN241" s="66" t="str">
        <f>IFERROR(VLOOKUP(TableHandbook[[#This Row],[UDC]],TableMJRUTRHOS[],7,FALSE),"")</f>
        <v/>
      </c>
    </row>
    <row r="242" spans="1:40" x14ac:dyDescent="0.25">
      <c r="A242" s="8" t="s">
        <v>290</v>
      </c>
      <c r="B242" s="9">
        <v>3</v>
      </c>
      <c r="C242" s="8"/>
      <c r="D242" s="8" t="s">
        <v>772</v>
      </c>
      <c r="E242" s="9">
        <v>25</v>
      </c>
      <c r="F242" s="49" t="s">
        <v>773</v>
      </c>
      <c r="G242" s="67" t="str">
        <f>IFERROR(IF(VLOOKUP(TableHandbook[[#This Row],[UDC]],TableAvailabilities[],2,FALSE)&gt;0,"Y",""),"")</f>
        <v/>
      </c>
      <c r="H242" s="68" t="str">
        <f>IFERROR(IF(VLOOKUP(TableHandbook[[#This Row],[UDC]],TableAvailabilities[],3,FALSE)&gt;0,"Y",""),"")</f>
        <v/>
      </c>
      <c r="I242" s="69" t="str">
        <f>IFERROR(IF(VLOOKUP(TableHandbook[[#This Row],[UDC]],TableAvailabilities[],4,FALSE)&gt;0,"Y",""),"")</f>
        <v/>
      </c>
      <c r="J242" s="70" t="str">
        <f>IFERROR(IF(VLOOKUP(TableHandbook[[#This Row],[UDC]],TableAvailabilities[],5,FALSE)&gt;0,"Y",""),"")</f>
        <v>Y</v>
      </c>
      <c r="K242" s="163"/>
      <c r="L242" s="160" t="str">
        <f>IFERROR(VLOOKUP(TableHandbook[[#This Row],[UDC]],TableBARTS[],7,FALSE),"")</f>
        <v/>
      </c>
      <c r="M242" s="65" t="str">
        <f>IFERROR(VLOOKUP(TableHandbook[[#This Row],[UDC]],TableMJRUANTSO[],7,FALSE),"")</f>
        <v/>
      </c>
      <c r="N242" s="65" t="str">
        <f>IFERROR(VLOOKUP(TableHandbook[[#This Row],[UDC]],TableMJRUCHNSE[],7,FALSE),"")</f>
        <v/>
      </c>
      <c r="O242" s="65" t="str">
        <f>IFERROR(VLOOKUP(TableHandbook[[#This Row],[UDC]],TableMJRUCRWRI[],7,FALSE),"")</f>
        <v/>
      </c>
      <c r="P242" s="65" t="str">
        <f>IFERROR(VLOOKUP(TableHandbook[[#This Row],[UDC]],TableMJRUGEOGR[],7,FALSE),"")</f>
        <v/>
      </c>
      <c r="Q242" s="65" t="str">
        <f>IFERROR(VLOOKUP(TableHandbook[[#This Row],[UDC]],TableMJRUHISTR[],7,FALSE),"")</f>
        <v/>
      </c>
      <c r="R242" s="65" t="str">
        <f>IFERROR(VLOOKUP(TableHandbook[[#This Row],[UDC]],TableMJRUINAUC[],7,FALSE),"")</f>
        <v/>
      </c>
      <c r="S242" s="65" t="str">
        <f>IFERROR(VLOOKUP(TableHandbook[[#This Row],[UDC]],TableMJRUINTRL[],7,FALSE),"")</f>
        <v/>
      </c>
      <c r="T242" s="65" t="str">
        <f>IFERROR(VLOOKUP(TableHandbook[[#This Row],[UDC]],TableMJRUJAPAN[],7,FALSE),"")</f>
        <v/>
      </c>
      <c r="U242" s="65" t="str">
        <f>IFERROR(VLOOKUP(TableHandbook[[#This Row],[UDC]],TableMJRUJOURN[],7,FALSE),"")</f>
        <v/>
      </c>
      <c r="V242" s="65" t="str">
        <f>IFERROR(VLOOKUP(TableHandbook[[#This Row],[UDC]],TableMJRUKORES[],7,FALSE),"")</f>
        <v/>
      </c>
      <c r="W242" s="65" t="str">
        <f>IFERROR(VLOOKUP(TableHandbook[[#This Row],[UDC]],TableMJRULITCU[],7,FALSE),"")</f>
        <v/>
      </c>
      <c r="X242" s="65" t="str">
        <f>IFERROR(VLOOKUP(TableHandbook[[#This Row],[UDC]],TableMJRUNETCM[],7,FALSE),"")</f>
        <v>Core</v>
      </c>
      <c r="Y242" s="65" t="str">
        <f>IFERROR(VLOOKUP(TableHandbook[[#This Row],[UDC]],TableMJRUPRWRP[],7,FALSE),"")</f>
        <v/>
      </c>
      <c r="Z242" s="65" t="str">
        <f>IFERROR(VLOOKUP(TableHandbook[[#This Row],[UDC]],TableMJRUSCSTR[],7,FALSE),"")</f>
        <v/>
      </c>
      <c r="AA242" s="74"/>
      <c r="AB242" s="43" t="str">
        <f>IFERROR(VLOOKUP(TableHandbook[[#This Row],[UDC]],TableMJRUBSLAW[],7,FALSE),"")</f>
        <v/>
      </c>
      <c r="AC242" s="66" t="str">
        <f>IFERROR(VLOOKUP(TableHandbook[[#This Row],[UDC]],TableMJRUECONS[],7,FALSE),"")</f>
        <v/>
      </c>
      <c r="AD242" s="66" t="str">
        <f>IFERROR(VLOOKUP(TableHandbook[[#This Row],[UDC]],TableMJRUFINAR[],7,FALSE),"")</f>
        <v/>
      </c>
      <c r="AE242" s="66" t="str">
        <f>IFERROR(VLOOKUP(TableHandbook[[#This Row],[UDC]],TableMJRUFINCE[],7,FALSE),"")</f>
        <v/>
      </c>
      <c r="AF242" s="66" t="str">
        <f>IFERROR(VLOOKUP(TableHandbook[[#This Row],[UDC]],TableMJRUHRMGM[],7,FALSE),"")</f>
        <v/>
      </c>
      <c r="AG242" s="66" t="str">
        <f>IFERROR(VLOOKUP(TableHandbook[[#This Row],[UDC]],TableMJRUINTBU[],7,FALSE),"")</f>
        <v/>
      </c>
      <c r="AH242" s="66" t="str">
        <f>IFERROR(VLOOKUP(TableHandbook[[#This Row],[UDC]],TableMJRULGSCM[],7,FALSE),"")</f>
        <v/>
      </c>
      <c r="AI242" s="66" t="str">
        <f>IFERROR(VLOOKUP(TableHandbook[[#This Row],[UDC]],TableMJRUMNGMT[],7,FALSE),"")</f>
        <v/>
      </c>
      <c r="AJ242" s="66" t="str">
        <f>IFERROR(VLOOKUP(TableHandbook[[#This Row],[UDC]],TableMJRUMRKTG[],7,FALSE),"")</f>
        <v/>
      </c>
      <c r="AK242" s="66" t="str">
        <f>IFERROR(VLOOKUP(TableHandbook[[#This Row],[UDC]],TableMJRUPRPTY[],7,FALSE),"")</f>
        <v/>
      </c>
      <c r="AL242" s="66" t="str">
        <f>IFERROR(VLOOKUP(TableHandbook[[#This Row],[UDC]],TableMJRUSCRAR[],7,FALSE),"")</f>
        <v/>
      </c>
      <c r="AM242" s="66" t="str">
        <f>IFERROR(VLOOKUP(TableHandbook[[#This Row],[UDC]],TableMJRUTHTRA[],7,FALSE),"")</f>
        <v/>
      </c>
      <c r="AN242" s="66" t="str">
        <f>IFERROR(VLOOKUP(TableHandbook[[#This Row],[UDC]],TableMJRUTRHOS[],7,FALSE),"")</f>
        <v/>
      </c>
    </row>
    <row r="243" spans="1:40" x14ac:dyDescent="0.25">
      <c r="A243" s="8" t="s">
        <v>266</v>
      </c>
      <c r="B243" s="9">
        <v>3</v>
      </c>
      <c r="C243" s="8"/>
      <c r="D243" s="8" t="s">
        <v>774</v>
      </c>
      <c r="E243" s="9">
        <v>25</v>
      </c>
      <c r="F243" s="174" t="s">
        <v>526</v>
      </c>
      <c r="G243" s="67" t="str">
        <f>IFERROR(IF(VLOOKUP(TableHandbook[[#This Row],[UDC]],TableAvailabilities[],2,FALSE)&gt;0,"Y",""),"")</f>
        <v>Y</v>
      </c>
      <c r="H243" s="68" t="str">
        <f>IFERROR(IF(VLOOKUP(TableHandbook[[#This Row],[UDC]],TableAvailabilities[],3,FALSE)&gt;0,"Y",""),"")</f>
        <v>Y</v>
      </c>
      <c r="I243" s="69" t="str">
        <f>IFERROR(IF(VLOOKUP(TableHandbook[[#This Row],[UDC]],TableAvailabilities[],4,FALSE)&gt;0,"Y",""),"")</f>
        <v/>
      </c>
      <c r="J243" s="70" t="str">
        <f>IFERROR(IF(VLOOKUP(TableHandbook[[#This Row],[UDC]],TableAvailabilities[],5,FALSE)&gt;0,"Y",""),"")</f>
        <v/>
      </c>
      <c r="K243" s="163" t="s">
        <v>533</v>
      </c>
      <c r="L243" s="160" t="str">
        <f>IFERROR(VLOOKUP(TableHandbook[[#This Row],[UDC]],TableBARTS[],7,FALSE),"")</f>
        <v/>
      </c>
      <c r="M243" s="65" t="str">
        <f>IFERROR(VLOOKUP(TableHandbook[[#This Row],[UDC]],TableMJRUANTSO[],7,FALSE),"")</f>
        <v/>
      </c>
      <c r="N243" s="65" t="str">
        <f>IFERROR(VLOOKUP(TableHandbook[[#This Row],[UDC]],TableMJRUCHNSE[],7,FALSE),"")</f>
        <v/>
      </c>
      <c r="O243" s="65" t="str">
        <f>IFERROR(VLOOKUP(TableHandbook[[#This Row],[UDC]],TableMJRUCRWRI[],7,FALSE),"")</f>
        <v/>
      </c>
      <c r="P243" s="65" t="str">
        <f>IFERROR(VLOOKUP(TableHandbook[[#This Row],[UDC]],TableMJRUGEOGR[],7,FALSE),"")</f>
        <v/>
      </c>
      <c r="Q243" s="65" t="str">
        <f>IFERROR(VLOOKUP(TableHandbook[[#This Row],[UDC]],TableMJRUHISTR[],7,FALSE),"")</f>
        <v/>
      </c>
      <c r="R243" s="65" t="str">
        <f>IFERROR(VLOOKUP(TableHandbook[[#This Row],[UDC]],TableMJRUINAUC[],7,FALSE),"")</f>
        <v/>
      </c>
      <c r="S243" s="65" t="str">
        <f>IFERROR(VLOOKUP(TableHandbook[[#This Row],[UDC]],TableMJRUINTRL[],7,FALSE),"")</f>
        <v/>
      </c>
      <c r="T243" s="65" t="str">
        <f>IFERROR(VLOOKUP(TableHandbook[[#This Row],[UDC]],TableMJRUJAPAN[],7,FALSE),"")</f>
        <v/>
      </c>
      <c r="U243" s="65" t="str">
        <f>IFERROR(VLOOKUP(TableHandbook[[#This Row],[UDC]],TableMJRUJOURN[],7,FALSE),"")</f>
        <v/>
      </c>
      <c r="V243" s="65" t="str">
        <f>IFERROR(VLOOKUP(TableHandbook[[#This Row],[UDC]],TableMJRUKORES[],7,FALSE),"")</f>
        <v/>
      </c>
      <c r="W243" s="65" t="str">
        <f>IFERROR(VLOOKUP(TableHandbook[[#This Row],[UDC]],TableMJRULITCU[],7,FALSE),"")</f>
        <v/>
      </c>
      <c r="X243" s="65" t="str">
        <f>IFERROR(VLOOKUP(TableHandbook[[#This Row],[UDC]],TableMJRUNETCM[],7,FALSE),"")</f>
        <v>Core</v>
      </c>
      <c r="Y243" s="65" t="str">
        <f>IFERROR(VLOOKUP(TableHandbook[[#This Row],[UDC]],TableMJRUPRWRP[],7,FALSE),"")</f>
        <v/>
      </c>
      <c r="Z243" s="65" t="str">
        <f>IFERROR(VLOOKUP(TableHandbook[[#This Row],[UDC]],TableMJRUSCSTR[],7,FALSE),"")</f>
        <v/>
      </c>
      <c r="AA243" s="74"/>
      <c r="AB243" s="43" t="str">
        <f>IFERROR(VLOOKUP(TableHandbook[[#This Row],[UDC]],TableMJRUBSLAW[],7,FALSE),"")</f>
        <v/>
      </c>
      <c r="AC243" s="66" t="str">
        <f>IFERROR(VLOOKUP(TableHandbook[[#This Row],[UDC]],TableMJRUECONS[],7,FALSE),"")</f>
        <v/>
      </c>
      <c r="AD243" s="66" t="str">
        <f>IFERROR(VLOOKUP(TableHandbook[[#This Row],[UDC]],TableMJRUFINAR[],7,FALSE),"")</f>
        <v/>
      </c>
      <c r="AE243" s="66" t="str">
        <f>IFERROR(VLOOKUP(TableHandbook[[#This Row],[UDC]],TableMJRUFINCE[],7,FALSE),"")</f>
        <v/>
      </c>
      <c r="AF243" s="66" t="str">
        <f>IFERROR(VLOOKUP(TableHandbook[[#This Row],[UDC]],TableMJRUHRMGM[],7,FALSE),"")</f>
        <v/>
      </c>
      <c r="AG243" s="66" t="str">
        <f>IFERROR(VLOOKUP(TableHandbook[[#This Row],[UDC]],TableMJRUINTBU[],7,FALSE),"")</f>
        <v/>
      </c>
      <c r="AH243" s="66" t="str">
        <f>IFERROR(VLOOKUP(TableHandbook[[#This Row],[UDC]],TableMJRULGSCM[],7,FALSE),"")</f>
        <v/>
      </c>
      <c r="AI243" s="66" t="str">
        <f>IFERROR(VLOOKUP(TableHandbook[[#This Row],[UDC]],TableMJRUMNGMT[],7,FALSE),"")</f>
        <v/>
      </c>
      <c r="AJ243" s="66" t="str">
        <f>IFERROR(VLOOKUP(TableHandbook[[#This Row],[UDC]],TableMJRUMRKTG[],7,FALSE),"")</f>
        <v/>
      </c>
      <c r="AK243" s="66" t="str">
        <f>IFERROR(VLOOKUP(TableHandbook[[#This Row],[UDC]],TableMJRUPRPTY[],7,FALSE),"")</f>
        <v/>
      </c>
      <c r="AL243" s="66" t="str">
        <f>IFERROR(VLOOKUP(TableHandbook[[#This Row],[UDC]],TableMJRUSCRAR[],7,FALSE),"")</f>
        <v/>
      </c>
      <c r="AM243" s="66" t="str">
        <f>IFERROR(VLOOKUP(TableHandbook[[#This Row],[UDC]],TableMJRUTHTRA[],7,FALSE),"")</f>
        <v/>
      </c>
      <c r="AN243" s="66" t="str">
        <f>IFERROR(VLOOKUP(TableHandbook[[#This Row],[UDC]],TableMJRUTRHOS[],7,FALSE),"")</f>
        <v/>
      </c>
    </row>
    <row r="244" spans="1:40" x14ac:dyDescent="0.25">
      <c r="A244" s="8" t="s">
        <v>775</v>
      </c>
      <c r="B244" s="9">
        <v>2</v>
      </c>
      <c r="C244" s="8"/>
      <c r="D244" s="8" t="s">
        <v>776</v>
      </c>
      <c r="E244" s="9">
        <v>25</v>
      </c>
      <c r="F244" s="49" t="s">
        <v>526</v>
      </c>
      <c r="G244" s="67" t="str">
        <f>IFERROR(IF(VLOOKUP(TableHandbook[[#This Row],[UDC]],TableAvailabilities[],2,FALSE)&gt;0,"Y",""),"")</f>
        <v/>
      </c>
      <c r="H244" s="68" t="str">
        <f>IFERROR(IF(VLOOKUP(TableHandbook[[#This Row],[UDC]],TableAvailabilities[],3,FALSE)&gt;0,"Y",""),"")</f>
        <v/>
      </c>
      <c r="I244" s="69" t="str">
        <f>IFERROR(IF(VLOOKUP(TableHandbook[[#This Row],[UDC]],TableAvailabilities[],4,FALSE)&gt;0,"Y",""),"")</f>
        <v/>
      </c>
      <c r="J244" s="70" t="str">
        <f>IFERROR(IF(VLOOKUP(TableHandbook[[#This Row],[UDC]],TableAvailabilities[],5,FALSE)&gt;0,"Y",""),"")</f>
        <v/>
      </c>
      <c r="K244" s="163" t="s">
        <v>535</v>
      </c>
      <c r="L244" s="160" t="str">
        <f>IFERROR(VLOOKUP(TableHandbook[[#This Row],[UDC]],TableBARTS[],7,FALSE),"")</f>
        <v/>
      </c>
      <c r="M244" s="65" t="str">
        <f>IFERROR(VLOOKUP(TableHandbook[[#This Row],[UDC]],TableMJRUANTSO[],7,FALSE),"")</f>
        <v/>
      </c>
      <c r="N244" s="65" t="str">
        <f>IFERROR(VLOOKUP(TableHandbook[[#This Row],[UDC]],TableMJRUCHNSE[],7,FALSE),"")</f>
        <v/>
      </c>
      <c r="O244" s="65" t="str">
        <f>IFERROR(VLOOKUP(TableHandbook[[#This Row],[UDC]],TableMJRUCRWRI[],7,FALSE),"")</f>
        <v/>
      </c>
      <c r="P244" s="65" t="str">
        <f>IFERROR(VLOOKUP(TableHandbook[[#This Row],[UDC]],TableMJRUGEOGR[],7,FALSE),"")</f>
        <v/>
      </c>
      <c r="Q244" s="65" t="str">
        <f>IFERROR(VLOOKUP(TableHandbook[[#This Row],[UDC]],TableMJRUHISTR[],7,FALSE),"")</f>
        <v/>
      </c>
      <c r="R244" s="65" t="str">
        <f>IFERROR(VLOOKUP(TableHandbook[[#This Row],[UDC]],TableMJRUINAUC[],7,FALSE),"")</f>
        <v/>
      </c>
      <c r="S244" s="65" t="str">
        <f>IFERROR(VLOOKUP(TableHandbook[[#This Row],[UDC]],TableMJRUINTRL[],7,FALSE),"")</f>
        <v/>
      </c>
      <c r="T244" s="65" t="str">
        <f>IFERROR(VLOOKUP(TableHandbook[[#This Row],[UDC]],TableMJRUJAPAN[],7,FALSE),"")</f>
        <v/>
      </c>
      <c r="U244" s="65" t="str">
        <f>IFERROR(VLOOKUP(TableHandbook[[#This Row],[UDC]],TableMJRUJOURN[],7,FALSE),"")</f>
        <v/>
      </c>
      <c r="V244" s="65" t="str">
        <f>IFERROR(VLOOKUP(TableHandbook[[#This Row],[UDC]],TableMJRUKORES[],7,FALSE),"")</f>
        <v/>
      </c>
      <c r="W244" s="65" t="str">
        <f>IFERROR(VLOOKUP(TableHandbook[[#This Row],[UDC]],TableMJRULITCU[],7,FALSE),"")</f>
        <v/>
      </c>
      <c r="X244" s="65" t="str">
        <f>IFERROR(VLOOKUP(TableHandbook[[#This Row],[UDC]],TableMJRUNETCM[],7,FALSE),"")</f>
        <v/>
      </c>
      <c r="Y244" s="65" t="str">
        <f>IFERROR(VLOOKUP(TableHandbook[[#This Row],[UDC]],TableMJRUPRWRP[],7,FALSE),"")</f>
        <v/>
      </c>
      <c r="Z244" s="65" t="str">
        <f>IFERROR(VLOOKUP(TableHandbook[[#This Row],[UDC]],TableMJRUSCSTR[],7,FALSE),"")</f>
        <v/>
      </c>
      <c r="AA244" s="74"/>
      <c r="AB244" s="43" t="str">
        <f>IFERROR(VLOOKUP(TableHandbook[[#This Row],[UDC]],TableMJRUBSLAW[],7,FALSE),"")</f>
        <v/>
      </c>
      <c r="AC244" s="66" t="str">
        <f>IFERROR(VLOOKUP(TableHandbook[[#This Row],[UDC]],TableMJRUECONS[],7,FALSE),"")</f>
        <v/>
      </c>
      <c r="AD244" s="66" t="str">
        <f>IFERROR(VLOOKUP(TableHandbook[[#This Row],[UDC]],TableMJRUFINAR[],7,FALSE),"")</f>
        <v/>
      </c>
      <c r="AE244" s="66" t="str">
        <f>IFERROR(VLOOKUP(TableHandbook[[#This Row],[UDC]],TableMJRUFINCE[],7,FALSE),"")</f>
        <v/>
      </c>
      <c r="AF244" s="66" t="str">
        <f>IFERROR(VLOOKUP(TableHandbook[[#This Row],[UDC]],TableMJRUHRMGM[],7,FALSE),"")</f>
        <v/>
      </c>
      <c r="AG244" s="66" t="str">
        <f>IFERROR(VLOOKUP(TableHandbook[[#This Row],[UDC]],TableMJRUINTBU[],7,FALSE),"")</f>
        <v/>
      </c>
      <c r="AH244" s="66" t="str">
        <f>IFERROR(VLOOKUP(TableHandbook[[#This Row],[UDC]],TableMJRULGSCM[],7,FALSE),"")</f>
        <v/>
      </c>
      <c r="AI244" s="66" t="str">
        <f>IFERROR(VLOOKUP(TableHandbook[[#This Row],[UDC]],TableMJRUMNGMT[],7,FALSE),"")</f>
        <v/>
      </c>
      <c r="AJ244" s="66" t="str">
        <f>IFERROR(VLOOKUP(TableHandbook[[#This Row],[UDC]],TableMJRUMRKTG[],7,FALSE),"")</f>
        <v/>
      </c>
      <c r="AK244" s="66" t="str">
        <f>IFERROR(VLOOKUP(TableHandbook[[#This Row],[UDC]],TableMJRUPRPTY[],7,FALSE),"")</f>
        <v/>
      </c>
      <c r="AL244" s="66" t="str">
        <f>IFERROR(VLOOKUP(TableHandbook[[#This Row],[UDC]],TableMJRUSCRAR[],7,FALSE),"")</f>
        <v/>
      </c>
      <c r="AM244" s="66" t="str">
        <f>IFERROR(VLOOKUP(TableHandbook[[#This Row],[UDC]],TableMJRUTHTRA[],7,FALSE),"")</f>
        <v/>
      </c>
      <c r="AN244" s="66" t="str">
        <f>IFERROR(VLOOKUP(TableHandbook[[#This Row],[UDC]],TableMJRUTRHOS[],7,FALSE),"")</f>
        <v/>
      </c>
    </row>
    <row r="245" spans="1:40" ht="26.25" x14ac:dyDescent="0.25">
      <c r="A245" s="8" t="s">
        <v>306</v>
      </c>
      <c r="B245" s="9">
        <v>2</v>
      </c>
      <c r="C245" s="8"/>
      <c r="D245" s="8" t="s">
        <v>777</v>
      </c>
      <c r="E245" s="9">
        <v>25</v>
      </c>
      <c r="F245" s="49" t="s">
        <v>778</v>
      </c>
      <c r="G245" s="67" t="str">
        <f>IFERROR(IF(VLOOKUP(TableHandbook[[#This Row],[UDC]],TableAvailabilities[],2,FALSE)&gt;0,"Y",""),"")</f>
        <v/>
      </c>
      <c r="H245" s="68" t="str">
        <f>IFERROR(IF(VLOOKUP(TableHandbook[[#This Row],[UDC]],TableAvailabilities[],3,FALSE)&gt;0,"Y",""),"")</f>
        <v>Y</v>
      </c>
      <c r="I245" s="69" t="str">
        <f>IFERROR(IF(VLOOKUP(TableHandbook[[#This Row],[UDC]],TableAvailabilities[],4,FALSE)&gt;0,"Y",""),"")</f>
        <v/>
      </c>
      <c r="J245" s="70" t="str">
        <f>IFERROR(IF(VLOOKUP(TableHandbook[[#This Row],[UDC]],TableAvailabilities[],5,FALSE)&gt;0,"Y",""),"")</f>
        <v>Y</v>
      </c>
      <c r="K245" s="164" t="s">
        <v>533</v>
      </c>
      <c r="L245" s="160" t="str">
        <f>IFERROR(VLOOKUP(TableHandbook[[#This Row],[UDC]],TableBARTS[],7,FALSE),"")</f>
        <v/>
      </c>
      <c r="M245" s="65" t="str">
        <f>IFERROR(VLOOKUP(TableHandbook[[#This Row],[UDC]],TableMJRUANTSO[],7,FALSE),"")</f>
        <v/>
      </c>
      <c r="N245" s="65" t="str">
        <f>IFERROR(VLOOKUP(TableHandbook[[#This Row],[UDC]],TableMJRUCHNSE[],7,FALSE),"")</f>
        <v/>
      </c>
      <c r="O245" s="65" t="str">
        <f>IFERROR(VLOOKUP(TableHandbook[[#This Row],[UDC]],TableMJRUCRWRI[],7,FALSE),"")</f>
        <v/>
      </c>
      <c r="P245" s="65" t="str">
        <f>IFERROR(VLOOKUP(TableHandbook[[#This Row],[UDC]],TableMJRUGEOGR[],7,FALSE),"")</f>
        <v/>
      </c>
      <c r="Q245" s="65" t="str">
        <f>IFERROR(VLOOKUP(TableHandbook[[#This Row],[UDC]],TableMJRUHISTR[],7,FALSE),"")</f>
        <v/>
      </c>
      <c r="R245" s="65" t="str">
        <f>IFERROR(VLOOKUP(TableHandbook[[#This Row],[UDC]],TableMJRUINAUC[],7,FALSE),"")</f>
        <v/>
      </c>
      <c r="S245" s="65" t="str">
        <f>IFERROR(VLOOKUP(TableHandbook[[#This Row],[UDC]],TableMJRUINTRL[],7,FALSE),"")</f>
        <v/>
      </c>
      <c r="T245" s="65" t="str">
        <f>IFERROR(VLOOKUP(TableHandbook[[#This Row],[UDC]],TableMJRUJAPAN[],7,FALSE),"")</f>
        <v/>
      </c>
      <c r="U245" s="65" t="str">
        <f>IFERROR(VLOOKUP(TableHandbook[[#This Row],[UDC]],TableMJRUJOURN[],7,FALSE),"")</f>
        <v/>
      </c>
      <c r="V245" s="65" t="str">
        <f>IFERROR(VLOOKUP(TableHandbook[[#This Row],[UDC]],TableMJRUKORES[],7,FALSE),"")</f>
        <v/>
      </c>
      <c r="W245" s="65" t="str">
        <f>IFERROR(VLOOKUP(TableHandbook[[#This Row],[UDC]],TableMJRULITCU[],7,FALSE),"")</f>
        <v/>
      </c>
      <c r="X245" s="65" t="str">
        <f>IFERROR(VLOOKUP(TableHandbook[[#This Row],[UDC]],TableMJRUNETCM[],7,FALSE),"")</f>
        <v>Option</v>
      </c>
      <c r="Y245" s="65" t="str">
        <f>IFERROR(VLOOKUP(TableHandbook[[#This Row],[UDC]],TableMJRUPRWRP[],7,FALSE),"")</f>
        <v/>
      </c>
      <c r="Z245" s="65" t="str">
        <f>IFERROR(VLOOKUP(TableHandbook[[#This Row],[UDC]],TableMJRUSCSTR[],7,FALSE),"")</f>
        <v/>
      </c>
      <c r="AA245" s="74"/>
      <c r="AB245" s="43" t="str">
        <f>IFERROR(VLOOKUP(TableHandbook[[#This Row],[UDC]],TableMJRUBSLAW[],7,FALSE),"")</f>
        <v/>
      </c>
      <c r="AC245" s="66" t="str">
        <f>IFERROR(VLOOKUP(TableHandbook[[#This Row],[UDC]],TableMJRUECONS[],7,FALSE),"")</f>
        <v/>
      </c>
      <c r="AD245" s="66" t="str">
        <f>IFERROR(VLOOKUP(TableHandbook[[#This Row],[UDC]],TableMJRUFINAR[],7,FALSE),"")</f>
        <v/>
      </c>
      <c r="AE245" s="66" t="str">
        <f>IFERROR(VLOOKUP(TableHandbook[[#This Row],[UDC]],TableMJRUFINCE[],7,FALSE),"")</f>
        <v/>
      </c>
      <c r="AF245" s="66" t="str">
        <f>IFERROR(VLOOKUP(TableHandbook[[#This Row],[UDC]],TableMJRUHRMGM[],7,FALSE),"")</f>
        <v/>
      </c>
      <c r="AG245" s="66" t="str">
        <f>IFERROR(VLOOKUP(TableHandbook[[#This Row],[UDC]],TableMJRUINTBU[],7,FALSE),"")</f>
        <v/>
      </c>
      <c r="AH245" s="66" t="str">
        <f>IFERROR(VLOOKUP(TableHandbook[[#This Row],[UDC]],TableMJRULGSCM[],7,FALSE),"")</f>
        <v/>
      </c>
      <c r="AI245" s="66" t="str">
        <f>IFERROR(VLOOKUP(TableHandbook[[#This Row],[UDC]],TableMJRUMNGMT[],7,FALSE),"")</f>
        <v/>
      </c>
      <c r="AJ245" s="66" t="str">
        <f>IFERROR(VLOOKUP(TableHandbook[[#This Row],[UDC]],TableMJRUMRKTG[],7,FALSE),"")</f>
        <v/>
      </c>
      <c r="AK245" s="66" t="str">
        <f>IFERROR(VLOOKUP(TableHandbook[[#This Row],[UDC]],TableMJRUPRPTY[],7,FALSE),"")</f>
        <v/>
      </c>
      <c r="AL245" s="66" t="str">
        <f>IFERROR(VLOOKUP(TableHandbook[[#This Row],[UDC]],TableMJRUSCRAR[],7,FALSE),"")</f>
        <v/>
      </c>
      <c r="AM245" s="66" t="str">
        <f>IFERROR(VLOOKUP(TableHandbook[[#This Row],[UDC]],TableMJRUTHTRA[],7,FALSE),"")</f>
        <v/>
      </c>
      <c r="AN245" s="66" t="str">
        <f>IFERROR(VLOOKUP(TableHandbook[[#This Row],[UDC]],TableMJRUTRHOS[],7,FALSE),"")</f>
        <v/>
      </c>
    </row>
    <row r="246" spans="1:40" ht="26.25" x14ac:dyDescent="0.25">
      <c r="A246" s="8" t="s">
        <v>779</v>
      </c>
      <c r="B246" s="9">
        <v>1</v>
      </c>
      <c r="C246" s="8"/>
      <c r="D246" s="8" t="s">
        <v>777</v>
      </c>
      <c r="E246" s="9">
        <v>25</v>
      </c>
      <c r="F246" s="49" t="s">
        <v>778</v>
      </c>
      <c r="G246" s="67" t="str">
        <f>IFERROR(IF(VLOOKUP(TableHandbook[[#This Row],[UDC]],TableAvailabilities[],2,FALSE)&gt;0,"Y",""),"")</f>
        <v/>
      </c>
      <c r="H246" s="68" t="str">
        <f>IFERROR(IF(VLOOKUP(TableHandbook[[#This Row],[UDC]],TableAvailabilities[],3,FALSE)&gt;0,"Y",""),"")</f>
        <v/>
      </c>
      <c r="I246" s="69" t="str">
        <f>IFERROR(IF(VLOOKUP(TableHandbook[[#This Row],[UDC]],TableAvailabilities[],4,FALSE)&gt;0,"Y",""),"")</f>
        <v/>
      </c>
      <c r="J246" s="70" t="str">
        <f>IFERROR(IF(VLOOKUP(TableHandbook[[#This Row],[UDC]],TableAvailabilities[],5,FALSE)&gt;0,"Y",""),"")</f>
        <v/>
      </c>
      <c r="K246" s="164" t="s">
        <v>535</v>
      </c>
      <c r="L246" s="160" t="str">
        <f>IFERROR(VLOOKUP(TableHandbook[[#This Row],[UDC]],TableBARTS[],7,FALSE),"")</f>
        <v/>
      </c>
      <c r="M246" s="65" t="str">
        <f>IFERROR(VLOOKUP(TableHandbook[[#This Row],[UDC]],TableMJRUANTSO[],7,FALSE),"")</f>
        <v/>
      </c>
      <c r="N246" s="65" t="str">
        <f>IFERROR(VLOOKUP(TableHandbook[[#This Row],[UDC]],TableMJRUCHNSE[],7,FALSE),"")</f>
        <v/>
      </c>
      <c r="O246" s="65" t="str">
        <f>IFERROR(VLOOKUP(TableHandbook[[#This Row],[UDC]],TableMJRUCRWRI[],7,FALSE),"")</f>
        <v/>
      </c>
      <c r="P246" s="65" t="str">
        <f>IFERROR(VLOOKUP(TableHandbook[[#This Row],[UDC]],TableMJRUGEOGR[],7,FALSE),"")</f>
        <v/>
      </c>
      <c r="Q246" s="65" t="str">
        <f>IFERROR(VLOOKUP(TableHandbook[[#This Row],[UDC]],TableMJRUHISTR[],7,FALSE),"")</f>
        <v/>
      </c>
      <c r="R246" s="65" t="str">
        <f>IFERROR(VLOOKUP(TableHandbook[[#This Row],[UDC]],TableMJRUINAUC[],7,FALSE),"")</f>
        <v/>
      </c>
      <c r="S246" s="65" t="str">
        <f>IFERROR(VLOOKUP(TableHandbook[[#This Row],[UDC]],TableMJRUINTRL[],7,FALSE),"")</f>
        <v/>
      </c>
      <c r="T246" s="65" t="str">
        <f>IFERROR(VLOOKUP(TableHandbook[[#This Row],[UDC]],TableMJRUJAPAN[],7,FALSE),"")</f>
        <v/>
      </c>
      <c r="U246" s="65" t="str">
        <f>IFERROR(VLOOKUP(TableHandbook[[#This Row],[UDC]],TableMJRUJOURN[],7,FALSE),"")</f>
        <v/>
      </c>
      <c r="V246" s="65" t="str">
        <f>IFERROR(VLOOKUP(TableHandbook[[#This Row],[UDC]],TableMJRUKORES[],7,FALSE),"")</f>
        <v/>
      </c>
      <c r="W246" s="65" t="str">
        <f>IFERROR(VLOOKUP(TableHandbook[[#This Row],[UDC]],TableMJRULITCU[],7,FALSE),"")</f>
        <v/>
      </c>
      <c r="X246" s="65" t="str">
        <f>IFERROR(VLOOKUP(TableHandbook[[#This Row],[UDC]],TableMJRUNETCM[],7,FALSE),"")</f>
        <v/>
      </c>
      <c r="Y246" s="65" t="str">
        <f>IFERROR(VLOOKUP(TableHandbook[[#This Row],[UDC]],TableMJRUPRWRP[],7,FALSE),"")</f>
        <v/>
      </c>
      <c r="Z246" s="65" t="str">
        <f>IFERROR(VLOOKUP(TableHandbook[[#This Row],[UDC]],TableMJRUSCSTR[],7,FALSE),"")</f>
        <v/>
      </c>
      <c r="AA246" s="74"/>
      <c r="AB246" s="43" t="str">
        <f>IFERROR(VLOOKUP(TableHandbook[[#This Row],[UDC]],TableMJRUBSLAW[],7,FALSE),"")</f>
        <v/>
      </c>
      <c r="AC246" s="66" t="str">
        <f>IFERROR(VLOOKUP(TableHandbook[[#This Row],[UDC]],TableMJRUECONS[],7,FALSE),"")</f>
        <v/>
      </c>
      <c r="AD246" s="66" t="str">
        <f>IFERROR(VLOOKUP(TableHandbook[[#This Row],[UDC]],TableMJRUFINAR[],7,FALSE),"")</f>
        <v/>
      </c>
      <c r="AE246" s="66" t="str">
        <f>IFERROR(VLOOKUP(TableHandbook[[#This Row],[UDC]],TableMJRUFINCE[],7,FALSE),"")</f>
        <v/>
      </c>
      <c r="AF246" s="66" t="str">
        <f>IFERROR(VLOOKUP(TableHandbook[[#This Row],[UDC]],TableMJRUHRMGM[],7,FALSE),"")</f>
        <v/>
      </c>
      <c r="AG246" s="66" t="str">
        <f>IFERROR(VLOOKUP(TableHandbook[[#This Row],[UDC]],TableMJRUINTBU[],7,FALSE),"")</f>
        <v/>
      </c>
      <c r="AH246" s="66" t="str">
        <f>IFERROR(VLOOKUP(TableHandbook[[#This Row],[UDC]],TableMJRULGSCM[],7,FALSE),"")</f>
        <v/>
      </c>
      <c r="AI246" s="66" t="str">
        <f>IFERROR(VLOOKUP(TableHandbook[[#This Row],[UDC]],TableMJRUMNGMT[],7,FALSE),"")</f>
        <v/>
      </c>
      <c r="AJ246" s="66" t="str">
        <f>IFERROR(VLOOKUP(TableHandbook[[#This Row],[UDC]],TableMJRUMRKTG[],7,FALSE),"")</f>
        <v/>
      </c>
      <c r="AK246" s="66" t="str">
        <f>IFERROR(VLOOKUP(TableHandbook[[#This Row],[UDC]],TableMJRUPRPTY[],7,FALSE),"")</f>
        <v/>
      </c>
      <c r="AL246" s="66" t="str">
        <f>IFERROR(VLOOKUP(TableHandbook[[#This Row],[UDC]],TableMJRUSCRAR[],7,FALSE),"")</f>
        <v/>
      </c>
      <c r="AM246" s="66" t="str">
        <f>IFERROR(VLOOKUP(TableHandbook[[#This Row],[UDC]],TableMJRUTHTRA[],7,FALSE),"")</f>
        <v/>
      </c>
      <c r="AN246" s="66" t="str">
        <f>IFERROR(VLOOKUP(TableHandbook[[#This Row],[UDC]],TableMJRUTRHOS[],7,FALSE),"")</f>
        <v/>
      </c>
    </row>
    <row r="247" spans="1:40" x14ac:dyDescent="0.25">
      <c r="A247" s="8" t="s">
        <v>276</v>
      </c>
      <c r="B247" s="9">
        <v>0</v>
      </c>
      <c r="C247" s="8"/>
      <c r="D247" s="8" t="s">
        <v>780</v>
      </c>
      <c r="E247" s="9">
        <v>25</v>
      </c>
      <c r="F247" s="49" t="s">
        <v>510</v>
      </c>
      <c r="G247" s="67" t="str">
        <f>IFERROR(IF(VLOOKUP(TableHandbook[[#This Row],[UDC]],TableAvailabilities[],2,FALSE)&gt;0,"Y",""),"")</f>
        <v/>
      </c>
      <c r="H247" s="68" t="str">
        <f>IFERROR(IF(VLOOKUP(TableHandbook[[#This Row],[UDC]],TableAvailabilities[],3,FALSE)&gt;0,"Y",""),"")</f>
        <v/>
      </c>
      <c r="I247" s="69" t="str">
        <f>IFERROR(IF(VLOOKUP(TableHandbook[[#This Row],[UDC]],TableAvailabilities[],4,FALSE)&gt;0,"Y",""),"")</f>
        <v/>
      </c>
      <c r="J247" s="70" t="str">
        <f>IFERROR(IF(VLOOKUP(TableHandbook[[#This Row],[UDC]],TableAvailabilities[],5,FALSE)&gt;0,"Y",""),"")</f>
        <v/>
      </c>
      <c r="K247" s="164"/>
      <c r="L247" s="160" t="str">
        <f>IFERROR(VLOOKUP(TableHandbook[[#This Row],[UDC]],TableBARTS[],7,FALSE),"")</f>
        <v/>
      </c>
      <c r="M247" s="65" t="str">
        <f>IFERROR(VLOOKUP(TableHandbook[[#This Row],[UDC]],TableMJRUANTSO[],7,FALSE),"")</f>
        <v/>
      </c>
      <c r="N247" s="65" t="str">
        <f>IFERROR(VLOOKUP(TableHandbook[[#This Row],[UDC]],TableMJRUCHNSE[],7,FALSE),"")</f>
        <v/>
      </c>
      <c r="O247" s="65" t="str">
        <f>IFERROR(VLOOKUP(TableHandbook[[#This Row],[UDC]],TableMJRUCRWRI[],7,FALSE),"")</f>
        <v>Option</v>
      </c>
      <c r="P247" s="65" t="str">
        <f>IFERROR(VLOOKUP(TableHandbook[[#This Row],[UDC]],TableMJRUGEOGR[],7,FALSE),"")</f>
        <v/>
      </c>
      <c r="Q247" s="65" t="str">
        <f>IFERROR(VLOOKUP(TableHandbook[[#This Row],[UDC]],TableMJRUHISTR[],7,FALSE),"")</f>
        <v/>
      </c>
      <c r="R247" s="65" t="str">
        <f>IFERROR(VLOOKUP(TableHandbook[[#This Row],[UDC]],TableMJRUINAUC[],7,FALSE),"")</f>
        <v/>
      </c>
      <c r="S247" s="65" t="str">
        <f>IFERROR(VLOOKUP(TableHandbook[[#This Row],[UDC]],TableMJRUINTRL[],7,FALSE),"")</f>
        <v/>
      </c>
      <c r="T247" s="65" t="str">
        <f>IFERROR(VLOOKUP(TableHandbook[[#This Row],[UDC]],TableMJRUJAPAN[],7,FALSE),"")</f>
        <v/>
      </c>
      <c r="U247" s="65" t="str">
        <f>IFERROR(VLOOKUP(TableHandbook[[#This Row],[UDC]],TableMJRUJOURN[],7,FALSE),"")</f>
        <v/>
      </c>
      <c r="V247" s="65" t="str">
        <f>IFERROR(VLOOKUP(TableHandbook[[#This Row],[UDC]],TableMJRUKORES[],7,FALSE),"")</f>
        <v/>
      </c>
      <c r="W247" s="65" t="str">
        <f>IFERROR(VLOOKUP(TableHandbook[[#This Row],[UDC]],TableMJRULITCU[],7,FALSE),"")</f>
        <v/>
      </c>
      <c r="X247" s="65" t="str">
        <f>IFERROR(VLOOKUP(TableHandbook[[#This Row],[UDC]],TableMJRUNETCM[],7,FALSE),"")</f>
        <v/>
      </c>
      <c r="Y247" s="65" t="str">
        <f>IFERROR(VLOOKUP(TableHandbook[[#This Row],[UDC]],TableMJRUPRWRP[],7,FALSE),"")</f>
        <v/>
      </c>
      <c r="Z247" s="65" t="str">
        <f>IFERROR(VLOOKUP(TableHandbook[[#This Row],[UDC]],TableMJRUSCSTR[],7,FALSE),"")</f>
        <v/>
      </c>
      <c r="AA247" s="74"/>
      <c r="AB247" s="43" t="str">
        <f>IFERROR(VLOOKUP(TableHandbook[[#This Row],[UDC]],TableMJRUBSLAW[],7,FALSE),"")</f>
        <v/>
      </c>
      <c r="AC247" s="66" t="str">
        <f>IFERROR(VLOOKUP(TableHandbook[[#This Row],[UDC]],TableMJRUECONS[],7,FALSE),"")</f>
        <v/>
      </c>
      <c r="AD247" s="66" t="str">
        <f>IFERROR(VLOOKUP(TableHandbook[[#This Row],[UDC]],TableMJRUFINAR[],7,FALSE),"")</f>
        <v/>
      </c>
      <c r="AE247" s="66" t="str">
        <f>IFERROR(VLOOKUP(TableHandbook[[#This Row],[UDC]],TableMJRUFINCE[],7,FALSE),"")</f>
        <v/>
      </c>
      <c r="AF247" s="66" t="str">
        <f>IFERROR(VLOOKUP(TableHandbook[[#This Row],[UDC]],TableMJRUHRMGM[],7,FALSE),"")</f>
        <v/>
      </c>
      <c r="AG247" s="66" t="str">
        <f>IFERROR(VLOOKUP(TableHandbook[[#This Row],[UDC]],TableMJRUINTBU[],7,FALSE),"")</f>
        <v/>
      </c>
      <c r="AH247" s="66" t="str">
        <f>IFERROR(VLOOKUP(TableHandbook[[#This Row],[UDC]],TableMJRULGSCM[],7,FALSE),"")</f>
        <v/>
      </c>
      <c r="AI247" s="66" t="str">
        <f>IFERROR(VLOOKUP(TableHandbook[[#This Row],[UDC]],TableMJRUMNGMT[],7,FALSE),"")</f>
        <v/>
      </c>
      <c r="AJ247" s="66" t="str">
        <f>IFERROR(VLOOKUP(TableHandbook[[#This Row],[UDC]],TableMJRUMRKTG[],7,FALSE),"")</f>
        <v/>
      </c>
      <c r="AK247" s="66" t="str">
        <f>IFERROR(VLOOKUP(TableHandbook[[#This Row],[UDC]],TableMJRUPRPTY[],7,FALSE),"")</f>
        <v/>
      </c>
      <c r="AL247" s="66" t="str">
        <f>IFERROR(VLOOKUP(TableHandbook[[#This Row],[UDC]],TableMJRUSCRAR[],7,FALSE),"")</f>
        <v/>
      </c>
      <c r="AM247" s="66" t="str">
        <f>IFERROR(VLOOKUP(TableHandbook[[#This Row],[UDC]],TableMJRUTHTRA[],7,FALSE),"")</f>
        <v/>
      </c>
      <c r="AN247" s="66" t="str">
        <f>IFERROR(VLOOKUP(TableHandbook[[#This Row],[UDC]],TableMJRUTRHOS[],7,FALSE),"")</f>
        <v/>
      </c>
    </row>
    <row r="248" spans="1:40" x14ac:dyDescent="0.25">
      <c r="A248" s="8" t="s">
        <v>191</v>
      </c>
      <c r="B248" s="9">
        <v>0</v>
      </c>
      <c r="C248" s="8"/>
      <c r="D248" s="8" t="s">
        <v>781</v>
      </c>
      <c r="E248" s="9">
        <v>25</v>
      </c>
      <c r="F248" s="49" t="s">
        <v>510</v>
      </c>
      <c r="G248" s="67" t="str">
        <f>IFERROR(IF(VLOOKUP(TableHandbook[[#This Row],[UDC]],TableAvailabilities[],2,FALSE)&gt;0,"Y",""),"")</f>
        <v/>
      </c>
      <c r="H248" s="68" t="str">
        <f>IFERROR(IF(VLOOKUP(TableHandbook[[#This Row],[UDC]],TableAvailabilities[],3,FALSE)&gt;0,"Y",""),"")</f>
        <v/>
      </c>
      <c r="I248" s="69" t="str">
        <f>IFERROR(IF(VLOOKUP(TableHandbook[[#This Row],[UDC]],TableAvailabilities[],4,FALSE)&gt;0,"Y",""),"")</f>
        <v/>
      </c>
      <c r="J248" s="70" t="str">
        <f>IFERROR(IF(VLOOKUP(TableHandbook[[#This Row],[UDC]],TableAvailabilities[],5,FALSE)&gt;0,"Y",""),"")</f>
        <v/>
      </c>
      <c r="K248" s="164"/>
      <c r="L248" s="160" t="str">
        <f>IFERROR(VLOOKUP(TableHandbook[[#This Row],[UDC]],TableBARTS[],7,FALSE),"")</f>
        <v/>
      </c>
      <c r="M248" s="65" t="str">
        <f>IFERROR(VLOOKUP(TableHandbook[[#This Row],[UDC]],TableMJRUANTSO[],7,FALSE),"")</f>
        <v/>
      </c>
      <c r="N248" s="65" t="str">
        <f>IFERROR(VLOOKUP(TableHandbook[[#This Row],[UDC]],TableMJRUCHNSE[],7,FALSE),"")</f>
        <v/>
      </c>
      <c r="O248" s="65" t="str">
        <f>IFERROR(VLOOKUP(TableHandbook[[#This Row],[UDC]],TableMJRUCRWRI[],7,FALSE),"")</f>
        <v/>
      </c>
      <c r="P248" s="65" t="str">
        <f>IFERROR(VLOOKUP(TableHandbook[[#This Row],[UDC]],TableMJRUGEOGR[],7,FALSE),"")</f>
        <v/>
      </c>
      <c r="Q248" s="65" t="str">
        <f>IFERROR(VLOOKUP(TableHandbook[[#This Row],[UDC]],TableMJRUHISTR[],7,FALSE),"")</f>
        <v/>
      </c>
      <c r="R248" s="65" t="str">
        <f>IFERROR(VLOOKUP(TableHandbook[[#This Row],[UDC]],TableMJRUINAUC[],7,FALSE),"")</f>
        <v/>
      </c>
      <c r="S248" s="65" t="str">
        <f>IFERROR(VLOOKUP(TableHandbook[[#This Row],[UDC]],TableMJRUINTRL[],7,FALSE),"")</f>
        <v/>
      </c>
      <c r="T248" s="65" t="str">
        <f>IFERROR(VLOOKUP(TableHandbook[[#This Row],[UDC]],TableMJRUJAPAN[],7,FALSE),"")</f>
        <v/>
      </c>
      <c r="U248" s="65" t="str">
        <f>IFERROR(VLOOKUP(TableHandbook[[#This Row],[UDC]],TableMJRUJOURN[],7,FALSE),"")</f>
        <v/>
      </c>
      <c r="V248" s="65" t="str">
        <f>IFERROR(VLOOKUP(TableHandbook[[#This Row],[UDC]],TableMJRUKORES[],7,FALSE),"")</f>
        <v/>
      </c>
      <c r="W248" s="65" t="str">
        <f>IFERROR(VLOOKUP(TableHandbook[[#This Row],[UDC]],TableMJRULITCU[],7,FALSE),"")</f>
        <v/>
      </c>
      <c r="X248" s="65" t="str">
        <f>IFERROR(VLOOKUP(TableHandbook[[#This Row],[UDC]],TableMJRUNETCM[],7,FALSE),"")</f>
        <v/>
      </c>
      <c r="Y248" s="65" t="str">
        <f>IFERROR(VLOOKUP(TableHandbook[[#This Row],[UDC]],TableMJRUPRWRP[],7,FALSE),"")</f>
        <v/>
      </c>
      <c r="Z248" s="65" t="str">
        <f>IFERROR(VLOOKUP(TableHandbook[[#This Row],[UDC]],TableMJRUSCSTR[],7,FALSE),"")</f>
        <v/>
      </c>
      <c r="AA248" s="74"/>
      <c r="AB248" s="43" t="str">
        <f>IFERROR(VLOOKUP(TableHandbook[[#This Row],[UDC]],TableMJRUBSLAW[],7,FALSE),"")</f>
        <v/>
      </c>
      <c r="AC248" s="66" t="str">
        <f>IFERROR(VLOOKUP(TableHandbook[[#This Row],[UDC]],TableMJRUECONS[],7,FALSE),"")</f>
        <v/>
      </c>
      <c r="AD248" s="66" t="str">
        <f>IFERROR(VLOOKUP(TableHandbook[[#This Row],[UDC]],TableMJRUFINAR[],7,FALSE),"")</f>
        <v/>
      </c>
      <c r="AE248" s="66" t="str">
        <f>IFERROR(VLOOKUP(TableHandbook[[#This Row],[UDC]],TableMJRUFINCE[],7,FALSE),"")</f>
        <v/>
      </c>
      <c r="AF248" s="66" t="str">
        <f>IFERROR(VLOOKUP(TableHandbook[[#This Row],[UDC]],TableMJRUHRMGM[],7,FALSE),"")</f>
        <v/>
      </c>
      <c r="AG248" s="66" t="str">
        <f>IFERROR(VLOOKUP(TableHandbook[[#This Row],[UDC]],TableMJRUINTBU[],7,FALSE),"")</f>
        <v/>
      </c>
      <c r="AH248" s="66" t="str">
        <f>IFERROR(VLOOKUP(TableHandbook[[#This Row],[UDC]],TableMJRULGSCM[],7,FALSE),"")</f>
        <v/>
      </c>
      <c r="AI248" s="66" t="str">
        <f>IFERROR(VLOOKUP(TableHandbook[[#This Row],[UDC]],TableMJRUMNGMT[],7,FALSE),"")</f>
        <v/>
      </c>
      <c r="AJ248" s="66" t="str">
        <f>IFERROR(VLOOKUP(TableHandbook[[#This Row],[UDC]],TableMJRUMRKTG[],7,FALSE),"")</f>
        <v/>
      </c>
      <c r="AK248" s="66" t="str">
        <f>IFERROR(VLOOKUP(TableHandbook[[#This Row],[UDC]],TableMJRUPRPTY[],7,FALSE),"")</f>
        <v/>
      </c>
      <c r="AL248" s="66" t="str">
        <f>IFERROR(VLOOKUP(TableHandbook[[#This Row],[UDC]],TableMJRUSCRAR[],7,FALSE),"")</f>
        <v/>
      </c>
      <c r="AM248" s="66" t="str">
        <f>IFERROR(VLOOKUP(TableHandbook[[#This Row],[UDC]],TableMJRUTHTRA[],7,FALSE),"")</f>
        <v/>
      </c>
      <c r="AN248" s="66" t="str">
        <f>IFERROR(VLOOKUP(TableHandbook[[#This Row],[UDC]],TableMJRUTRHOS[],7,FALSE),"")</f>
        <v/>
      </c>
    </row>
    <row r="249" spans="1:40" x14ac:dyDescent="0.25">
      <c r="A249" s="8" t="s">
        <v>286</v>
      </c>
      <c r="B249" s="9">
        <v>0</v>
      </c>
      <c r="C249" s="8"/>
      <c r="D249" s="8" t="s">
        <v>782</v>
      </c>
      <c r="E249" s="9">
        <v>25</v>
      </c>
      <c r="F249" s="49" t="s">
        <v>510</v>
      </c>
      <c r="G249" s="67" t="str">
        <f>IFERROR(IF(VLOOKUP(TableHandbook[[#This Row],[UDC]],TableAvailabilities[],2,FALSE)&gt;0,"Y",""),"")</f>
        <v/>
      </c>
      <c r="H249" s="68" t="str">
        <f>IFERROR(IF(VLOOKUP(TableHandbook[[#This Row],[UDC]],TableAvailabilities[],3,FALSE)&gt;0,"Y",""),"")</f>
        <v/>
      </c>
      <c r="I249" s="69" t="str">
        <f>IFERROR(IF(VLOOKUP(TableHandbook[[#This Row],[UDC]],TableAvailabilities[],4,FALSE)&gt;0,"Y",""),"")</f>
        <v/>
      </c>
      <c r="J249" s="70" t="str">
        <f>IFERROR(IF(VLOOKUP(TableHandbook[[#This Row],[UDC]],TableAvailabilities[],5,FALSE)&gt;0,"Y",""),"")</f>
        <v/>
      </c>
      <c r="K249" s="164"/>
      <c r="L249" s="160" t="str">
        <f>IFERROR(VLOOKUP(TableHandbook[[#This Row],[UDC]],TableBARTS[],7,FALSE),"")</f>
        <v/>
      </c>
      <c r="M249" s="65" t="str">
        <f>IFERROR(VLOOKUP(TableHandbook[[#This Row],[UDC]],TableMJRUANTSO[],7,FALSE),"")</f>
        <v/>
      </c>
      <c r="N249" s="65" t="str">
        <f>IFERROR(VLOOKUP(TableHandbook[[#This Row],[UDC]],TableMJRUCHNSE[],7,FALSE),"")</f>
        <v/>
      </c>
      <c r="O249" s="65" t="str">
        <f>IFERROR(VLOOKUP(TableHandbook[[#This Row],[UDC]],TableMJRUCRWRI[],7,FALSE),"")</f>
        <v/>
      </c>
      <c r="P249" s="65" t="str">
        <f>IFERROR(VLOOKUP(TableHandbook[[#This Row],[UDC]],TableMJRUGEOGR[],7,FALSE),"")</f>
        <v/>
      </c>
      <c r="Q249" s="65" t="str">
        <f>IFERROR(VLOOKUP(TableHandbook[[#This Row],[UDC]],TableMJRUHISTR[],7,FALSE),"")</f>
        <v/>
      </c>
      <c r="R249" s="65" t="str">
        <f>IFERROR(VLOOKUP(TableHandbook[[#This Row],[UDC]],TableMJRUINAUC[],7,FALSE),"")</f>
        <v/>
      </c>
      <c r="S249" s="65" t="str">
        <f>IFERROR(VLOOKUP(TableHandbook[[#This Row],[UDC]],TableMJRUINTRL[],7,FALSE),"")</f>
        <v/>
      </c>
      <c r="T249" s="65" t="str">
        <f>IFERROR(VLOOKUP(TableHandbook[[#This Row],[UDC]],TableMJRUJAPAN[],7,FALSE),"")</f>
        <v/>
      </c>
      <c r="U249" s="65" t="str">
        <f>IFERROR(VLOOKUP(TableHandbook[[#This Row],[UDC]],TableMJRUJOURN[],7,FALSE),"")</f>
        <v>Option</v>
      </c>
      <c r="V249" s="65" t="str">
        <f>IFERROR(VLOOKUP(TableHandbook[[#This Row],[UDC]],TableMJRUKORES[],7,FALSE),"")</f>
        <v/>
      </c>
      <c r="W249" s="65" t="str">
        <f>IFERROR(VLOOKUP(TableHandbook[[#This Row],[UDC]],TableMJRULITCU[],7,FALSE),"")</f>
        <v/>
      </c>
      <c r="X249" s="65" t="str">
        <f>IFERROR(VLOOKUP(TableHandbook[[#This Row],[UDC]],TableMJRUNETCM[],7,FALSE),"")</f>
        <v/>
      </c>
      <c r="Y249" s="65" t="str">
        <f>IFERROR(VLOOKUP(TableHandbook[[#This Row],[UDC]],TableMJRUPRWRP[],7,FALSE),"")</f>
        <v/>
      </c>
      <c r="Z249" s="65" t="str">
        <f>IFERROR(VLOOKUP(TableHandbook[[#This Row],[UDC]],TableMJRUSCSTR[],7,FALSE),"")</f>
        <v/>
      </c>
      <c r="AA249" s="74"/>
      <c r="AB249" s="43" t="str">
        <f>IFERROR(VLOOKUP(TableHandbook[[#This Row],[UDC]],TableMJRUBSLAW[],7,FALSE),"")</f>
        <v/>
      </c>
      <c r="AC249" s="66" t="str">
        <f>IFERROR(VLOOKUP(TableHandbook[[#This Row],[UDC]],TableMJRUECONS[],7,FALSE),"")</f>
        <v/>
      </c>
      <c r="AD249" s="66" t="str">
        <f>IFERROR(VLOOKUP(TableHandbook[[#This Row],[UDC]],TableMJRUFINAR[],7,FALSE),"")</f>
        <v/>
      </c>
      <c r="AE249" s="66" t="str">
        <f>IFERROR(VLOOKUP(TableHandbook[[#This Row],[UDC]],TableMJRUFINCE[],7,FALSE),"")</f>
        <v/>
      </c>
      <c r="AF249" s="66" t="str">
        <f>IFERROR(VLOOKUP(TableHandbook[[#This Row],[UDC]],TableMJRUHRMGM[],7,FALSE),"")</f>
        <v/>
      </c>
      <c r="AG249" s="66" t="str">
        <f>IFERROR(VLOOKUP(TableHandbook[[#This Row],[UDC]],TableMJRUINTBU[],7,FALSE),"")</f>
        <v/>
      </c>
      <c r="AH249" s="66" t="str">
        <f>IFERROR(VLOOKUP(TableHandbook[[#This Row],[UDC]],TableMJRULGSCM[],7,FALSE),"")</f>
        <v/>
      </c>
      <c r="AI249" s="66" t="str">
        <f>IFERROR(VLOOKUP(TableHandbook[[#This Row],[UDC]],TableMJRUMNGMT[],7,FALSE),"")</f>
        <v/>
      </c>
      <c r="AJ249" s="66" t="str">
        <f>IFERROR(VLOOKUP(TableHandbook[[#This Row],[UDC]],TableMJRUMRKTG[],7,FALSE),"")</f>
        <v/>
      </c>
      <c r="AK249" s="66" t="str">
        <f>IFERROR(VLOOKUP(TableHandbook[[#This Row],[UDC]],TableMJRUPRPTY[],7,FALSE),"")</f>
        <v/>
      </c>
      <c r="AL249" s="66" t="str">
        <f>IFERROR(VLOOKUP(TableHandbook[[#This Row],[UDC]],TableMJRUSCRAR[],7,FALSE),"")</f>
        <v/>
      </c>
      <c r="AM249" s="66" t="str">
        <f>IFERROR(VLOOKUP(TableHandbook[[#This Row],[UDC]],TableMJRUTHTRA[],7,FALSE),"")</f>
        <v/>
      </c>
      <c r="AN249" s="66" t="str">
        <f>IFERROR(VLOOKUP(TableHandbook[[#This Row],[UDC]],TableMJRUTRHOS[],7,FALSE),"")</f>
        <v/>
      </c>
    </row>
    <row r="250" spans="1:40" x14ac:dyDescent="0.25">
      <c r="A250" s="8" t="s">
        <v>235</v>
      </c>
      <c r="B250" s="9">
        <v>0</v>
      </c>
      <c r="C250" s="8"/>
      <c r="D250" s="8" t="s">
        <v>783</v>
      </c>
      <c r="E250" s="9">
        <v>25</v>
      </c>
      <c r="F250" s="49" t="s">
        <v>510</v>
      </c>
      <c r="G250" s="67" t="str">
        <f>IFERROR(IF(VLOOKUP(TableHandbook[[#This Row],[UDC]],TableAvailabilities[],2,FALSE)&gt;0,"Y",""),"")</f>
        <v/>
      </c>
      <c r="H250" s="68" t="str">
        <f>IFERROR(IF(VLOOKUP(TableHandbook[[#This Row],[UDC]],TableAvailabilities[],3,FALSE)&gt;0,"Y",""),"")</f>
        <v/>
      </c>
      <c r="I250" s="69" t="str">
        <f>IFERROR(IF(VLOOKUP(TableHandbook[[#This Row],[UDC]],TableAvailabilities[],4,FALSE)&gt;0,"Y",""),"")</f>
        <v/>
      </c>
      <c r="J250" s="70" t="str">
        <f>IFERROR(IF(VLOOKUP(TableHandbook[[#This Row],[UDC]],TableAvailabilities[],5,FALSE)&gt;0,"Y",""),"")</f>
        <v/>
      </c>
      <c r="K250" s="164"/>
      <c r="L250" s="160" t="str">
        <f>IFERROR(VLOOKUP(TableHandbook[[#This Row],[UDC]],TableBARTS[],7,FALSE),"")</f>
        <v/>
      </c>
      <c r="M250" s="65" t="str">
        <f>IFERROR(VLOOKUP(TableHandbook[[#This Row],[UDC]],TableMJRUANTSO[],7,FALSE),"")</f>
        <v/>
      </c>
      <c r="N250" s="65" t="str">
        <f>IFERROR(VLOOKUP(TableHandbook[[#This Row],[UDC]],TableMJRUCHNSE[],7,FALSE),"")</f>
        <v/>
      </c>
      <c r="O250" s="65" t="str">
        <f>IFERROR(VLOOKUP(TableHandbook[[#This Row],[UDC]],TableMJRUCRWRI[],7,FALSE),"")</f>
        <v/>
      </c>
      <c r="P250" s="65" t="str">
        <f>IFERROR(VLOOKUP(TableHandbook[[#This Row],[UDC]],TableMJRUGEOGR[],7,FALSE),"")</f>
        <v/>
      </c>
      <c r="Q250" s="65" t="str">
        <f>IFERROR(VLOOKUP(TableHandbook[[#This Row],[UDC]],TableMJRUHISTR[],7,FALSE),"")</f>
        <v/>
      </c>
      <c r="R250" s="65" t="str">
        <f>IFERROR(VLOOKUP(TableHandbook[[#This Row],[UDC]],TableMJRUINAUC[],7,FALSE),"")</f>
        <v/>
      </c>
      <c r="S250" s="65" t="str">
        <f>IFERROR(VLOOKUP(TableHandbook[[#This Row],[UDC]],TableMJRUINTRL[],7,FALSE),"")</f>
        <v/>
      </c>
      <c r="T250" s="65" t="str">
        <f>IFERROR(VLOOKUP(TableHandbook[[#This Row],[UDC]],TableMJRUJAPAN[],7,FALSE),"")</f>
        <v/>
      </c>
      <c r="U250" s="65" t="str">
        <f>IFERROR(VLOOKUP(TableHandbook[[#This Row],[UDC]],TableMJRUJOURN[],7,FALSE),"")</f>
        <v/>
      </c>
      <c r="V250" s="65" t="str">
        <f>IFERROR(VLOOKUP(TableHandbook[[#This Row],[UDC]],TableMJRUKORES[],7,FALSE),"")</f>
        <v/>
      </c>
      <c r="W250" s="65" t="str">
        <f>IFERROR(VLOOKUP(TableHandbook[[#This Row],[UDC]],TableMJRULITCU[],7,FALSE),"")</f>
        <v>Option</v>
      </c>
      <c r="X250" s="65" t="str">
        <f>IFERROR(VLOOKUP(TableHandbook[[#This Row],[UDC]],TableMJRUNETCM[],7,FALSE),"")</f>
        <v/>
      </c>
      <c r="Y250" s="65" t="str">
        <f>IFERROR(VLOOKUP(TableHandbook[[#This Row],[UDC]],TableMJRUPRWRP[],7,FALSE),"")</f>
        <v/>
      </c>
      <c r="Z250" s="65" t="str">
        <f>IFERROR(VLOOKUP(TableHandbook[[#This Row],[UDC]],TableMJRUSCSTR[],7,FALSE),"")</f>
        <v/>
      </c>
      <c r="AA250" s="74"/>
      <c r="AB250" s="43" t="str">
        <f>IFERROR(VLOOKUP(TableHandbook[[#This Row],[UDC]],TableMJRUBSLAW[],7,FALSE),"")</f>
        <v/>
      </c>
      <c r="AC250" s="66" t="str">
        <f>IFERROR(VLOOKUP(TableHandbook[[#This Row],[UDC]],TableMJRUECONS[],7,FALSE),"")</f>
        <v/>
      </c>
      <c r="AD250" s="66" t="str">
        <f>IFERROR(VLOOKUP(TableHandbook[[#This Row],[UDC]],TableMJRUFINAR[],7,FALSE),"")</f>
        <v/>
      </c>
      <c r="AE250" s="66" t="str">
        <f>IFERROR(VLOOKUP(TableHandbook[[#This Row],[UDC]],TableMJRUFINCE[],7,FALSE),"")</f>
        <v/>
      </c>
      <c r="AF250" s="66" t="str">
        <f>IFERROR(VLOOKUP(TableHandbook[[#This Row],[UDC]],TableMJRUHRMGM[],7,FALSE),"")</f>
        <v/>
      </c>
      <c r="AG250" s="66" t="str">
        <f>IFERROR(VLOOKUP(TableHandbook[[#This Row],[UDC]],TableMJRUINTBU[],7,FALSE),"")</f>
        <v/>
      </c>
      <c r="AH250" s="66" t="str">
        <f>IFERROR(VLOOKUP(TableHandbook[[#This Row],[UDC]],TableMJRULGSCM[],7,FALSE),"")</f>
        <v/>
      </c>
      <c r="AI250" s="66" t="str">
        <f>IFERROR(VLOOKUP(TableHandbook[[#This Row],[UDC]],TableMJRUMNGMT[],7,FALSE),"")</f>
        <v/>
      </c>
      <c r="AJ250" s="66" t="str">
        <f>IFERROR(VLOOKUP(TableHandbook[[#This Row],[UDC]],TableMJRUMRKTG[],7,FALSE),"")</f>
        <v/>
      </c>
      <c r="AK250" s="66" t="str">
        <f>IFERROR(VLOOKUP(TableHandbook[[#This Row],[UDC]],TableMJRUPRPTY[],7,FALSE),"")</f>
        <v/>
      </c>
      <c r="AL250" s="66" t="str">
        <f>IFERROR(VLOOKUP(TableHandbook[[#This Row],[UDC]],TableMJRUSCRAR[],7,FALSE),"")</f>
        <v/>
      </c>
      <c r="AM250" s="66" t="str">
        <f>IFERROR(VLOOKUP(TableHandbook[[#This Row],[UDC]],TableMJRUTHTRA[],7,FALSE),"")</f>
        <v/>
      </c>
      <c r="AN250" s="66" t="str">
        <f>IFERROR(VLOOKUP(TableHandbook[[#This Row],[UDC]],TableMJRUTRHOS[],7,FALSE),"")</f>
        <v/>
      </c>
    </row>
    <row r="251" spans="1:40" x14ac:dyDescent="0.25">
      <c r="A251" s="8" t="s">
        <v>288</v>
      </c>
      <c r="B251" s="9">
        <v>0</v>
      </c>
      <c r="C251" s="8"/>
      <c r="D251" s="8" t="s">
        <v>784</v>
      </c>
      <c r="E251" s="9">
        <v>25</v>
      </c>
      <c r="F251" s="49" t="s">
        <v>510</v>
      </c>
      <c r="G251" s="67" t="str">
        <f>IFERROR(IF(VLOOKUP(TableHandbook[[#This Row],[UDC]],TableAvailabilities[],2,FALSE)&gt;0,"Y",""),"")</f>
        <v/>
      </c>
      <c r="H251" s="68" t="str">
        <f>IFERROR(IF(VLOOKUP(TableHandbook[[#This Row],[UDC]],TableAvailabilities[],3,FALSE)&gt;0,"Y",""),"")</f>
        <v/>
      </c>
      <c r="I251" s="69" t="str">
        <f>IFERROR(IF(VLOOKUP(TableHandbook[[#This Row],[UDC]],TableAvailabilities[],4,FALSE)&gt;0,"Y",""),"")</f>
        <v/>
      </c>
      <c r="J251" s="70" t="str">
        <f>IFERROR(IF(VLOOKUP(TableHandbook[[#This Row],[UDC]],TableAvailabilities[],5,FALSE)&gt;0,"Y",""),"")</f>
        <v/>
      </c>
      <c r="K251" s="164"/>
      <c r="L251" s="160" t="str">
        <f>IFERROR(VLOOKUP(TableHandbook[[#This Row],[UDC]],TableBARTS[],7,FALSE),"")</f>
        <v/>
      </c>
      <c r="M251" s="65" t="str">
        <f>IFERROR(VLOOKUP(TableHandbook[[#This Row],[UDC]],TableMJRUANTSO[],7,FALSE),"")</f>
        <v/>
      </c>
      <c r="N251" s="65" t="str">
        <f>IFERROR(VLOOKUP(TableHandbook[[#This Row],[UDC]],TableMJRUCHNSE[],7,FALSE),"")</f>
        <v/>
      </c>
      <c r="O251" s="65" t="str">
        <f>IFERROR(VLOOKUP(TableHandbook[[#This Row],[UDC]],TableMJRUCRWRI[],7,FALSE),"")</f>
        <v/>
      </c>
      <c r="P251" s="65" t="str">
        <f>IFERROR(VLOOKUP(TableHandbook[[#This Row],[UDC]],TableMJRUGEOGR[],7,FALSE),"")</f>
        <v/>
      </c>
      <c r="Q251" s="65" t="str">
        <f>IFERROR(VLOOKUP(TableHandbook[[#This Row],[UDC]],TableMJRUHISTR[],7,FALSE),"")</f>
        <v/>
      </c>
      <c r="R251" s="65" t="str">
        <f>IFERROR(VLOOKUP(TableHandbook[[#This Row],[UDC]],TableMJRUINAUC[],7,FALSE),"")</f>
        <v/>
      </c>
      <c r="S251" s="65" t="str">
        <f>IFERROR(VLOOKUP(TableHandbook[[#This Row],[UDC]],TableMJRUINTRL[],7,FALSE),"")</f>
        <v/>
      </c>
      <c r="T251" s="65" t="str">
        <f>IFERROR(VLOOKUP(TableHandbook[[#This Row],[UDC]],TableMJRUJAPAN[],7,FALSE),"")</f>
        <v/>
      </c>
      <c r="U251" s="65" t="str">
        <f>IFERROR(VLOOKUP(TableHandbook[[#This Row],[UDC]],TableMJRUJOURN[],7,FALSE),"")</f>
        <v/>
      </c>
      <c r="V251" s="65" t="str">
        <f>IFERROR(VLOOKUP(TableHandbook[[#This Row],[UDC]],TableMJRUKORES[],7,FALSE),"")</f>
        <v/>
      </c>
      <c r="W251" s="65" t="str">
        <f>IFERROR(VLOOKUP(TableHandbook[[#This Row],[UDC]],TableMJRULITCU[],7,FALSE),"")</f>
        <v>Option</v>
      </c>
      <c r="X251" s="65" t="str">
        <f>IFERROR(VLOOKUP(TableHandbook[[#This Row],[UDC]],TableMJRUNETCM[],7,FALSE),"")</f>
        <v/>
      </c>
      <c r="Y251" s="65" t="str">
        <f>IFERROR(VLOOKUP(TableHandbook[[#This Row],[UDC]],TableMJRUPRWRP[],7,FALSE),"")</f>
        <v/>
      </c>
      <c r="Z251" s="65" t="str">
        <f>IFERROR(VLOOKUP(TableHandbook[[#This Row],[UDC]],TableMJRUSCSTR[],7,FALSE),"")</f>
        <v/>
      </c>
      <c r="AA251" s="74"/>
      <c r="AB251" s="43" t="str">
        <f>IFERROR(VLOOKUP(TableHandbook[[#This Row],[UDC]],TableMJRUBSLAW[],7,FALSE),"")</f>
        <v/>
      </c>
      <c r="AC251" s="66" t="str">
        <f>IFERROR(VLOOKUP(TableHandbook[[#This Row],[UDC]],TableMJRUECONS[],7,FALSE),"")</f>
        <v/>
      </c>
      <c r="AD251" s="66" t="str">
        <f>IFERROR(VLOOKUP(TableHandbook[[#This Row],[UDC]],TableMJRUFINAR[],7,FALSE),"")</f>
        <v/>
      </c>
      <c r="AE251" s="66" t="str">
        <f>IFERROR(VLOOKUP(TableHandbook[[#This Row],[UDC]],TableMJRUFINCE[],7,FALSE),"")</f>
        <v/>
      </c>
      <c r="AF251" s="66" t="str">
        <f>IFERROR(VLOOKUP(TableHandbook[[#This Row],[UDC]],TableMJRUHRMGM[],7,FALSE),"")</f>
        <v/>
      </c>
      <c r="AG251" s="66" t="str">
        <f>IFERROR(VLOOKUP(TableHandbook[[#This Row],[UDC]],TableMJRUINTBU[],7,FALSE),"")</f>
        <v/>
      </c>
      <c r="AH251" s="66" t="str">
        <f>IFERROR(VLOOKUP(TableHandbook[[#This Row],[UDC]],TableMJRULGSCM[],7,FALSE),"")</f>
        <v/>
      </c>
      <c r="AI251" s="66" t="str">
        <f>IFERROR(VLOOKUP(TableHandbook[[#This Row],[UDC]],TableMJRUMNGMT[],7,FALSE),"")</f>
        <v/>
      </c>
      <c r="AJ251" s="66" t="str">
        <f>IFERROR(VLOOKUP(TableHandbook[[#This Row],[UDC]],TableMJRUMRKTG[],7,FALSE),"")</f>
        <v/>
      </c>
      <c r="AK251" s="66" t="str">
        <f>IFERROR(VLOOKUP(TableHandbook[[#This Row],[UDC]],TableMJRUPRPTY[],7,FALSE),"")</f>
        <v/>
      </c>
      <c r="AL251" s="66" t="str">
        <f>IFERROR(VLOOKUP(TableHandbook[[#This Row],[UDC]],TableMJRUSCRAR[],7,FALSE),"")</f>
        <v/>
      </c>
      <c r="AM251" s="66" t="str">
        <f>IFERROR(VLOOKUP(TableHandbook[[#This Row],[UDC]],TableMJRUTHTRA[],7,FALSE),"")</f>
        <v/>
      </c>
      <c r="AN251" s="66" t="str">
        <f>IFERROR(VLOOKUP(TableHandbook[[#This Row],[UDC]],TableMJRUTRHOS[],7,FALSE),"")</f>
        <v/>
      </c>
    </row>
    <row r="252" spans="1:40" x14ac:dyDescent="0.25">
      <c r="A252" s="8" t="s">
        <v>289</v>
      </c>
      <c r="B252" s="9">
        <v>0</v>
      </c>
      <c r="C252" s="8"/>
      <c r="D252" s="8" t="s">
        <v>785</v>
      </c>
      <c r="E252" s="9">
        <v>25</v>
      </c>
      <c r="F252" s="49" t="s">
        <v>510</v>
      </c>
      <c r="G252" s="67" t="str">
        <f>IFERROR(IF(VLOOKUP(TableHandbook[[#This Row],[UDC]],TableAvailabilities[],2,FALSE)&gt;0,"Y",""),"")</f>
        <v/>
      </c>
      <c r="H252" s="68" t="str">
        <f>IFERROR(IF(VLOOKUP(TableHandbook[[#This Row],[UDC]],TableAvailabilities[],3,FALSE)&gt;0,"Y",""),"")</f>
        <v/>
      </c>
      <c r="I252" s="69" t="str">
        <f>IFERROR(IF(VLOOKUP(TableHandbook[[#This Row],[UDC]],TableAvailabilities[],4,FALSE)&gt;0,"Y",""),"")</f>
        <v/>
      </c>
      <c r="J252" s="70" t="str">
        <f>IFERROR(IF(VLOOKUP(TableHandbook[[#This Row],[UDC]],TableAvailabilities[],5,FALSE)&gt;0,"Y",""),"")</f>
        <v/>
      </c>
      <c r="K252" s="251"/>
      <c r="L252" s="160" t="str">
        <f>IFERROR(VLOOKUP(TableHandbook[[#This Row],[UDC]],TableBARTS[],7,FALSE),"")</f>
        <v/>
      </c>
      <c r="M252" s="65" t="str">
        <f>IFERROR(VLOOKUP(TableHandbook[[#This Row],[UDC]],TableMJRUANTSO[],7,FALSE),"")</f>
        <v/>
      </c>
      <c r="N252" s="65" t="str">
        <f>IFERROR(VLOOKUP(TableHandbook[[#This Row],[UDC]],TableMJRUCHNSE[],7,FALSE),"")</f>
        <v/>
      </c>
      <c r="O252" s="65" t="str">
        <f>IFERROR(VLOOKUP(TableHandbook[[#This Row],[UDC]],TableMJRUCRWRI[],7,FALSE),"")</f>
        <v/>
      </c>
      <c r="P252" s="65" t="str">
        <f>IFERROR(VLOOKUP(TableHandbook[[#This Row],[UDC]],TableMJRUGEOGR[],7,FALSE),"")</f>
        <v/>
      </c>
      <c r="Q252" s="65" t="str">
        <f>IFERROR(VLOOKUP(TableHandbook[[#This Row],[UDC]],TableMJRUHISTR[],7,FALSE),"")</f>
        <v/>
      </c>
      <c r="R252" s="65" t="str">
        <f>IFERROR(VLOOKUP(TableHandbook[[#This Row],[UDC]],TableMJRUINAUC[],7,FALSE),"")</f>
        <v/>
      </c>
      <c r="S252" s="65" t="str">
        <f>IFERROR(VLOOKUP(TableHandbook[[#This Row],[UDC]],TableMJRUINTRL[],7,FALSE),"")</f>
        <v/>
      </c>
      <c r="T252" s="65" t="str">
        <f>IFERROR(VLOOKUP(TableHandbook[[#This Row],[UDC]],TableMJRUJAPAN[],7,FALSE),"")</f>
        <v/>
      </c>
      <c r="U252" s="65" t="str">
        <f>IFERROR(VLOOKUP(TableHandbook[[#This Row],[UDC]],TableMJRUJOURN[],7,FALSE),"")</f>
        <v/>
      </c>
      <c r="V252" s="65" t="str">
        <f>IFERROR(VLOOKUP(TableHandbook[[#This Row],[UDC]],TableMJRUKORES[],7,FALSE),"")</f>
        <v/>
      </c>
      <c r="W252" s="65" t="str">
        <f>IFERROR(VLOOKUP(TableHandbook[[#This Row],[UDC]],TableMJRULITCU[],7,FALSE),"")</f>
        <v/>
      </c>
      <c r="X252" s="65" t="str">
        <f>IFERROR(VLOOKUP(TableHandbook[[#This Row],[UDC]],TableMJRUNETCM[],7,FALSE),"")</f>
        <v>Option</v>
      </c>
      <c r="Y252" s="65" t="str">
        <f>IFERROR(VLOOKUP(TableHandbook[[#This Row],[UDC]],TableMJRUPRWRP[],7,FALSE),"")</f>
        <v/>
      </c>
      <c r="Z252" s="65" t="str">
        <f>IFERROR(VLOOKUP(TableHandbook[[#This Row],[UDC]],TableMJRUSCSTR[],7,FALSE),"")</f>
        <v/>
      </c>
      <c r="AA252" s="74"/>
      <c r="AB252" s="43" t="str">
        <f>IFERROR(VLOOKUP(TableHandbook[[#This Row],[UDC]],TableMJRUBSLAW[],7,FALSE),"")</f>
        <v/>
      </c>
      <c r="AC252" s="66" t="str">
        <f>IFERROR(VLOOKUP(TableHandbook[[#This Row],[UDC]],TableMJRUECONS[],7,FALSE),"")</f>
        <v/>
      </c>
      <c r="AD252" s="66" t="str">
        <f>IFERROR(VLOOKUP(TableHandbook[[#This Row],[UDC]],TableMJRUFINAR[],7,FALSE),"")</f>
        <v/>
      </c>
      <c r="AE252" s="66" t="str">
        <f>IFERROR(VLOOKUP(TableHandbook[[#This Row],[UDC]],TableMJRUFINCE[],7,FALSE),"")</f>
        <v/>
      </c>
      <c r="AF252" s="66" t="str">
        <f>IFERROR(VLOOKUP(TableHandbook[[#This Row],[UDC]],TableMJRUHRMGM[],7,FALSE),"")</f>
        <v/>
      </c>
      <c r="AG252" s="66" t="str">
        <f>IFERROR(VLOOKUP(TableHandbook[[#This Row],[UDC]],TableMJRUINTBU[],7,FALSE),"")</f>
        <v/>
      </c>
      <c r="AH252" s="66" t="str">
        <f>IFERROR(VLOOKUP(TableHandbook[[#This Row],[UDC]],TableMJRULGSCM[],7,FALSE),"")</f>
        <v/>
      </c>
      <c r="AI252" s="66" t="str">
        <f>IFERROR(VLOOKUP(TableHandbook[[#This Row],[UDC]],TableMJRUMNGMT[],7,FALSE),"")</f>
        <v/>
      </c>
      <c r="AJ252" s="66" t="str">
        <f>IFERROR(VLOOKUP(TableHandbook[[#This Row],[UDC]],TableMJRUMRKTG[],7,FALSE),"")</f>
        <v/>
      </c>
      <c r="AK252" s="66" t="str">
        <f>IFERROR(VLOOKUP(TableHandbook[[#This Row],[UDC]],TableMJRUPRPTY[],7,FALSE),"")</f>
        <v/>
      </c>
      <c r="AL252" s="66" t="str">
        <f>IFERROR(VLOOKUP(TableHandbook[[#This Row],[UDC]],TableMJRUSCRAR[],7,FALSE),"")</f>
        <v/>
      </c>
      <c r="AM252" s="66" t="str">
        <f>IFERROR(VLOOKUP(TableHandbook[[#This Row],[UDC]],TableMJRUTHTRA[],7,FALSE),"")</f>
        <v/>
      </c>
      <c r="AN252" s="66" t="str">
        <f>IFERROR(VLOOKUP(TableHandbook[[#This Row],[UDC]],TableMJRUTRHOS[],7,FALSE),"")</f>
        <v/>
      </c>
    </row>
    <row r="253" spans="1:40" x14ac:dyDescent="0.25">
      <c r="A253" s="8" t="s">
        <v>786</v>
      </c>
      <c r="B253" s="9">
        <v>0</v>
      </c>
      <c r="C253" s="8"/>
      <c r="D253" s="8" t="s">
        <v>787</v>
      </c>
      <c r="E253" s="9">
        <v>25</v>
      </c>
      <c r="F253" s="49" t="s">
        <v>510</v>
      </c>
      <c r="G253" s="67" t="str">
        <f>IFERROR(IF(VLOOKUP(TableHandbook[[#This Row],[UDC]],TableAvailabilities[],2,FALSE)&gt;0,"Y",""),"")</f>
        <v/>
      </c>
      <c r="H253" s="68" t="str">
        <f>IFERROR(IF(VLOOKUP(TableHandbook[[#This Row],[UDC]],TableAvailabilities[],3,FALSE)&gt;0,"Y",""),"")</f>
        <v/>
      </c>
      <c r="I253" s="69" t="str">
        <f>IFERROR(IF(VLOOKUP(TableHandbook[[#This Row],[UDC]],TableAvailabilities[],4,FALSE)&gt;0,"Y",""),"")</f>
        <v/>
      </c>
      <c r="J253" s="70" t="str">
        <f>IFERROR(IF(VLOOKUP(TableHandbook[[#This Row],[UDC]],TableAvailabilities[],5,FALSE)&gt;0,"Y",""),"")</f>
        <v/>
      </c>
      <c r="K253" s="164"/>
      <c r="L253" s="160" t="str">
        <f>IFERROR(VLOOKUP(TableHandbook[[#This Row],[UDC]],TableBARTS[],7,FALSE),"")</f>
        <v/>
      </c>
      <c r="M253" s="65" t="str">
        <f>IFERROR(VLOOKUP(TableHandbook[[#This Row],[UDC]],TableMJRUANTSO[],7,FALSE),"")</f>
        <v/>
      </c>
      <c r="N253" s="65" t="str">
        <f>IFERROR(VLOOKUP(TableHandbook[[#This Row],[UDC]],TableMJRUCHNSE[],7,FALSE),"")</f>
        <v/>
      </c>
      <c r="O253" s="65" t="str">
        <f>IFERROR(VLOOKUP(TableHandbook[[#This Row],[UDC]],TableMJRUCRWRI[],7,FALSE),"")</f>
        <v/>
      </c>
      <c r="P253" s="65" t="str">
        <f>IFERROR(VLOOKUP(TableHandbook[[#This Row],[UDC]],TableMJRUGEOGR[],7,FALSE),"")</f>
        <v/>
      </c>
      <c r="Q253" s="65" t="str">
        <f>IFERROR(VLOOKUP(TableHandbook[[#This Row],[UDC]],TableMJRUHISTR[],7,FALSE),"")</f>
        <v/>
      </c>
      <c r="R253" s="65" t="str">
        <f>IFERROR(VLOOKUP(TableHandbook[[#This Row],[UDC]],TableMJRUINAUC[],7,FALSE),"")</f>
        <v/>
      </c>
      <c r="S253" s="65" t="str">
        <f>IFERROR(VLOOKUP(TableHandbook[[#This Row],[UDC]],TableMJRUINTRL[],7,FALSE),"")</f>
        <v/>
      </c>
      <c r="T253" s="65" t="str">
        <f>IFERROR(VLOOKUP(TableHandbook[[#This Row],[UDC]],TableMJRUJAPAN[],7,FALSE),"")</f>
        <v/>
      </c>
      <c r="U253" s="65" t="str">
        <f>IFERROR(VLOOKUP(TableHandbook[[#This Row],[UDC]],TableMJRUJOURN[],7,FALSE),"")</f>
        <v/>
      </c>
      <c r="V253" s="65" t="str">
        <f>IFERROR(VLOOKUP(TableHandbook[[#This Row],[UDC]],TableMJRUKORES[],7,FALSE),"")</f>
        <v/>
      </c>
      <c r="W253" s="65" t="str">
        <f>IFERROR(VLOOKUP(TableHandbook[[#This Row],[UDC]],TableMJRULITCU[],7,FALSE),"")</f>
        <v/>
      </c>
      <c r="X253" s="65" t="str">
        <f>IFERROR(VLOOKUP(TableHandbook[[#This Row],[UDC]],TableMJRUNETCM[],7,FALSE),"")</f>
        <v/>
      </c>
      <c r="Y253" s="65" t="str">
        <f>IFERROR(VLOOKUP(TableHandbook[[#This Row],[UDC]],TableMJRUPRWRP[],7,FALSE),"")</f>
        <v/>
      </c>
      <c r="Z253" s="65" t="str">
        <f>IFERROR(VLOOKUP(TableHandbook[[#This Row],[UDC]],TableMJRUSCSTR[],7,FALSE),"")</f>
        <v/>
      </c>
      <c r="AA253" s="74"/>
      <c r="AB253" s="43" t="str">
        <f>IFERROR(VLOOKUP(TableHandbook[[#This Row],[UDC]],TableMJRUBSLAW[],7,FALSE),"")</f>
        <v/>
      </c>
      <c r="AC253" s="66" t="str">
        <f>IFERROR(VLOOKUP(TableHandbook[[#This Row],[UDC]],TableMJRUECONS[],7,FALSE),"")</f>
        <v/>
      </c>
      <c r="AD253" s="66" t="str">
        <f>IFERROR(VLOOKUP(TableHandbook[[#This Row],[UDC]],TableMJRUFINAR[],7,FALSE),"")</f>
        <v/>
      </c>
      <c r="AE253" s="66" t="str">
        <f>IFERROR(VLOOKUP(TableHandbook[[#This Row],[UDC]],TableMJRUFINCE[],7,FALSE),"")</f>
        <v/>
      </c>
      <c r="AF253" s="66" t="str">
        <f>IFERROR(VLOOKUP(TableHandbook[[#This Row],[UDC]],TableMJRUHRMGM[],7,FALSE),"")</f>
        <v/>
      </c>
      <c r="AG253" s="66" t="str">
        <f>IFERROR(VLOOKUP(TableHandbook[[#This Row],[UDC]],TableMJRUINTBU[],7,FALSE),"")</f>
        <v/>
      </c>
      <c r="AH253" s="66" t="str">
        <f>IFERROR(VLOOKUP(TableHandbook[[#This Row],[UDC]],TableMJRULGSCM[],7,FALSE),"")</f>
        <v/>
      </c>
      <c r="AI253" s="66" t="str">
        <f>IFERROR(VLOOKUP(TableHandbook[[#This Row],[UDC]],TableMJRUMNGMT[],7,FALSE),"")</f>
        <v/>
      </c>
      <c r="AJ253" s="66" t="str">
        <f>IFERROR(VLOOKUP(TableHandbook[[#This Row],[UDC]],TableMJRUMRKTG[],7,FALSE),"")</f>
        <v/>
      </c>
      <c r="AK253" s="66" t="str">
        <f>IFERROR(VLOOKUP(TableHandbook[[#This Row],[UDC]],TableMJRUPRPTY[],7,FALSE),"")</f>
        <v/>
      </c>
      <c r="AL253" s="66" t="str">
        <f>IFERROR(VLOOKUP(TableHandbook[[#This Row],[UDC]],TableMJRUSCRAR[],7,FALSE),"")</f>
        <v>Option</v>
      </c>
      <c r="AM253" s="66" t="str">
        <f>IFERROR(VLOOKUP(TableHandbook[[#This Row],[UDC]],TableMJRUTHTRA[],7,FALSE),"")</f>
        <v/>
      </c>
      <c r="AN253" s="66" t="str">
        <f>IFERROR(VLOOKUP(TableHandbook[[#This Row],[UDC]],TableMJRUTRHOS[],7,FALSE),"")</f>
        <v/>
      </c>
    </row>
    <row r="254" spans="1:40" x14ac:dyDescent="0.25">
      <c r="A254" s="8" t="s">
        <v>470</v>
      </c>
      <c r="B254" s="9">
        <v>0</v>
      </c>
      <c r="C254" s="8"/>
      <c r="D254" s="8" t="s">
        <v>788</v>
      </c>
      <c r="E254" s="9">
        <v>25</v>
      </c>
      <c r="F254" s="49" t="s">
        <v>510</v>
      </c>
      <c r="G254" s="67" t="str">
        <f>IFERROR(IF(VLOOKUP(TableHandbook[[#This Row],[UDC]],TableAvailabilities[],2,FALSE)&gt;0,"Y",""),"")</f>
        <v/>
      </c>
      <c r="H254" s="68" t="str">
        <f>IFERROR(IF(VLOOKUP(TableHandbook[[#This Row],[UDC]],TableAvailabilities[],3,FALSE)&gt;0,"Y",""),"")</f>
        <v/>
      </c>
      <c r="I254" s="69" t="str">
        <f>IFERROR(IF(VLOOKUP(TableHandbook[[#This Row],[UDC]],TableAvailabilities[],4,FALSE)&gt;0,"Y",""),"")</f>
        <v/>
      </c>
      <c r="J254" s="70" t="str">
        <f>IFERROR(IF(VLOOKUP(TableHandbook[[#This Row],[UDC]],TableAvailabilities[],5,FALSE)&gt;0,"Y",""),"")</f>
        <v/>
      </c>
      <c r="K254" s="164"/>
      <c r="L254" s="160" t="str">
        <f>IFERROR(VLOOKUP(TableHandbook[[#This Row],[UDC]],TableBARTS[],7,FALSE),"")</f>
        <v/>
      </c>
      <c r="M254" s="65" t="str">
        <f>IFERROR(VLOOKUP(TableHandbook[[#This Row],[UDC]],TableMJRUANTSO[],7,FALSE),"")</f>
        <v/>
      </c>
      <c r="N254" s="65" t="str">
        <f>IFERROR(VLOOKUP(TableHandbook[[#This Row],[UDC]],TableMJRUCHNSE[],7,FALSE),"")</f>
        <v/>
      </c>
      <c r="O254" s="65" t="str">
        <f>IFERROR(VLOOKUP(TableHandbook[[#This Row],[UDC]],TableMJRUCRWRI[],7,FALSE),"")</f>
        <v/>
      </c>
      <c r="P254" s="65" t="str">
        <f>IFERROR(VLOOKUP(TableHandbook[[#This Row],[UDC]],TableMJRUGEOGR[],7,FALSE),"")</f>
        <v/>
      </c>
      <c r="Q254" s="65" t="str">
        <f>IFERROR(VLOOKUP(TableHandbook[[#This Row],[UDC]],TableMJRUHISTR[],7,FALSE),"")</f>
        <v/>
      </c>
      <c r="R254" s="65" t="str">
        <f>IFERROR(VLOOKUP(TableHandbook[[#This Row],[UDC]],TableMJRUINAUC[],7,FALSE),"")</f>
        <v/>
      </c>
      <c r="S254" s="65" t="str">
        <f>IFERROR(VLOOKUP(TableHandbook[[#This Row],[UDC]],TableMJRUINTRL[],7,FALSE),"")</f>
        <v/>
      </c>
      <c r="T254" s="65" t="str">
        <f>IFERROR(VLOOKUP(TableHandbook[[#This Row],[UDC]],TableMJRUJAPAN[],7,FALSE),"")</f>
        <v/>
      </c>
      <c r="U254" s="65" t="str">
        <f>IFERROR(VLOOKUP(TableHandbook[[#This Row],[UDC]],TableMJRUJOURN[],7,FALSE),"")</f>
        <v/>
      </c>
      <c r="V254" s="65" t="str">
        <f>IFERROR(VLOOKUP(TableHandbook[[#This Row],[UDC]],TableMJRUKORES[],7,FALSE),"")</f>
        <v/>
      </c>
      <c r="W254" s="65" t="str">
        <f>IFERROR(VLOOKUP(TableHandbook[[#This Row],[UDC]],TableMJRULITCU[],7,FALSE),"")</f>
        <v/>
      </c>
      <c r="X254" s="65" t="str">
        <f>IFERROR(VLOOKUP(TableHandbook[[#This Row],[UDC]],TableMJRUNETCM[],7,FALSE),"")</f>
        <v/>
      </c>
      <c r="Y254" s="65" t="str">
        <f>IFERROR(VLOOKUP(TableHandbook[[#This Row],[UDC]],TableMJRUPRWRP[],7,FALSE),"")</f>
        <v/>
      </c>
      <c r="Z254" s="65" t="str">
        <f>IFERROR(VLOOKUP(TableHandbook[[#This Row],[UDC]],TableMJRUSCSTR[],7,FALSE),"")</f>
        <v/>
      </c>
      <c r="AA254" s="74"/>
      <c r="AB254" s="43" t="str">
        <f>IFERROR(VLOOKUP(TableHandbook[[#This Row],[UDC]],TableMJRUBSLAW[],7,FALSE),"")</f>
        <v/>
      </c>
      <c r="AC254" s="66" t="str">
        <f>IFERROR(VLOOKUP(TableHandbook[[#This Row],[UDC]],TableMJRUECONS[],7,FALSE),"")</f>
        <v/>
      </c>
      <c r="AD254" s="66" t="str">
        <f>IFERROR(VLOOKUP(TableHandbook[[#This Row],[UDC]],TableMJRUFINAR[],7,FALSE),"")</f>
        <v/>
      </c>
      <c r="AE254" s="66" t="str">
        <f>IFERROR(VLOOKUP(TableHandbook[[#This Row],[UDC]],TableMJRUFINCE[],7,FALSE),"")</f>
        <v/>
      </c>
      <c r="AF254" s="66" t="str">
        <f>IFERROR(VLOOKUP(TableHandbook[[#This Row],[UDC]],TableMJRUHRMGM[],7,FALSE),"")</f>
        <v/>
      </c>
      <c r="AG254" s="66" t="str">
        <f>IFERROR(VLOOKUP(TableHandbook[[#This Row],[UDC]],TableMJRUINTBU[],7,FALSE),"")</f>
        <v/>
      </c>
      <c r="AH254" s="66" t="str">
        <f>IFERROR(VLOOKUP(TableHandbook[[#This Row],[UDC]],TableMJRULGSCM[],7,FALSE),"")</f>
        <v/>
      </c>
      <c r="AI254" s="66" t="str">
        <f>IFERROR(VLOOKUP(TableHandbook[[#This Row],[UDC]],TableMJRUMNGMT[],7,FALSE),"")</f>
        <v/>
      </c>
      <c r="AJ254" s="66" t="str">
        <f>IFERROR(VLOOKUP(TableHandbook[[#This Row],[UDC]],TableMJRUMRKTG[],7,FALSE),"")</f>
        <v/>
      </c>
      <c r="AK254" s="66" t="str">
        <f>IFERROR(VLOOKUP(TableHandbook[[#This Row],[UDC]],TableMJRUPRPTY[],7,FALSE),"")</f>
        <v/>
      </c>
      <c r="AL254" s="66" t="str">
        <f>IFERROR(VLOOKUP(TableHandbook[[#This Row],[UDC]],TableMJRUSCRAR[],7,FALSE),"")</f>
        <v>Option</v>
      </c>
      <c r="AM254" s="66" t="str">
        <f>IFERROR(VLOOKUP(TableHandbook[[#This Row],[UDC]],TableMJRUTHTRA[],7,FALSE),"")</f>
        <v/>
      </c>
      <c r="AN254" s="66" t="str">
        <f>IFERROR(VLOOKUP(TableHandbook[[#This Row],[UDC]],TableMJRUTRHOS[],7,FALSE),"")</f>
        <v/>
      </c>
    </row>
    <row r="255" spans="1:40" x14ac:dyDescent="0.25">
      <c r="A255" s="8" t="s">
        <v>432</v>
      </c>
      <c r="B255" s="9">
        <v>0</v>
      </c>
      <c r="C255" s="8"/>
      <c r="D255" s="8" t="s">
        <v>789</v>
      </c>
      <c r="E255" s="9">
        <v>25</v>
      </c>
      <c r="F255" s="49" t="s">
        <v>510</v>
      </c>
      <c r="G255" s="67" t="str">
        <f>IFERROR(IF(VLOOKUP(TableHandbook[[#This Row],[UDC]],TableAvailabilities[],2,FALSE)&gt;0,"Y",""),"")</f>
        <v/>
      </c>
      <c r="H255" s="68" t="str">
        <f>IFERROR(IF(VLOOKUP(TableHandbook[[#This Row],[UDC]],TableAvailabilities[],3,FALSE)&gt;0,"Y",""),"")</f>
        <v/>
      </c>
      <c r="I255" s="69" t="str">
        <f>IFERROR(IF(VLOOKUP(TableHandbook[[#This Row],[UDC]],TableAvailabilities[],4,FALSE)&gt;0,"Y",""),"")</f>
        <v/>
      </c>
      <c r="J255" s="70" t="str">
        <f>IFERROR(IF(VLOOKUP(TableHandbook[[#This Row],[UDC]],TableAvailabilities[],5,FALSE)&gt;0,"Y",""),"")</f>
        <v/>
      </c>
      <c r="K255" s="164"/>
      <c r="L255" s="160" t="str">
        <f>IFERROR(VLOOKUP(TableHandbook[[#This Row],[UDC]],TableBARTS[],7,FALSE),"")</f>
        <v/>
      </c>
      <c r="M255" s="65" t="str">
        <f>IFERROR(VLOOKUP(TableHandbook[[#This Row],[UDC]],TableMJRUANTSO[],7,FALSE),"")</f>
        <v/>
      </c>
      <c r="N255" s="65" t="str">
        <f>IFERROR(VLOOKUP(TableHandbook[[#This Row],[UDC]],TableMJRUCHNSE[],7,FALSE),"")</f>
        <v/>
      </c>
      <c r="O255" s="65" t="str">
        <f>IFERROR(VLOOKUP(TableHandbook[[#This Row],[UDC]],TableMJRUCRWRI[],7,FALSE),"")</f>
        <v/>
      </c>
      <c r="P255" s="65" t="str">
        <f>IFERROR(VLOOKUP(TableHandbook[[#This Row],[UDC]],TableMJRUGEOGR[],7,FALSE),"")</f>
        <v/>
      </c>
      <c r="Q255" s="65" t="str">
        <f>IFERROR(VLOOKUP(TableHandbook[[#This Row],[UDC]],TableMJRUHISTR[],7,FALSE),"")</f>
        <v/>
      </c>
      <c r="R255" s="65" t="str">
        <f>IFERROR(VLOOKUP(TableHandbook[[#This Row],[UDC]],TableMJRUINAUC[],7,FALSE),"")</f>
        <v/>
      </c>
      <c r="S255" s="65" t="str">
        <f>IFERROR(VLOOKUP(TableHandbook[[#This Row],[UDC]],TableMJRUINTRL[],7,FALSE),"")</f>
        <v/>
      </c>
      <c r="T255" s="65" t="str">
        <f>IFERROR(VLOOKUP(TableHandbook[[#This Row],[UDC]],TableMJRUJAPAN[],7,FALSE),"")</f>
        <v/>
      </c>
      <c r="U255" s="65" t="str">
        <f>IFERROR(VLOOKUP(TableHandbook[[#This Row],[UDC]],TableMJRUJOURN[],7,FALSE),"")</f>
        <v/>
      </c>
      <c r="V255" s="65" t="str">
        <f>IFERROR(VLOOKUP(TableHandbook[[#This Row],[UDC]],TableMJRUKORES[],7,FALSE),"")</f>
        <v/>
      </c>
      <c r="W255" s="65" t="str">
        <f>IFERROR(VLOOKUP(TableHandbook[[#This Row],[UDC]],TableMJRULITCU[],7,FALSE),"")</f>
        <v/>
      </c>
      <c r="X255" s="65" t="str">
        <f>IFERROR(VLOOKUP(TableHandbook[[#This Row],[UDC]],TableMJRUNETCM[],7,FALSE),"")</f>
        <v/>
      </c>
      <c r="Y255" s="65" t="str">
        <f>IFERROR(VLOOKUP(TableHandbook[[#This Row],[UDC]],TableMJRUPRWRP[],7,FALSE),"")</f>
        <v/>
      </c>
      <c r="Z255" s="65" t="str">
        <f>IFERROR(VLOOKUP(TableHandbook[[#This Row],[UDC]],TableMJRUSCSTR[],7,FALSE),"")</f>
        <v/>
      </c>
      <c r="AA255" s="74"/>
      <c r="AB255" s="43" t="str">
        <f>IFERROR(VLOOKUP(TableHandbook[[#This Row],[UDC]],TableMJRUBSLAW[],7,FALSE),"")</f>
        <v/>
      </c>
      <c r="AC255" s="66" t="str">
        <f>IFERROR(VLOOKUP(TableHandbook[[#This Row],[UDC]],TableMJRUECONS[],7,FALSE),"")</f>
        <v/>
      </c>
      <c r="AD255" s="66" t="str">
        <f>IFERROR(VLOOKUP(TableHandbook[[#This Row],[UDC]],TableMJRUFINAR[],7,FALSE),"")</f>
        <v/>
      </c>
      <c r="AE255" s="66" t="str">
        <f>IFERROR(VLOOKUP(TableHandbook[[#This Row],[UDC]],TableMJRUFINCE[],7,FALSE),"")</f>
        <v/>
      </c>
      <c r="AF255" s="66" t="str">
        <f>IFERROR(VLOOKUP(TableHandbook[[#This Row],[UDC]],TableMJRUHRMGM[],7,FALSE),"")</f>
        <v/>
      </c>
      <c r="AG255" s="66" t="str">
        <f>IFERROR(VLOOKUP(TableHandbook[[#This Row],[UDC]],TableMJRUINTBU[],7,FALSE),"")</f>
        <v/>
      </c>
      <c r="AH255" s="66" t="str">
        <f>IFERROR(VLOOKUP(TableHandbook[[#This Row],[UDC]],TableMJRULGSCM[],7,FALSE),"")</f>
        <v/>
      </c>
      <c r="AI255" s="66" t="str">
        <f>IFERROR(VLOOKUP(TableHandbook[[#This Row],[UDC]],TableMJRUMNGMT[],7,FALSE),"")</f>
        <v/>
      </c>
      <c r="AJ255" s="66" t="str">
        <f>IFERROR(VLOOKUP(TableHandbook[[#This Row],[UDC]],TableMJRUMRKTG[],7,FALSE),"")</f>
        <v/>
      </c>
      <c r="AK255" s="66" t="str">
        <f>IFERROR(VLOOKUP(TableHandbook[[#This Row],[UDC]],TableMJRUPRPTY[],7,FALSE),"")</f>
        <v/>
      </c>
      <c r="AL255" s="66" t="str">
        <f>IFERROR(VLOOKUP(TableHandbook[[#This Row],[UDC]],TableMJRUSCRAR[],7,FALSE),"")</f>
        <v/>
      </c>
      <c r="AM255" s="66" t="str">
        <f>IFERROR(VLOOKUP(TableHandbook[[#This Row],[UDC]],TableMJRUTHTRA[],7,FALSE),"")</f>
        <v>Option</v>
      </c>
      <c r="AN255" s="66" t="str">
        <f>IFERROR(VLOOKUP(TableHandbook[[#This Row],[UDC]],TableMJRUTRHOS[],7,FALSE),"")</f>
        <v/>
      </c>
    </row>
    <row r="256" spans="1:40" x14ac:dyDescent="0.25">
      <c r="A256" s="8" t="s">
        <v>65</v>
      </c>
      <c r="B256" s="9">
        <v>1</v>
      </c>
      <c r="C256" s="8"/>
      <c r="D256" s="8" t="s">
        <v>790</v>
      </c>
      <c r="E256" s="9">
        <v>25</v>
      </c>
      <c r="F256" s="49" t="s">
        <v>526</v>
      </c>
      <c r="G256" s="67" t="str">
        <f>IFERROR(IF(VLOOKUP(TableHandbook[[#This Row],[UDC]],TableAvailabilities[],2,FALSE)&gt;0,"Y",""),"")</f>
        <v/>
      </c>
      <c r="H256" s="68" t="str">
        <f>IFERROR(IF(VLOOKUP(TableHandbook[[#This Row],[UDC]],TableAvailabilities[],3,FALSE)&gt;0,"Y",""),"")</f>
        <v/>
      </c>
      <c r="I256" s="69" t="str">
        <f>IFERROR(IF(VLOOKUP(TableHandbook[[#This Row],[UDC]],TableAvailabilities[],4,FALSE)&gt;0,"Y",""),"")</f>
        <v>Y</v>
      </c>
      <c r="J256" s="70" t="str">
        <f>IFERROR(IF(VLOOKUP(TableHandbook[[#This Row],[UDC]],TableAvailabilities[],5,FALSE)&gt;0,"Y",""),"")</f>
        <v>Y</v>
      </c>
      <c r="K256" s="164"/>
      <c r="L256" s="160" t="str">
        <f>IFERROR(VLOOKUP(TableHandbook[[#This Row],[UDC]],TableBARTS[],7,FALSE),"")</f>
        <v>Option</v>
      </c>
      <c r="M256" s="65" t="str">
        <f>IFERROR(VLOOKUP(TableHandbook[[#This Row],[UDC]],TableMJRUANTSO[],7,FALSE),"")</f>
        <v/>
      </c>
      <c r="N256" s="65" t="str">
        <f>IFERROR(VLOOKUP(TableHandbook[[#This Row],[UDC]],TableMJRUCHNSE[],7,FALSE),"")</f>
        <v/>
      </c>
      <c r="O256" s="65" t="str">
        <f>IFERROR(VLOOKUP(TableHandbook[[#This Row],[UDC]],TableMJRUCRWRI[],7,FALSE),"")</f>
        <v/>
      </c>
      <c r="P256" s="65" t="str">
        <f>IFERROR(VLOOKUP(TableHandbook[[#This Row],[UDC]],TableMJRUGEOGR[],7,FALSE),"")</f>
        <v/>
      </c>
      <c r="Q256" s="65" t="str">
        <f>IFERROR(VLOOKUP(TableHandbook[[#This Row],[UDC]],TableMJRUHISTR[],7,FALSE),"")</f>
        <v/>
      </c>
      <c r="R256" s="65" t="str">
        <f>IFERROR(VLOOKUP(TableHandbook[[#This Row],[UDC]],TableMJRUINAUC[],7,FALSE),"")</f>
        <v/>
      </c>
      <c r="S256" s="65" t="str">
        <f>IFERROR(VLOOKUP(TableHandbook[[#This Row],[UDC]],TableMJRUINTRL[],7,FALSE),"")</f>
        <v/>
      </c>
      <c r="T256" s="65" t="str">
        <f>IFERROR(VLOOKUP(TableHandbook[[#This Row],[UDC]],TableMJRUJAPAN[],7,FALSE),"")</f>
        <v/>
      </c>
      <c r="U256" s="65" t="str">
        <f>IFERROR(VLOOKUP(TableHandbook[[#This Row],[UDC]],TableMJRUJOURN[],7,FALSE),"")</f>
        <v/>
      </c>
      <c r="V256" s="65" t="str">
        <f>IFERROR(VLOOKUP(TableHandbook[[#This Row],[UDC]],TableMJRUKORES[],7,FALSE),"")</f>
        <v/>
      </c>
      <c r="W256" s="65" t="str">
        <f>IFERROR(VLOOKUP(TableHandbook[[#This Row],[UDC]],TableMJRULITCU[],7,FALSE),"")</f>
        <v/>
      </c>
      <c r="X256" s="65" t="str">
        <f>IFERROR(VLOOKUP(TableHandbook[[#This Row],[UDC]],TableMJRUNETCM[],7,FALSE),"")</f>
        <v/>
      </c>
      <c r="Y256" s="65" t="str">
        <f>IFERROR(VLOOKUP(TableHandbook[[#This Row],[UDC]],TableMJRUPRWRP[],7,FALSE),"")</f>
        <v/>
      </c>
      <c r="Z256" s="65" t="str">
        <f>IFERROR(VLOOKUP(TableHandbook[[#This Row],[UDC]],TableMJRUSCSTR[],7,FALSE),"")</f>
        <v/>
      </c>
      <c r="AA256" s="74"/>
      <c r="AB256" s="43" t="str">
        <f>IFERROR(VLOOKUP(TableHandbook[[#This Row],[UDC]],TableMJRUBSLAW[],7,FALSE),"")</f>
        <v/>
      </c>
      <c r="AC256" s="66" t="str">
        <f>IFERROR(VLOOKUP(TableHandbook[[#This Row],[UDC]],TableMJRUECONS[],7,FALSE),"")</f>
        <v/>
      </c>
      <c r="AD256" s="66" t="str">
        <f>IFERROR(VLOOKUP(TableHandbook[[#This Row],[UDC]],TableMJRUFINAR[],7,FALSE),"")</f>
        <v/>
      </c>
      <c r="AE256" s="66" t="str">
        <f>IFERROR(VLOOKUP(TableHandbook[[#This Row],[UDC]],TableMJRUFINCE[],7,FALSE),"")</f>
        <v/>
      </c>
      <c r="AF256" s="66" t="str">
        <f>IFERROR(VLOOKUP(TableHandbook[[#This Row],[UDC]],TableMJRUHRMGM[],7,FALSE),"")</f>
        <v/>
      </c>
      <c r="AG256" s="66" t="str">
        <f>IFERROR(VLOOKUP(TableHandbook[[#This Row],[UDC]],TableMJRUINTBU[],7,FALSE),"")</f>
        <v/>
      </c>
      <c r="AH256" s="66" t="str">
        <f>IFERROR(VLOOKUP(TableHandbook[[#This Row],[UDC]],TableMJRULGSCM[],7,FALSE),"")</f>
        <v/>
      </c>
      <c r="AI256" s="66" t="str">
        <f>IFERROR(VLOOKUP(TableHandbook[[#This Row],[UDC]],TableMJRUMNGMT[],7,FALSE),"")</f>
        <v/>
      </c>
      <c r="AJ256" s="66" t="str">
        <f>IFERROR(VLOOKUP(TableHandbook[[#This Row],[UDC]],TableMJRUMRKTG[],7,FALSE),"")</f>
        <v/>
      </c>
      <c r="AK256" s="66" t="str">
        <f>IFERROR(VLOOKUP(TableHandbook[[#This Row],[UDC]],TableMJRUPRPTY[],7,FALSE),"")</f>
        <v/>
      </c>
      <c r="AL256" s="66" t="str">
        <f>IFERROR(VLOOKUP(TableHandbook[[#This Row],[UDC]],TableMJRUSCRAR[],7,FALSE),"")</f>
        <v/>
      </c>
      <c r="AM256" s="66" t="str">
        <f>IFERROR(VLOOKUP(TableHandbook[[#This Row],[UDC]],TableMJRUTHTRA[],7,FALSE),"")</f>
        <v/>
      </c>
      <c r="AN256" s="66" t="str">
        <f>IFERROR(VLOOKUP(TableHandbook[[#This Row],[UDC]],TableMJRUTRHOS[],7,FALSE),"")</f>
        <v/>
      </c>
    </row>
    <row r="257" spans="1:40" x14ac:dyDescent="0.25">
      <c r="A257" s="8" t="s">
        <v>245</v>
      </c>
      <c r="B257" s="9">
        <v>1</v>
      </c>
      <c r="C257" s="8"/>
      <c r="D257" s="8" t="s">
        <v>791</v>
      </c>
      <c r="E257" s="9">
        <v>25</v>
      </c>
      <c r="F257" s="49" t="s">
        <v>526</v>
      </c>
      <c r="G257" s="67" t="str">
        <f>IFERROR(IF(VLOOKUP(TableHandbook[[#This Row],[UDC]],TableAvailabilities[],2,FALSE)&gt;0,"Y",""),"")</f>
        <v/>
      </c>
      <c r="H257" s="68" t="str">
        <f>IFERROR(IF(VLOOKUP(TableHandbook[[#This Row],[UDC]],TableAvailabilities[],3,FALSE)&gt;0,"Y",""),"")</f>
        <v/>
      </c>
      <c r="I257" s="69" t="str">
        <f>IFERROR(IF(VLOOKUP(TableHandbook[[#This Row],[UDC]],TableAvailabilities[],4,FALSE)&gt;0,"Y",""),"")</f>
        <v>Y</v>
      </c>
      <c r="J257" s="70" t="str">
        <f>IFERROR(IF(VLOOKUP(TableHandbook[[#This Row],[UDC]],TableAvailabilities[],5,FALSE)&gt;0,"Y",""),"")</f>
        <v>Y</v>
      </c>
      <c r="K257" s="164"/>
      <c r="L257" s="160" t="str">
        <f>IFERROR(VLOOKUP(TableHandbook[[#This Row],[UDC]],TableBARTS[],7,FALSE),"")</f>
        <v/>
      </c>
      <c r="M257" s="65" t="str">
        <f>IFERROR(VLOOKUP(TableHandbook[[#This Row],[UDC]],TableMJRUANTSO[],7,FALSE),"")</f>
        <v/>
      </c>
      <c r="N257" s="65" t="str">
        <f>IFERROR(VLOOKUP(TableHandbook[[#This Row],[UDC]],TableMJRUCHNSE[],7,FALSE),"")</f>
        <v/>
      </c>
      <c r="O257" s="65" t="str">
        <f>IFERROR(VLOOKUP(TableHandbook[[#This Row],[UDC]],TableMJRUCRWRI[],7,FALSE),"")</f>
        <v/>
      </c>
      <c r="P257" s="65" t="str">
        <f>IFERROR(VLOOKUP(TableHandbook[[#This Row],[UDC]],TableMJRUGEOGR[],7,FALSE),"")</f>
        <v>Core</v>
      </c>
      <c r="Q257" s="65" t="str">
        <f>IFERROR(VLOOKUP(TableHandbook[[#This Row],[UDC]],TableMJRUHISTR[],7,FALSE),"")</f>
        <v/>
      </c>
      <c r="R257" s="65" t="str">
        <f>IFERROR(VLOOKUP(TableHandbook[[#This Row],[UDC]],TableMJRUINAUC[],7,FALSE),"")</f>
        <v/>
      </c>
      <c r="S257" s="65" t="str">
        <f>IFERROR(VLOOKUP(TableHandbook[[#This Row],[UDC]],TableMJRUINTRL[],7,FALSE),"")</f>
        <v/>
      </c>
      <c r="T257" s="65" t="str">
        <f>IFERROR(VLOOKUP(TableHandbook[[#This Row],[UDC]],TableMJRUJAPAN[],7,FALSE),"")</f>
        <v/>
      </c>
      <c r="U257" s="65" t="str">
        <f>IFERROR(VLOOKUP(TableHandbook[[#This Row],[UDC]],TableMJRUJOURN[],7,FALSE),"")</f>
        <v/>
      </c>
      <c r="V257" s="65" t="str">
        <f>IFERROR(VLOOKUP(TableHandbook[[#This Row],[UDC]],TableMJRUKORES[],7,FALSE),"")</f>
        <v/>
      </c>
      <c r="W257" s="65" t="str">
        <f>IFERROR(VLOOKUP(TableHandbook[[#This Row],[UDC]],TableMJRULITCU[],7,FALSE),"")</f>
        <v/>
      </c>
      <c r="X257" s="65" t="str">
        <f>IFERROR(VLOOKUP(TableHandbook[[#This Row],[UDC]],TableMJRUNETCM[],7,FALSE),"")</f>
        <v/>
      </c>
      <c r="Y257" s="65" t="str">
        <f>IFERROR(VLOOKUP(TableHandbook[[#This Row],[UDC]],TableMJRUPRWRP[],7,FALSE),"")</f>
        <v/>
      </c>
      <c r="Z257" s="65" t="str">
        <f>IFERROR(VLOOKUP(TableHandbook[[#This Row],[UDC]],TableMJRUSCSTR[],7,FALSE),"")</f>
        <v/>
      </c>
      <c r="AA257" s="74"/>
      <c r="AB257" s="43" t="str">
        <f>IFERROR(VLOOKUP(TableHandbook[[#This Row],[UDC]],TableMJRUBSLAW[],7,FALSE),"")</f>
        <v/>
      </c>
      <c r="AC257" s="66" t="str">
        <f>IFERROR(VLOOKUP(TableHandbook[[#This Row],[UDC]],TableMJRUECONS[],7,FALSE),"")</f>
        <v/>
      </c>
      <c r="AD257" s="66" t="str">
        <f>IFERROR(VLOOKUP(TableHandbook[[#This Row],[UDC]],TableMJRUFINAR[],7,FALSE),"")</f>
        <v/>
      </c>
      <c r="AE257" s="66" t="str">
        <f>IFERROR(VLOOKUP(TableHandbook[[#This Row],[UDC]],TableMJRUFINCE[],7,FALSE),"")</f>
        <v/>
      </c>
      <c r="AF257" s="66" t="str">
        <f>IFERROR(VLOOKUP(TableHandbook[[#This Row],[UDC]],TableMJRUHRMGM[],7,FALSE),"")</f>
        <v/>
      </c>
      <c r="AG257" s="66" t="str">
        <f>IFERROR(VLOOKUP(TableHandbook[[#This Row],[UDC]],TableMJRUINTBU[],7,FALSE),"")</f>
        <v/>
      </c>
      <c r="AH257" s="66" t="str">
        <f>IFERROR(VLOOKUP(TableHandbook[[#This Row],[UDC]],TableMJRULGSCM[],7,FALSE),"")</f>
        <v/>
      </c>
      <c r="AI257" s="66" t="str">
        <f>IFERROR(VLOOKUP(TableHandbook[[#This Row],[UDC]],TableMJRUMNGMT[],7,FALSE),"")</f>
        <v/>
      </c>
      <c r="AJ257" s="66" t="str">
        <f>IFERROR(VLOOKUP(TableHandbook[[#This Row],[UDC]],TableMJRUMRKTG[],7,FALSE),"")</f>
        <v/>
      </c>
      <c r="AK257" s="66" t="str">
        <f>IFERROR(VLOOKUP(TableHandbook[[#This Row],[UDC]],TableMJRUPRPTY[],7,FALSE),"")</f>
        <v/>
      </c>
      <c r="AL257" s="66" t="str">
        <f>IFERROR(VLOOKUP(TableHandbook[[#This Row],[UDC]],TableMJRUSCRAR[],7,FALSE),"")</f>
        <v/>
      </c>
      <c r="AM257" s="66" t="str">
        <f>IFERROR(VLOOKUP(TableHandbook[[#This Row],[UDC]],TableMJRUTHTRA[],7,FALSE),"")</f>
        <v/>
      </c>
      <c r="AN257" s="66" t="str">
        <f>IFERROR(VLOOKUP(TableHandbook[[#This Row],[UDC]],TableMJRUTRHOS[],7,FALSE),"")</f>
        <v/>
      </c>
    </row>
    <row r="258" spans="1:40" x14ac:dyDescent="0.25">
      <c r="A258" s="8" t="s">
        <v>295</v>
      </c>
      <c r="B258" s="9">
        <v>3</v>
      </c>
      <c r="C258" s="8"/>
      <c r="D258" s="8" t="s">
        <v>792</v>
      </c>
      <c r="E258" s="9">
        <v>25</v>
      </c>
      <c r="F258" s="49" t="s">
        <v>526</v>
      </c>
      <c r="G258" s="67" t="str">
        <f>IFERROR(IF(VLOOKUP(TableHandbook[[#This Row],[UDC]],TableAvailabilities[],2,FALSE)&gt;0,"Y",""),"")</f>
        <v/>
      </c>
      <c r="H258" s="68" t="str">
        <f>IFERROR(IF(VLOOKUP(TableHandbook[[#This Row],[UDC]],TableAvailabilities[],3,FALSE)&gt;0,"Y",""),"")</f>
        <v/>
      </c>
      <c r="I258" s="69" t="str">
        <f>IFERROR(IF(VLOOKUP(TableHandbook[[#This Row],[UDC]],TableAvailabilities[],4,FALSE)&gt;0,"Y",""),"")</f>
        <v>Y</v>
      </c>
      <c r="J258" s="70" t="str">
        <f>IFERROR(IF(VLOOKUP(TableHandbook[[#This Row],[UDC]],TableAvailabilities[],5,FALSE)&gt;0,"Y",""),"")</f>
        <v>Y</v>
      </c>
      <c r="K258" s="163"/>
      <c r="L258" s="160" t="str">
        <f>IFERROR(VLOOKUP(TableHandbook[[#This Row],[UDC]],TableBARTS[],7,FALSE),"")</f>
        <v/>
      </c>
      <c r="M258" s="65" t="str">
        <f>IFERROR(VLOOKUP(TableHandbook[[#This Row],[UDC]],TableMJRUANTSO[],7,FALSE),"")</f>
        <v/>
      </c>
      <c r="N258" s="65" t="str">
        <f>IFERROR(VLOOKUP(TableHandbook[[#This Row],[UDC]],TableMJRUCHNSE[],7,FALSE),"")</f>
        <v/>
      </c>
      <c r="O258" s="65" t="str">
        <f>IFERROR(VLOOKUP(TableHandbook[[#This Row],[UDC]],TableMJRUCRWRI[],7,FALSE),"")</f>
        <v/>
      </c>
      <c r="P258" s="65" t="str">
        <f>IFERROR(VLOOKUP(TableHandbook[[#This Row],[UDC]],TableMJRUGEOGR[],7,FALSE),"")</f>
        <v>Core</v>
      </c>
      <c r="Q258" s="65" t="str">
        <f>IFERROR(VLOOKUP(TableHandbook[[#This Row],[UDC]],TableMJRUHISTR[],7,FALSE),"")</f>
        <v/>
      </c>
      <c r="R258" s="65" t="str">
        <f>IFERROR(VLOOKUP(TableHandbook[[#This Row],[UDC]],TableMJRUINAUC[],7,FALSE),"")</f>
        <v/>
      </c>
      <c r="S258" s="65" t="str">
        <f>IFERROR(VLOOKUP(TableHandbook[[#This Row],[UDC]],TableMJRUINTRL[],7,FALSE),"")</f>
        <v/>
      </c>
      <c r="T258" s="65" t="str">
        <f>IFERROR(VLOOKUP(TableHandbook[[#This Row],[UDC]],TableMJRUJAPAN[],7,FALSE),"")</f>
        <v/>
      </c>
      <c r="U258" s="65" t="str">
        <f>IFERROR(VLOOKUP(TableHandbook[[#This Row],[UDC]],TableMJRUJOURN[],7,FALSE),"")</f>
        <v/>
      </c>
      <c r="V258" s="65" t="str">
        <f>IFERROR(VLOOKUP(TableHandbook[[#This Row],[UDC]],TableMJRUKORES[],7,FALSE),"")</f>
        <v/>
      </c>
      <c r="W258" s="65" t="str">
        <f>IFERROR(VLOOKUP(TableHandbook[[#This Row],[UDC]],TableMJRULITCU[],7,FALSE),"")</f>
        <v/>
      </c>
      <c r="X258" s="65" t="str">
        <f>IFERROR(VLOOKUP(TableHandbook[[#This Row],[UDC]],TableMJRUNETCM[],7,FALSE),"")</f>
        <v/>
      </c>
      <c r="Y258" s="65" t="str">
        <f>IFERROR(VLOOKUP(TableHandbook[[#This Row],[UDC]],TableMJRUPRWRP[],7,FALSE),"")</f>
        <v/>
      </c>
      <c r="Z258" s="65" t="str">
        <f>IFERROR(VLOOKUP(TableHandbook[[#This Row],[UDC]],TableMJRUSCSTR[],7,FALSE),"")</f>
        <v/>
      </c>
      <c r="AA258" s="74"/>
      <c r="AB258" s="43" t="str">
        <f>IFERROR(VLOOKUP(TableHandbook[[#This Row],[UDC]],TableMJRUBSLAW[],7,FALSE),"")</f>
        <v/>
      </c>
      <c r="AC258" s="66" t="str">
        <f>IFERROR(VLOOKUP(TableHandbook[[#This Row],[UDC]],TableMJRUECONS[],7,FALSE),"")</f>
        <v/>
      </c>
      <c r="AD258" s="66" t="str">
        <f>IFERROR(VLOOKUP(TableHandbook[[#This Row],[UDC]],TableMJRUFINAR[],7,FALSE),"")</f>
        <v/>
      </c>
      <c r="AE258" s="66" t="str">
        <f>IFERROR(VLOOKUP(TableHandbook[[#This Row],[UDC]],TableMJRUFINCE[],7,FALSE),"")</f>
        <v/>
      </c>
      <c r="AF258" s="66" t="str">
        <f>IFERROR(VLOOKUP(TableHandbook[[#This Row],[UDC]],TableMJRUHRMGM[],7,FALSE),"")</f>
        <v/>
      </c>
      <c r="AG258" s="66" t="str">
        <f>IFERROR(VLOOKUP(TableHandbook[[#This Row],[UDC]],TableMJRUINTBU[],7,FALSE),"")</f>
        <v/>
      </c>
      <c r="AH258" s="66" t="str">
        <f>IFERROR(VLOOKUP(TableHandbook[[#This Row],[UDC]],TableMJRULGSCM[],7,FALSE),"")</f>
        <v/>
      </c>
      <c r="AI258" s="66" t="str">
        <f>IFERROR(VLOOKUP(TableHandbook[[#This Row],[UDC]],TableMJRUMNGMT[],7,FALSE),"")</f>
        <v/>
      </c>
      <c r="AJ258" s="66" t="str">
        <f>IFERROR(VLOOKUP(TableHandbook[[#This Row],[UDC]],TableMJRUMRKTG[],7,FALSE),"")</f>
        <v/>
      </c>
      <c r="AK258" s="66" t="str">
        <f>IFERROR(VLOOKUP(TableHandbook[[#This Row],[UDC]],TableMJRUPRPTY[],7,FALSE),"")</f>
        <v/>
      </c>
      <c r="AL258" s="66" t="str">
        <f>IFERROR(VLOOKUP(TableHandbook[[#This Row],[UDC]],TableMJRUSCRAR[],7,FALSE),"")</f>
        <v/>
      </c>
      <c r="AM258" s="66" t="str">
        <f>IFERROR(VLOOKUP(TableHandbook[[#This Row],[UDC]],TableMJRUTHTRA[],7,FALSE),"")</f>
        <v/>
      </c>
      <c r="AN258" s="66" t="str">
        <f>IFERROR(VLOOKUP(TableHandbook[[#This Row],[UDC]],TableMJRUTRHOS[],7,FALSE),"")</f>
        <v/>
      </c>
    </row>
    <row r="259" spans="1:40" x14ac:dyDescent="0.25">
      <c r="A259" s="8" t="s">
        <v>253</v>
      </c>
      <c r="B259" s="9">
        <v>1</v>
      </c>
      <c r="C259" s="8"/>
      <c r="D259" s="8" t="s">
        <v>793</v>
      </c>
      <c r="E259" s="9">
        <v>25</v>
      </c>
      <c r="F259" s="174" t="s">
        <v>526</v>
      </c>
      <c r="G259" s="82" t="str">
        <f>IFERROR(IF(VLOOKUP(TableHandbook[[#This Row],[UDC]],TableAvailabilities[],2,FALSE)&gt;0,"Y",""),"")</f>
        <v>Y</v>
      </c>
      <c r="H259" s="83" t="str">
        <f>IFERROR(IF(VLOOKUP(TableHandbook[[#This Row],[UDC]],TableAvailabilities[],3,FALSE)&gt;0,"Y",""),"")</f>
        <v>Y</v>
      </c>
      <c r="I259" s="84" t="str">
        <f>IFERROR(IF(VLOOKUP(TableHandbook[[#This Row],[UDC]],TableAvailabilities[],4,FALSE)&gt;0,"Y",""),"")</f>
        <v/>
      </c>
      <c r="J259" s="85" t="str">
        <f>IFERROR(IF(VLOOKUP(TableHandbook[[#This Row],[UDC]],TableAvailabilities[],5,FALSE)&gt;0,"Y",""),"")</f>
        <v/>
      </c>
      <c r="K259" s="163"/>
      <c r="L259" s="160" t="str">
        <f>IFERROR(VLOOKUP(TableHandbook[[#This Row],[UDC]],TableBARTS[],7,FALSE),"")</f>
        <v/>
      </c>
      <c r="M259" s="65" t="str">
        <f>IFERROR(VLOOKUP(TableHandbook[[#This Row],[UDC]],TableMJRUANTSO[],7,FALSE),"")</f>
        <v/>
      </c>
      <c r="N259" s="47" t="str">
        <f>IFERROR(VLOOKUP(TableHandbook[[#This Row],[UDC]],TableMJRUCHNSE[],7,FALSE),"")</f>
        <v/>
      </c>
      <c r="O259" s="47" t="str">
        <f>IFERROR(VLOOKUP(TableHandbook[[#This Row],[UDC]],TableMJRUCRWRI[],7,FALSE),"")</f>
        <v/>
      </c>
      <c r="P259" s="47" t="str">
        <f>IFERROR(VLOOKUP(TableHandbook[[#This Row],[UDC]],TableMJRUGEOGR[],7,FALSE),"")</f>
        <v>Core</v>
      </c>
      <c r="Q259" s="47" t="str">
        <f>IFERROR(VLOOKUP(TableHandbook[[#This Row],[UDC]],TableMJRUHISTR[],7,FALSE),"")</f>
        <v/>
      </c>
      <c r="R259" s="47" t="str">
        <f>IFERROR(VLOOKUP(TableHandbook[[#This Row],[UDC]],TableMJRUINAUC[],7,FALSE),"")</f>
        <v/>
      </c>
      <c r="S259" s="47" t="str">
        <f>IFERROR(VLOOKUP(TableHandbook[[#This Row],[UDC]],TableMJRUINTRL[],7,FALSE),"")</f>
        <v/>
      </c>
      <c r="T259" s="47" t="str">
        <f>IFERROR(VLOOKUP(TableHandbook[[#This Row],[UDC]],TableMJRUJAPAN[],7,FALSE),"")</f>
        <v/>
      </c>
      <c r="U259" s="47" t="str">
        <f>IFERROR(VLOOKUP(TableHandbook[[#This Row],[UDC]],TableMJRUJOURN[],7,FALSE),"")</f>
        <v/>
      </c>
      <c r="V259" s="65" t="str">
        <f>IFERROR(VLOOKUP(TableHandbook[[#This Row],[UDC]],TableMJRUKORES[],7,FALSE),"")</f>
        <v/>
      </c>
      <c r="W259" s="65" t="str">
        <f>IFERROR(VLOOKUP(TableHandbook[[#This Row],[UDC]],TableMJRULITCU[],7,FALSE),"")</f>
        <v/>
      </c>
      <c r="X259" s="65" t="str">
        <f>IFERROR(VLOOKUP(TableHandbook[[#This Row],[UDC]],TableMJRUNETCM[],7,FALSE),"")</f>
        <v/>
      </c>
      <c r="Y259" s="65" t="str">
        <f>IFERROR(VLOOKUP(TableHandbook[[#This Row],[UDC]],TableMJRUPRWRP[],7,FALSE),"")</f>
        <v/>
      </c>
      <c r="Z259" s="65" t="str">
        <f>IFERROR(VLOOKUP(TableHandbook[[#This Row],[UDC]],TableMJRUSCSTR[],7,FALSE),"")</f>
        <v/>
      </c>
      <c r="AA259" s="74"/>
      <c r="AB259" s="43" t="str">
        <f>IFERROR(VLOOKUP(TableHandbook[[#This Row],[UDC]],TableMJRUBSLAW[],7,FALSE),"")</f>
        <v/>
      </c>
      <c r="AC259" s="66" t="str">
        <f>IFERROR(VLOOKUP(TableHandbook[[#This Row],[UDC]],TableMJRUECONS[],7,FALSE),"")</f>
        <v/>
      </c>
      <c r="AD259" s="66" t="str">
        <f>IFERROR(VLOOKUP(TableHandbook[[#This Row],[UDC]],TableMJRUFINAR[],7,FALSE),"")</f>
        <v/>
      </c>
      <c r="AE259" s="66" t="str">
        <f>IFERROR(VLOOKUP(TableHandbook[[#This Row],[UDC]],TableMJRUFINCE[],7,FALSE),"")</f>
        <v/>
      </c>
      <c r="AF259" s="66" t="str">
        <f>IFERROR(VLOOKUP(TableHandbook[[#This Row],[UDC]],TableMJRUHRMGM[],7,FALSE),"")</f>
        <v/>
      </c>
      <c r="AG259" s="66" t="str">
        <f>IFERROR(VLOOKUP(TableHandbook[[#This Row],[UDC]],TableMJRUINTBU[],7,FALSE),"")</f>
        <v/>
      </c>
      <c r="AH259" s="66" t="str">
        <f>IFERROR(VLOOKUP(TableHandbook[[#This Row],[UDC]],TableMJRULGSCM[],7,FALSE),"")</f>
        <v/>
      </c>
      <c r="AI259" s="66" t="str">
        <f>IFERROR(VLOOKUP(TableHandbook[[#This Row],[UDC]],TableMJRUMNGMT[],7,FALSE),"")</f>
        <v/>
      </c>
      <c r="AJ259" s="66" t="str">
        <f>IFERROR(VLOOKUP(TableHandbook[[#This Row],[UDC]],TableMJRUMRKTG[],7,FALSE),"")</f>
        <v/>
      </c>
      <c r="AK259" s="66" t="str">
        <f>IFERROR(VLOOKUP(TableHandbook[[#This Row],[UDC]],TableMJRUPRPTY[],7,FALSE),"")</f>
        <v/>
      </c>
      <c r="AL259" s="66" t="str">
        <f>IFERROR(VLOOKUP(TableHandbook[[#This Row],[UDC]],TableMJRUSCRAR[],7,FALSE),"")</f>
        <v/>
      </c>
      <c r="AM259" s="66" t="str">
        <f>IFERROR(VLOOKUP(TableHandbook[[#This Row],[UDC]],TableMJRUTHTRA[],7,FALSE),"")</f>
        <v/>
      </c>
      <c r="AN259" s="66" t="str">
        <f>IFERROR(VLOOKUP(TableHandbook[[#This Row],[UDC]],TableMJRUTRHOS[],7,FALSE),"")</f>
        <v/>
      </c>
    </row>
    <row r="260" spans="1:40" x14ac:dyDescent="0.25">
      <c r="A260" s="8" t="s">
        <v>205</v>
      </c>
      <c r="B260" s="9">
        <v>2</v>
      </c>
      <c r="C260" s="8"/>
      <c r="D260" s="8" t="s">
        <v>794</v>
      </c>
      <c r="E260" s="9">
        <v>25</v>
      </c>
      <c r="F260" s="49" t="s">
        <v>526</v>
      </c>
      <c r="G260" s="82" t="str">
        <f>IFERROR(IF(VLOOKUP(TableHandbook[[#This Row],[UDC]],TableAvailabilities[],2,FALSE)&gt;0,"Y",""),"")</f>
        <v/>
      </c>
      <c r="H260" s="83" t="str">
        <f>IFERROR(IF(VLOOKUP(TableHandbook[[#This Row],[UDC]],TableAvailabilities[],3,FALSE)&gt;0,"Y",""),"")</f>
        <v/>
      </c>
      <c r="I260" s="84" t="str">
        <f>IFERROR(IF(VLOOKUP(TableHandbook[[#This Row],[UDC]],TableAvailabilities[],4,FALSE)&gt;0,"Y",""),"")</f>
        <v>Y</v>
      </c>
      <c r="J260" s="85" t="str">
        <f>IFERROR(IF(VLOOKUP(TableHandbook[[#This Row],[UDC]],TableAvailabilities[],5,FALSE)&gt;0,"Y",""),"")</f>
        <v>Y</v>
      </c>
      <c r="K260" s="168" t="s">
        <v>533</v>
      </c>
      <c r="L260" s="160" t="str">
        <f>IFERROR(VLOOKUP(TableHandbook[[#This Row],[UDC]],TableBARTS[],7,FALSE),"")</f>
        <v/>
      </c>
      <c r="M260" s="65" t="str">
        <f>IFERROR(VLOOKUP(TableHandbook[[#This Row],[UDC]],TableMJRUANTSO[],7,FALSE),"")</f>
        <v/>
      </c>
      <c r="N260" s="47" t="str">
        <f>IFERROR(VLOOKUP(TableHandbook[[#This Row],[UDC]],TableMJRUCHNSE[],7,FALSE),"")</f>
        <v/>
      </c>
      <c r="O260" s="47" t="str">
        <f>IFERROR(VLOOKUP(TableHandbook[[#This Row],[UDC]],TableMJRUCRWRI[],7,FALSE),"")</f>
        <v/>
      </c>
      <c r="P260" s="47" t="str">
        <f>IFERROR(VLOOKUP(TableHandbook[[#This Row],[UDC]],TableMJRUGEOGR[],7,FALSE),"")</f>
        <v/>
      </c>
      <c r="Q260" s="47" t="str">
        <f>IFERROR(VLOOKUP(TableHandbook[[#This Row],[UDC]],TableMJRUHISTR[],7,FALSE),"")</f>
        <v/>
      </c>
      <c r="R260" s="47" t="str">
        <f>IFERROR(VLOOKUP(TableHandbook[[#This Row],[UDC]],TableMJRUINAUC[],7,FALSE),"")</f>
        <v/>
      </c>
      <c r="S260" s="47" t="str">
        <f>IFERROR(VLOOKUP(TableHandbook[[#This Row],[UDC]],TableMJRUINTRL[],7,FALSE),"")</f>
        <v>Core</v>
      </c>
      <c r="T260" s="47" t="str">
        <f>IFERROR(VLOOKUP(TableHandbook[[#This Row],[UDC]],TableMJRUJAPAN[],7,FALSE),"")</f>
        <v/>
      </c>
      <c r="U260" s="47" t="str">
        <f>IFERROR(VLOOKUP(TableHandbook[[#This Row],[UDC]],TableMJRUJOURN[],7,FALSE),"")</f>
        <v/>
      </c>
      <c r="V260" s="65" t="str">
        <f>IFERROR(VLOOKUP(TableHandbook[[#This Row],[UDC]],TableMJRUKORES[],7,FALSE),"")</f>
        <v/>
      </c>
      <c r="W260" s="65" t="str">
        <f>IFERROR(VLOOKUP(TableHandbook[[#This Row],[UDC]],TableMJRULITCU[],7,FALSE),"")</f>
        <v/>
      </c>
      <c r="X260" s="65" t="str">
        <f>IFERROR(VLOOKUP(TableHandbook[[#This Row],[UDC]],TableMJRUNETCM[],7,FALSE),"")</f>
        <v/>
      </c>
      <c r="Y260" s="65" t="str">
        <f>IFERROR(VLOOKUP(TableHandbook[[#This Row],[UDC]],TableMJRUPRWRP[],7,FALSE),"")</f>
        <v/>
      </c>
      <c r="Z260" s="65" t="str">
        <f>IFERROR(VLOOKUP(TableHandbook[[#This Row],[UDC]],TableMJRUSCSTR[],7,FALSE),"")</f>
        <v/>
      </c>
      <c r="AA260" s="74"/>
      <c r="AB260" s="43" t="str">
        <f>IFERROR(VLOOKUP(TableHandbook[[#This Row],[UDC]],TableMJRUBSLAW[],7,FALSE),"")</f>
        <v/>
      </c>
      <c r="AC260" s="66" t="str">
        <f>IFERROR(VLOOKUP(TableHandbook[[#This Row],[UDC]],TableMJRUECONS[],7,FALSE),"")</f>
        <v/>
      </c>
      <c r="AD260" s="66" t="str">
        <f>IFERROR(VLOOKUP(TableHandbook[[#This Row],[UDC]],TableMJRUFINAR[],7,FALSE),"")</f>
        <v/>
      </c>
      <c r="AE260" s="66" t="str">
        <f>IFERROR(VLOOKUP(TableHandbook[[#This Row],[UDC]],TableMJRUFINCE[],7,FALSE),"")</f>
        <v/>
      </c>
      <c r="AF260" s="66" t="str">
        <f>IFERROR(VLOOKUP(TableHandbook[[#This Row],[UDC]],TableMJRUHRMGM[],7,FALSE),"")</f>
        <v/>
      </c>
      <c r="AG260" s="66" t="str">
        <f>IFERROR(VLOOKUP(TableHandbook[[#This Row],[UDC]],TableMJRUINTBU[],7,FALSE),"")</f>
        <v/>
      </c>
      <c r="AH260" s="66" t="str">
        <f>IFERROR(VLOOKUP(TableHandbook[[#This Row],[UDC]],TableMJRULGSCM[],7,FALSE),"")</f>
        <v/>
      </c>
      <c r="AI260" s="66" t="str">
        <f>IFERROR(VLOOKUP(TableHandbook[[#This Row],[UDC]],TableMJRUMNGMT[],7,FALSE),"")</f>
        <v/>
      </c>
      <c r="AJ260" s="66" t="str">
        <f>IFERROR(VLOOKUP(TableHandbook[[#This Row],[UDC]],TableMJRUMRKTG[],7,FALSE),"")</f>
        <v/>
      </c>
      <c r="AK260" s="66" t="str">
        <f>IFERROR(VLOOKUP(TableHandbook[[#This Row],[UDC]],TableMJRUPRPTY[],7,FALSE),"")</f>
        <v/>
      </c>
      <c r="AL260" s="66" t="str">
        <f>IFERROR(VLOOKUP(TableHandbook[[#This Row],[UDC]],TableMJRUSCRAR[],7,FALSE),"")</f>
        <v/>
      </c>
      <c r="AM260" s="66" t="str">
        <f>IFERROR(VLOOKUP(TableHandbook[[#This Row],[UDC]],TableMJRUTHTRA[],7,FALSE),"")</f>
        <v/>
      </c>
      <c r="AN260" s="66" t="str">
        <f>IFERROR(VLOOKUP(TableHandbook[[#This Row],[UDC]],TableMJRUTRHOS[],7,FALSE),"")</f>
        <v/>
      </c>
    </row>
    <row r="261" spans="1:40" x14ac:dyDescent="0.25">
      <c r="A261" s="8" t="s">
        <v>795</v>
      </c>
      <c r="B261" s="9">
        <v>1</v>
      </c>
      <c r="C261" s="8"/>
      <c r="D261" s="8" t="s">
        <v>796</v>
      </c>
      <c r="E261" s="9">
        <v>25</v>
      </c>
      <c r="F261" s="49" t="s">
        <v>526</v>
      </c>
      <c r="G261" s="82" t="str">
        <f>IFERROR(IF(VLOOKUP(TableHandbook[[#This Row],[UDC]],TableAvailabilities[],2,FALSE)&gt;0,"Y",""),"")</f>
        <v/>
      </c>
      <c r="H261" s="83" t="str">
        <f>IFERROR(IF(VLOOKUP(TableHandbook[[#This Row],[UDC]],TableAvailabilities[],3,FALSE)&gt;0,"Y",""),"")</f>
        <v/>
      </c>
      <c r="I261" s="84" t="str">
        <f>IFERROR(IF(VLOOKUP(TableHandbook[[#This Row],[UDC]],TableAvailabilities[],4,FALSE)&gt;0,"Y",""),"")</f>
        <v/>
      </c>
      <c r="J261" s="85" t="str">
        <f>IFERROR(IF(VLOOKUP(TableHandbook[[#This Row],[UDC]],TableAvailabilities[],5,FALSE)&gt;0,"Y",""),"")</f>
        <v/>
      </c>
      <c r="K261" s="168" t="s">
        <v>535</v>
      </c>
      <c r="L261" s="160" t="str">
        <f>IFERROR(VLOOKUP(TableHandbook[[#This Row],[UDC]],TableBARTS[],7,FALSE),"")</f>
        <v/>
      </c>
      <c r="M261" s="65" t="str">
        <f>IFERROR(VLOOKUP(TableHandbook[[#This Row],[UDC]],TableMJRUANTSO[],7,FALSE),"")</f>
        <v/>
      </c>
      <c r="N261" s="47" t="str">
        <f>IFERROR(VLOOKUP(TableHandbook[[#This Row],[UDC]],TableMJRUCHNSE[],7,FALSE),"")</f>
        <v/>
      </c>
      <c r="O261" s="47" t="str">
        <f>IFERROR(VLOOKUP(TableHandbook[[#This Row],[UDC]],TableMJRUCRWRI[],7,FALSE),"")</f>
        <v/>
      </c>
      <c r="P261" s="47" t="str">
        <f>IFERROR(VLOOKUP(TableHandbook[[#This Row],[UDC]],TableMJRUGEOGR[],7,FALSE),"")</f>
        <v/>
      </c>
      <c r="Q261" s="47" t="str">
        <f>IFERROR(VLOOKUP(TableHandbook[[#This Row],[UDC]],TableMJRUHISTR[],7,FALSE),"")</f>
        <v/>
      </c>
      <c r="R261" s="47" t="str">
        <f>IFERROR(VLOOKUP(TableHandbook[[#This Row],[UDC]],TableMJRUINAUC[],7,FALSE),"")</f>
        <v/>
      </c>
      <c r="S261" s="47" t="str">
        <f>IFERROR(VLOOKUP(TableHandbook[[#This Row],[UDC]],TableMJRUINTRL[],7,FALSE),"")</f>
        <v/>
      </c>
      <c r="T261" s="47" t="str">
        <f>IFERROR(VLOOKUP(TableHandbook[[#This Row],[UDC]],TableMJRUJAPAN[],7,FALSE),"")</f>
        <v/>
      </c>
      <c r="U261" s="47" t="str">
        <f>IFERROR(VLOOKUP(TableHandbook[[#This Row],[UDC]],TableMJRUJOURN[],7,FALSE),"")</f>
        <v/>
      </c>
      <c r="V261" s="65" t="str">
        <f>IFERROR(VLOOKUP(TableHandbook[[#This Row],[UDC]],TableMJRUKORES[],7,FALSE),"")</f>
        <v/>
      </c>
      <c r="W261" s="65" t="str">
        <f>IFERROR(VLOOKUP(TableHandbook[[#This Row],[UDC]],TableMJRULITCU[],7,FALSE),"")</f>
        <v/>
      </c>
      <c r="X261" s="65" t="str">
        <f>IFERROR(VLOOKUP(TableHandbook[[#This Row],[UDC]],TableMJRUNETCM[],7,FALSE),"")</f>
        <v/>
      </c>
      <c r="Y261" s="65" t="str">
        <f>IFERROR(VLOOKUP(TableHandbook[[#This Row],[UDC]],TableMJRUPRWRP[],7,FALSE),"")</f>
        <v/>
      </c>
      <c r="Z261" s="65" t="str">
        <f>IFERROR(VLOOKUP(TableHandbook[[#This Row],[UDC]],TableMJRUSCSTR[],7,FALSE),"")</f>
        <v/>
      </c>
      <c r="AA261" s="74"/>
      <c r="AB261" s="43" t="str">
        <f>IFERROR(VLOOKUP(TableHandbook[[#This Row],[UDC]],TableMJRUBSLAW[],7,FALSE),"")</f>
        <v/>
      </c>
      <c r="AC261" s="66" t="str">
        <f>IFERROR(VLOOKUP(TableHandbook[[#This Row],[UDC]],TableMJRUECONS[],7,FALSE),"")</f>
        <v/>
      </c>
      <c r="AD261" s="66" t="str">
        <f>IFERROR(VLOOKUP(TableHandbook[[#This Row],[UDC]],TableMJRUFINAR[],7,FALSE),"")</f>
        <v/>
      </c>
      <c r="AE261" s="66" t="str">
        <f>IFERROR(VLOOKUP(TableHandbook[[#This Row],[UDC]],TableMJRUFINCE[],7,FALSE),"")</f>
        <v/>
      </c>
      <c r="AF261" s="66" t="str">
        <f>IFERROR(VLOOKUP(TableHandbook[[#This Row],[UDC]],TableMJRUHRMGM[],7,FALSE),"")</f>
        <v/>
      </c>
      <c r="AG261" s="66" t="str">
        <f>IFERROR(VLOOKUP(TableHandbook[[#This Row],[UDC]],TableMJRUINTBU[],7,FALSE),"")</f>
        <v/>
      </c>
      <c r="AH261" s="66" t="str">
        <f>IFERROR(VLOOKUP(TableHandbook[[#This Row],[UDC]],TableMJRULGSCM[],7,FALSE),"")</f>
        <v/>
      </c>
      <c r="AI261" s="66" t="str">
        <f>IFERROR(VLOOKUP(TableHandbook[[#This Row],[UDC]],TableMJRUMNGMT[],7,FALSE),"")</f>
        <v/>
      </c>
      <c r="AJ261" s="66" t="str">
        <f>IFERROR(VLOOKUP(TableHandbook[[#This Row],[UDC]],TableMJRUMRKTG[],7,FALSE),"")</f>
        <v/>
      </c>
      <c r="AK261" s="66" t="str">
        <f>IFERROR(VLOOKUP(TableHandbook[[#This Row],[UDC]],TableMJRUPRPTY[],7,FALSE),"")</f>
        <v/>
      </c>
      <c r="AL261" s="66" t="str">
        <f>IFERROR(VLOOKUP(TableHandbook[[#This Row],[UDC]],TableMJRUSCRAR[],7,FALSE),"")</f>
        <v/>
      </c>
      <c r="AM261" s="66" t="str">
        <f>IFERROR(VLOOKUP(TableHandbook[[#This Row],[UDC]],TableMJRUTHTRA[],7,FALSE),"")</f>
        <v/>
      </c>
      <c r="AN261" s="66" t="str">
        <f>IFERROR(VLOOKUP(TableHandbook[[#This Row],[UDC]],TableMJRUTRHOS[],7,FALSE),"")</f>
        <v/>
      </c>
    </row>
    <row r="262" spans="1:40" x14ac:dyDescent="0.25">
      <c r="A262" s="8" t="s">
        <v>283</v>
      </c>
      <c r="B262" s="9">
        <v>1</v>
      </c>
      <c r="C262" s="8"/>
      <c r="D262" s="8" t="s">
        <v>797</v>
      </c>
      <c r="E262" s="9">
        <v>25</v>
      </c>
      <c r="F262" s="49" t="s">
        <v>526</v>
      </c>
      <c r="G262" s="82" t="str">
        <f>IFERROR(IF(VLOOKUP(TableHandbook[[#This Row],[UDC]],TableAvailabilities[],2,FALSE)&gt;0,"Y",""),"")</f>
        <v/>
      </c>
      <c r="H262" s="83" t="str">
        <f>IFERROR(IF(VLOOKUP(TableHandbook[[#This Row],[UDC]],TableAvailabilities[],3,FALSE)&gt;0,"Y",""),"")</f>
        <v/>
      </c>
      <c r="I262" s="84" t="str">
        <f>IFERROR(IF(VLOOKUP(TableHandbook[[#This Row],[UDC]],TableAvailabilities[],4,FALSE)&gt;0,"Y",""),"")</f>
        <v>Y</v>
      </c>
      <c r="J262" s="85" t="str">
        <f>IFERROR(IF(VLOOKUP(TableHandbook[[#This Row],[UDC]],TableAvailabilities[],5,FALSE)&gt;0,"Y",""),"")</f>
        <v>Y</v>
      </c>
      <c r="K262" s="168"/>
      <c r="L262" s="160" t="str">
        <f>IFERROR(VLOOKUP(TableHandbook[[#This Row],[UDC]],TableBARTS[],7,FALSE),"")</f>
        <v/>
      </c>
      <c r="M262" s="65" t="str">
        <f>IFERROR(VLOOKUP(TableHandbook[[#This Row],[UDC]],TableMJRUANTSO[],7,FALSE),"")</f>
        <v/>
      </c>
      <c r="N262" s="47" t="str">
        <f>IFERROR(VLOOKUP(TableHandbook[[#This Row],[UDC]],TableMJRUCHNSE[],7,FALSE),"")</f>
        <v/>
      </c>
      <c r="O262" s="47" t="str">
        <f>IFERROR(VLOOKUP(TableHandbook[[#This Row],[UDC]],TableMJRUCRWRI[],7,FALSE),"")</f>
        <v/>
      </c>
      <c r="P262" s="47" t="str">
        <f>IFERROR(VLOOKUP(TableHandbook[[#This Row],[UDC]],TableMJRUGEOGR[],7,FALSE),"")</f>
        <v/>
      </c>
      <c r="Q262" s="47" t="str">
        <f>IFERROR(VLOOKUP(TableHandbook[[#This Row],[UDC]],TableMJRUHISTR[],7,FALSE),"")</f>
        <v/>
      </c>
      <c r="R262" s="47" t="str">
        <f>IFERROR(VLOOKUP(TableHandbook[[#This Row],[UDC]],TableMJRUINAUC[],7,FALSE),"")</f>
        <v/>
      </c>
      <c r="S262" s="47" t="str">
        <f>IFERROR(VLOOKUP(TableHandbook[[#This Row],[UDC]],TableMJRUINTRL[],7,FALSE),"")</f>
        <v>Core</v>
      </c>
      <c r="T262" s="47" t="str">
        <f>IFERROR(VLOOKUP(TableHandbook[[#This Row],[UDC]],TableMJRUJAPAN[],7,FALSE),"")</f>
        <v/>
      </c>
      <c r="U262" s="47" t="str">
        <f>IFERROR(VLOOKUP(TableHandbook[[#This Row],[UDC]],TableMJRUJOURN[],7,FALSE),"")</f>
        <v/>
      </c>
      <c r="V262" s="65" t="str">
        <f>IFERROR(VLOOKUP(TableHandbook[[#This Row],[UDC]],TableMJRUKORES[],7,FALSE),"")</f>
        <v/>
      </c>
      <c r="W262" s="65" t="str">
        <f>IFERROR(VLOOKUP(TableHandbook[[#This Row],[UDC]],TableMJRULITCU[],7,FALSE),"")</f>
        <v/>
      </c>
      <c r="X262" s="65" t="str">
        <f>IFERROR(VLOOKUP(TableHandbook[[#This Row],[UDC]],TableMJRUNETCM[],7,FALSE),"")</f>
        <v/>
      </c>
      <c r="Y262" s="65" t="str">
        <f>IFERROR(VLOOKUP(TableHandbook[[#This Row],[UDC]],TableMJRUPRWRP[],7,FALSE),"")</f>
        <v/>
      </c>
      <c r="Z262" s="65" t="str">
        <f>IFERROR(VLOOKUP(TableHandbook[[#This Row],[UDC]],TableMJRUSCSTR[],7,FALSE),"")</f>
        <v/>
      </c>
      <c r="AA262" s="74"/>
      <c r="AB262" s="43" t="str">
        <f>IFERROR(VLOOKUP(TableHandbook[[#This Row],[UDC]],TableMJRUBSLAW[],7,FALSE),"")</f>
        <v/>
      </c>
      <c r="AC262" s="66" t="str">
        <f>IFERROR(VLOOKUP(TableHandbook[[#This Row],[UDC]],TableMJRUECONS[],7,FALSE),"")</f>
        <v/>
      </c>
      <c r="AD262" s="66" t="str">
        <f>IFERROR(VLOOKUP(TableHandbook[[#This Row],[UDC]],TableMJRUFINAR[],7,FALSE),"")</f>
        <v/>
      </c>
      <c r="AE262" s="66" t="str">
        <f>IFERROR(VLOOKUP(TableHandbook[[#This Row],[UDC]],TableMJRUFINCE[],7,FALSE),"")</f>
        <v/>
      </c>
      <c r="AF262" s="66" t="str">
        <f>IFERROR(VLOOKUP(TableHandbook[[#This Row],[UDC]],TableMJRUHRMGM[],7,FALSE),"")</f>
        <v/>
      </c>
      <c r="AG262" s="66" t="str">
        <f>IFERROR(VLOOKUP(TableHandbook[[#This Row],[UDC]],TableMJRUINTBU[],7,FALSE),"")</f>
        <v/>
      </c>
      <c r="AH262" s="66" t="str">
        <f>IFERROR(VLOOKUP(TableHandbook[[#This Row],[UDC]],TableMJRULGSCM[],7,FALSE),"")</f>
        <v/>
      </c>
      <c r="AI262" s="66" t="str">
        <f>IFERROR(VLOOKUP(TableHandbook[[#This Row],[UDC]],TableMJRUMNGMT[],7,FALSE),"")</f>
        <v/>
      </c>
      <c r="AJ262" s="66" t="str">
        <f>IFERROR(VLOOKUP(TableHandbook[[#This Row],[UDC]],TableMJRUMRKTG[],7,FALSE),"")</f>
        <v/>
      </c>
      <c r="AK262" s="66" t="str">
        <f>IFERROR(VLOOKUP(TableHandbook[[#This Row],[UDC]],TableMJRUPRPTY[],7,FALSE),"")</f>
        <v/>
      </c>
      <c r="AL262" s="66" t="str">
        <f>IFERROR(VLOOKUP(TableHandbook[[#This Row],[UDC]],TableMJRUSCRAR[],7,FALSE),"")</f>
        <v/>
      </c>
      <c r="AM262" s="66" t="str">
        <f>IFERROR(VLOOKUP(TableHandbook[[#This Row],[UDC]],TableMJRUTHTRA[],7,FALSE),"")</f>
        <v/>
      </c>
      <c r="AN262" s="66" t="str">
        <f>IFERROR(VLOOKUP(TableHandbook[[#This Row],[UDC]],TableMJRUTRHOS[],7,FALSE),"")</f>
        <v/>
      </c>
    </row>
    <row r="263" spans="1:40" x14ac:dyDescent="0.25">
      <c r="A263" s="8" t="s">
        <v>259</v>
      </c>
      <c r="B263" s="9">
        <v>1</v>
      </c>
      <c r="C263" s="8"/>
      <c r="D263" s="8" t="s">
        <v>798</v>
      </c>
      <c r="E263" s="9">
        <v>25</v>
      </c>
      <c r="F263" s="174" t="s">
        <v>526</v>
      </c>
      <c r="G263" s="82" t="str">
        <f>IFERROR(IF(VLOOKUP(TableHandbook[[#This Row],[UDC]],TableAvailabilities[],2,FALSE)&gt;0,"Y",""),"")</f>
        <v/>
      </c>
      <c r="H263" s="83" t="str">
        <f>IFERROR(IF(VLOOKUP(TableHandbook[[#This Row],[UDC]],TableAvailabilities[],3,FALSE)&gt;0,"Y",""),"")</f>
        <v/>
      </c>
      <c r="I263" s="84" t="str">
        <f>IFERROR(IF(VLOOKUP(TableHandbook[[#This Row],[UDC]],TableAvailabilities[],4,FALSE)&gt;0,"Y",""),"")</f>
        <v>Y</v>
      </c>
      <c r="J263" s="85" t="str">
        <f>IFERROR(IF(VLOOKUP(TableHandbook[[#This Row],[UDC]],TableAvailabilities[],5,FALSE)&gt;0,"Y",""),"")</f>
        <v>Y</v>
      </c>
      <c r="K263" s="168"/>
      <c r="L263" s="160" t="str">
        <f>IFERROR(VLOOKUP(TableHandbook[[#This Row],[UDC]],TableBARTS[],7,FALSE),"")</f>
        <v/>
      </c>
      <c r="M263" s="65" t="str">
        <f>IFERROR(VLOOKUP(TableHandbook[[#This Row],[UDC]],TableMJRUANTSO[],7,FALSE),"")</f>
        <v/>
      </c>
      <c r="N263" s="47" t="str">
        <f>IFERROR(VLOOKUP(TableHandbook[[#This Row],[UDC]],TableMJRUCHNSE[],7,FALSE),"")</f>
        <v/>
      </c>
      <c r="O263" s="47" t="str">
        <f>IFERROR(VLOOKUP(TableHandbook[[#This Row],[UDC]],TableMJRUCRWRI[],7,FALSE),"")</f>
        <v/>
      </c>
      <c r="P263" s="47" t="str">
        <f>IFERROR(VLOOKUP(TableHandbook[[#This Row],[UDC]],TableMJRUGEOGR[],7,FALSE),"")</f>
        <v/>
      </c>
      <c r="Q263" s="47" t="str">
        <f>IFERROR(VLOOKUP(TableHandbook[[#This Row],[UDC]],TableMJRUHISTR[],7,FALSE),"")</f>
        <v/>
      </c>
      <c r="R263" s="47" t="str">
        <f>IFERROR(VLOOKUP(TableHandbook[[#This Row],[UDC]],TableMJRUINAUC[],7,FALSE),"")</f>
        <v/>
      </c>
      <c r="S263" s="47" t="str">
        <f>IFERROR(VLOOKUP(TableHandbook[[#This Row],[UDC]],TableMJRUINTRL[],7,FALSE),"")</f>
        <v>Core</v>
      </c>
      <c r="T263" s="47" t="str">
        <f>IFERROR(VLOOKUP(TableHandbook[[#This Row],[UDC]],TableMJRUJAPAN[],7,FALSE),"")</f>
        <v/>
      </c>
      <c r="U263" s="47" t="str">
        <f>IFERROR(VLOOKUP(TableHandbook[[#This Row],[UDC]],TableMJRUJOURN[],7,FALSE),"")</f>
        <v/>
      </c>
      <c r="V263" s="65" t="str">
        <f>IFERROR(VLOOKUP(TableHandbook[[#This Row],[UDC]],TableMJRUKORES[],7,FALSE),"")</f>
        <v/>
      </c>
      <c r="W263" s="65" t="str">
        <f>IFERROR(VLOOKUP(TableHandbook[[#This Row],[UDC]],TableMJRULITCU[],7,FALSE),"")</f>
        <v/>
      </c>
      <c r="X263" s="65" t="str">
        <f>IFERROR(VLOOKUP(TableHandbook[[#This Row],[UDC]],TableMJRUNETCM[],7,FALSE),"")</f>
        <v/>
      </c>
      <c r="Y263" s="65" t="str">
        <f>IFERROR(VLOOKUP(TableHandbook[[#This Row],[UDC]],TableMJRUPRWRP[],7,FALSE),"")</f>
        <v/>
      </c>
      <c r="Z263" s="65" t="str">
        <f>IFERROR(VLOOKUP(TableHandbook[[#This Row],[UDC]],TableMJRUSCSTR[],7,FALSE),"")</f>
        <v/>
      </c>
      <c r="AA263" s="74"/>
      <c r="AB263" s="43" t="str">
        <f>IFERROR(VLOOKUP(TableHandbook[[#This Row],[UDC]],TableMJRUBSLAW[],7,FALSE),"")</f>
        <v/>
      </c>
      <c r="AC263" s="66" t="str">
        <f>IFERROR(VLOOKUP(TableHandbook[[#This Row],[UDC]],TableMJRUECONS[],7,FALSE),"")</f>
        <v/>
      </c>
      <c r="AD263" s="66" t="str">
        <f>IFERROR(VLOOKUP(TableHandbook[[#This Row],[UDC]],TableMJRUFINAR[],7,FALSE),"")</f>
        <v/>
      </c>
      <c r="AE263" s="66" t="str">
        <f>IFERROR(VLOOKUP(TableHandbook[[#This Row],[UDC]],TableMJRUFINCE[],7,FALSE),"")</f>
        <v/>
      </c>
      <c r="AF263" s="66" t="str">
        <f>IFERROR(VLOOKUP(TableHandbook[[#This Row],[UDC]],TableMJRUHRMGM[],7,FALSE),"")</f>
        <v/>
      </c>
      <c r="AG263" s="66" t="str">
        <f>IFERROR(VLOOKUP(TableHandbook[[#This Row],[UDC]],TableMJRUINTBU[],7,FALSE),"")</f>
        <v/>
      </c>
      <c r="AH263" s="66" t="str">
        <f>IFERROR(VLOOKUP(TableHandbook[[#This Row],[UDC]],TableMJRULGSCM[],7,FALSE),"")</f>
        <v/>
      </c>
      <c r="AI263" s="66" t="str">
        <f>IFERROR(VLOOKUP(TableHandbook[[#This Row],[UDC]],TableMJRUMNGMT[],7,FALSE),"")</f>
        <v/>
      </c>
      <c r="AJ263" s="66" t="str">
        <f>IFERROR(VLOOKUP(TableHandbook[[#This Row],[UDC]],TableMJRUMRKTG[],7,FALSE),"")</f>
        <v/>
      </c>
      <c r="AK263" s="66" t="str">
        <f>IFERROR(VLOOKUP(TableHandbook[[#This Row],[UDC]],TableMJRUPRPTY[],7,FALSE),"")</f>
        <v/>
      </c>
      <c r="AL263" s="66" t="str">
        <f>IFERROR(VLOOKUP(TableHandbook[[#This Row],[UDC]],TableMJRUSCRAR[],7,FALSE),"")</f>
        <v/>
      </c>
      <c r="AM263" s="66" t="str">
        <f>IFERROR(VLOOKUP(TableHandbook[[#This Row],[UDC]],TableMJRUTHTRA[],7,FALSE),"")</f>
        <v/>
      </c>
      <c r="AN263" s="66" t="str">
        <f>IFERROR(VLOOKUP(TableHandbook[[#This Row],[UDC]],TableMJRUTRHOS[],7,FALSE),"")</f>
        <v/>
      </c>
    </row>
    <row r="264" spans="1:40" x14ac:dyDescent="0.25">
      <c r="A264" s="8" t="s">
        <v>428</v>
      </c>
      <c r="B264" s="9">
        <v>2</v>
      </c>
      <c r="C264" s="8"/>
      <c r="D264" s="8" t="s">
        <v>799</v>
      </c>
      <c r="E264" s="9">
        <v>25</v>
      </c>
      <c r="F264" s="49" t="s">
        <v>526</v>
      </c>
      <c r="G264" s="82" t="str">
        <f>IFERROR(IF(VLOOKUP(TableHandbook[[#This Row],[UDC]],TableAvailabilities[],2,FALSE)&gt;0,"Y",""),"")</f>
        <v>Y</v>
      </c>
      <c r="H264" s="83" t="str">
        <f>IFERROR(IF(VLOOKUP(TableHandbook[[#This Row],[UDC]],TableAvailabilities[],3,FALSE)&gt;0,"Y",""),"")</f>
        <v/>
      </c>
      <c r="I264" s="84" t="str">
        <f>IFERROR(IF(VLOOKUP(TableHandbook[[#This Row],[UDC]],TableAvailabilities[],4,FALSE)&gt;0,"Y",""),"")</f>
        <v/>
      </c>
      <c r="J264" s="85" t="str">
        <f>IFERROR(IF(VLOOKUP(TableHandbook[[#This Row],[UDC]],TableAvailabilities[],5,FALSE)&gt;0,"Y",""),"")</f>
        <v/>
      </c>
      <c r="K264" s="168"/>
      <c r="L264" s="160" t="str">
        <f>IFERROR(VLOOKUP(TableHandbook[[#This Row],[UDC]],TableBARTS[],7,FALSE),"")</f>
        <v/>
      </c>
      <c r="M264" s="65" t="str">
        <f>IFERROR(VLOOKUP(TableHandbook[[#This Row],[UDC]],TableMJRUANTSO[],7,FALSE),"")</f>
        <v/>
      </c>
      <c r="N264" s="47" t="str">
        <f>IFERROR(VLOOKUP(TableHandbook[[#This Row],[UDC]],TableMJRUCHNSE[],7,FALSE),"")</f>
        <v/>
      </c>
      <c r="O264" s="47" t="str">
        <f>IFERROR(VLOOKUP(TableHandbook[[#This Row],[UDC]],TableMJRUCRWRI[],7,FALSE),"")</f>
        <v/>
      </c>
      <c r="P264" s="47" t="str">
        <f>IFERROR(VLOOKUP(TableHandbook[[#This Row],[UDC]],TableMJRUGEOGR[],7,FALSE),"")</f>
        <v/>
      </c>
      <c r="Q264" s="47" t="str">
        <f>IFERROR(VLOOKUP(TableHandbook[[#This Row],[UDC]],TableMJRUHISTR[],7,FALSE),"")</f>
        <v/>
      </c>
      <c r="R264" s="47" t="str">
        <f>IFERROR(VLOOKUP(TableHandbook[[#This Row],[UDC]],TableMJRUINAUC[],7,FALSE),"")</f>
        <v/>
      </c>
      <c r="S264" s="47" t="str">
        <f>IFERROR(VLOOKUP(TableHandbook[[#This Row],[UDC]],TableMJRUINTRL[],7,FALSE),"")</f>
        <v/>
      </c>
      <c r="T264" s="47" t="str">
        <f>IFERROR(VLOOKUP(TableHandbook[[#This Row],[UDC]],TableMJRUJAPAN[],7,FALSE),"")</f>
        <v/>
      </c>
      <c r="U264" s="47" t="str">
        <f>IFERROR(VLOOKUP(TableHandbook[[#This Row],[UDC]],TableMJRUJOURN[],7,FALSE),"")</f>
        <v/>
      </c>
      <c r="V264" s="65" t="str">
        <f>IFERROR(VLOOKUP(TableHandbook[[#This Row],[UDC]],TableMJRUKORES[],7,FALSE),"")</f>
        <v/>
      </c>
      <c r="W264" s="65" t="str">
        <f>IFERROR(VLOOKUP(TableHandbook[[#This Row],[UDC]],TableMJRULITCU[],7,FALSE),"")</f>
        <v/>
      </c>
      <c r="X264" s="65" t="str">
        <f>IFERROR(VLOOKUP(TableHandbook[[#This Row],[UDC]],TableMJRUNETCM[],7,FALSE),"")</f>
        <v/>
      </c>
      <c r="Y264" s="65" t="str">
        <f>IFERROR(VLOOKUP(TableHandbook[[#This Row],[UDC]],TableMJRUPRWRP[],7,FALSE),"")</f>
        <v/>
      </c>
      <c r="Z264" s="65" t="str">
        <f>IFERROR(VLOOKUP(TableHandbook[[#This Row],[UDC]],TableMJRUSCSTR[],7,FALSE),"")</f>
        <v/>
      </c>
      <c r="AA264" s="74"/>
      <c r="AB264" s="43" t="str">
        <f>IFERROR(VLOOKUP(TableHandbook[[#This Row],[UDC]],TableMJRUBSLAW[],7,FALSE),"")</f>
        <v/>
      </c>
      <c r="AC264" s="66" t="str">
        <f>IFERROR(VLOOKUP(TableHandbook[[#This Row],[UDC]],TableMJRUECONS[],7,FALSE),"")</f>
        <v/>
      </c>
      <c r="AD264" s="66" t="str">
        <f>IFERROR(VLOOKUP(TableHandbook[[#This Row],[UDC]],TableMJRUFINAR[],7,FALSE),"")</f>
        <v/>
      </c>
      <c r="AE264" s="66" t="str">
        <f>IFERROR(VLOOKUP(TableHandbook[[#This Row],[UDC]],TableMJRUFINCE[],7,FALSE),"")</f>
        <v/>
      </c>
      <c r="AF264" s="66" t="str">
        <f>IFERROR(VLOOKUP(TableHandbook[[#This Row],[UDC]],TableMJRUHRMGM[],7,FALSE),"")</f>
        <v/>
      </c>
      <c r="AG264" s="66" t="str">
        <f>IFERROR(VLOOKUP(TableHandbook[[#This Row],[UDC]],TableMJRUINTBU[],7,FALSE),"")</f>
        <v/>
      </c>
      <c r="AH264" s="66" t="str">
        <f>IFERROR(VLOOKUP(TableHandbook[[#This Row],[UDC]],TableMJRULGSCM[],7,FALSE),"")</f>
        <v/>
      </c>
      <c r="AI264" s="66" t="str">
        <f>IFERROR(VLOOKUP(TableHandbook[[#This Row],[UDC]],TableMJRUMNGMT[],7,FALSE),"")</f>
        <v/>
      </c>
      <c r="AJ264" s="66" t="str">
        <f>IFERROR(VLOOKUP(TableHandbook[[#This Row],[UDC]],TableMJRUMRKTG[],7,FALSE),"")</f>
        <v/>
      </c>
      <c r="AK264" s="66" t="str">
        <f>IFERROR(VLOOKUP(TableHandbook[[#This Row],[UDC]],TableMJRUPRPTY[],7,FALSE),"")</f>
        <v>Core</v>
      </c>
      <c r="AL264" s="66" t="str">
        <f>IFERROR(VLOOKUP(TableHandbook[[#This Row],[UDC]],TableMJRUSCRAR[],7,FALSE),"")</f>
        <v/>
      </c>
      <c r="AM264" s="66" t="str">
        <f>IFERROR(VLOOKUP(TableHandbook[[#This Row],[UDC]],TableMJRUTHTRA[],7,FALSE),"")</f>
        <v/>
      </c>
      <c r="AN264" s="66" t="str">
        <f>IFERROR(VLOOKUP(TableHandbook[[#This Row],[UDC]],TableMJRUTRHOS[],7,FALSE),"")</f>
        <v/>
      </c>
    </row>
    <row r="265" spans="1:40" x14ac:dyDescent="0.25">
      <c r="A265" s="8" t="s">
        <v>388</v>
      </c>
      <c r="B265" s="9">
        <v>2</v>
      </c>
      <c r="C265" s="8"/>
      <c r="D265" s="8" t="s">
        <v>800</v>
      </c>
      <c r="E265" s="9">
        <v>25</v>
      </c>
      <c r="F265" s="49" t="s">
        <v>526</v>
      </c>
      <c r="G265" s="67" t="str">
        <f>IFERROR(IF(VLOOKUP(TableHandbook[[#This Row],[UDC]],TableAvailabilities[],2,FALSE)&gt;0,"Y",""),"")</f>
        <v>Y</v>
      </c>
      <c r="H265" s="68" t="str">
        <f>IFERROR(IF(VLOOKUP(TableHandbook[[#This Row],[UDC]],TableAvailabilities[],3,FALSE)&gt;0,"Y",""),"")</f>
        <v/>
      </c>
      <c r="I265" s="69" t="str">
        <f>IFERROR(IF(VLOOKUP(TableHandbook[[#This Row],[UDC]],TableAvailabilities[],4,FALSE)&gt;0,"Y",""),"")</f>
        <v>Y</v>
      </c>
      <c r="J265" s="70" t="str">
        <f>IFERROR(IF(VLOOKUP(TableHandbook[[#This Row],[UDC]],TableAvailabilities[],5,FALSE)&gt;0,"Y",""),"")</f>
        <v/>
      </c>
      <c r="K265" s="164"/>
      <c r="L265" s="160" t="str">
        <f>IFERROR(VLOOKUP(TableHandbook[[#This Row],[UDC]],TableBARTS[],7,FALSE),"")</f>
        <v/>
      </c>
      <c r="M265" s="65" t="str">
        <f>IFERROR(VLOOKUP(TableHandbook[[#This Row],[UDC]],TableMJRUANTSO[],7,FALSE),"")</f>
        <v/>
      </c>
      <c r="N265" s="47" t="str">
        <f>IFERROR(VLOOKUP(TableHandbook[[#This Row],[UDC]],TableMJRUCHNSE[],7,FALSE),"")</f>
        <v/>
      </c>
      <c r="O265" s="47" t="str">
        <f>IFERROR(VLOOKUP(TableHandbook[[#This Row],[UDC]],TableMJRUCRWRI[],7,FALSE),"")</f>
        <v/>
      </c>
      <c r="P265" s="47" t="str">
        <f>IFERROR(VLOOKUP(TableHandbook[[#This Row],[UDC]],TableMJRUGEOGR[],7,FALSE),"")</f>
        <v/>
      </c>
      <c r="Q265" s="47" t="str">
        <f>IFERROR(VLOOKUP(TableHandbook[[#This Row],[UDC]],TableMJRUHISTR[],7,FALSE),"")</f>
        <v/>
      </c>
      <c r="R265" s="47" t="str">
        <f>IFERROR(VLOOKUP(TableHandbook[[#This Row],[UDC]],TableMJRUINAUC[],7,FALSE),"")</f>
        <v/>
      </c>
      <c r="S265" s="47" t="str">
        <f>IFERROR(VLOOKUP(TableHandbook[[#This Row],[UDC]],TableMJRUINTRL[],7,FALSE),"")</f>
        <v/>
      </c>
      <c r="T265" s="47" t="str">
        <f>IFERROR(VLOOKUP(TableHandbook[[#This Row],[UDC]],TableMJRUJAPAN[],7,FALSE),"")</f>
        <v/>
      </c>
      <c r="U265" s="47" t="str">
        <f>IFERROR(VLOOKUP(TableHandbook[[#This Row],[UDC]],TableMJRUJOURN[],7,FALSE),"")</f>
        <v/>
      </c>
      <c r="V265" s="65" t="str">
        <f>IFERROR(VLOOKUP(TableHandbook[[#This Row],[UDC]],TableMJRUKORES[],7,FALSE),"")</f>
        <v/>
      </c>
      <c r="W265" s="65" t="str">
        <f>IFERROR(VLOOKUP(TableHandbook[[#This Row],[UDC]],TableMJRULITCU[],7,FALSE),"")</f>
        <v/>
      </c>
      <c r="X265" s="65" t="str">
        <f>IFERROR(VLOOKUP(TableHandbook[[#This Row],[UDC]],TableMJRUNETCM[],7,FALSE),"")</f>
        <v/>
      </c>
      <c r="Y265" s="65" t="str">
        <f>IFERROR(VLOOKUP(TableHandbook[[#This Row],[UDC]],TableMJRUPRWRP[],7,FALSE),"")</f>
        <v/>
      </c>
      <c r="Z265" s="65" t="str">
        <f>IFERROR(VLOOKUP(TableHandbook[[#This Row],[UDC]],TableMJRUSCSTR[],7,FALSE),"")</f>
        <v/>
      </c>
      <c r="AA265" s="74"/>
      <c r="AB265" s="43" t="str">
        <f>IFERROR(VLOOKUP(TableHandbook[[#This Row],[UDC]],TableMJRUBSLAW[],7,FALSE),"")</f>
        <v/>
      </c>
      <c r="AC265" s="66" t="str">
        <f>IFERROR(VLOOKUP(TableHandbook[[#This Row],[UDC]],TableMJRUECONS[],7,FALSE),"")</f>
        <v/>
      </c>
      <c r="AD265" s="66" t="str">
        <f>IFERROR(VLOOKUP(TableHandbook[[#This Row],[UDC]],TableMJRUFINAR[],7,FALSE),"")</f>
        <v/>
      </c>
      <c r="AE265" s="66" t="str">
        <f>IFERROR(VLOOKUP(TableHandbook[[#This Row],[UDC]],TableMJRUFINCE[],7,FALSE),"")</f>
        <v/>
      </c>
      <c r="AF265" s="66" t="str">
        <f>IFERROR(VLOOKUP(TableHandbook[[#This Row],[UDC]],TableMJRUHRMGM[],7,FALSE),"")</f>
        <v/>
      </c>
      <c r="AG265" s="66" t="str">
        <f>IFERROR(VLOOKUP(TableHandbook[[#This Row],[UDC]],TableMJRUINTBU[],7,FALSE),"")</f>
        <v/>
      </c>
      <c r="AH265" s="66" t="str">
        <f>IFERROR(VLOOKUP(TableHandbook[[#This Row],[UDC]],TableMJRULGSCM[],7,FALSE),"")</f>
        <v/>
      </c>
      <c r="AI265" s="66" t="str">
        <f>IFERROR(VLOOKUP(TableHandbook[[#This Row],[UDC]],TableMJRUMNGMT[],7,FALSE),"")</f>
        <v/>
      </c>
      <c r="AJ265" s="66" t="str">
        <f>IFERROR(VLOOKUP(TableHandbook[[#This Row],[UDC]],TableMJRUMRKTG[],7,FALSE),"")</f>
        <v/>
      </c>
      <c r="AK265" s="66" t="str">
        <f>IFERROR(VLOOKUP(TableHandbook[[#This Row],[UDC]],TableMJRUPRPTY[],7,FALSE),"")</f>
        <v>Core</v>
      </c>
      <c r="AL265" s="66" t="str">
        <f>IFERROR(VLOOKUP(TableHandbook[[#This Row],[UDC]],TableMJRUSCRAR[],7,FALSE),"")</f>
        <v/>
      </c>
      <c r="AM265" s="66" t="str">
        <f>IFERROR(VLOOKUP(TableHandbook[[#This Row],[UDC]],TableMJRUTHTRA[],7,FALSE),"")</f>
        <v/>
      </c>
      <c r="AN265" s="66" t="str">
        <f>IFERROR(VLOOKUP(TableHandbook[[#This Row],[UDC]],TableMJRUTRHOS[],7,FALSE),"")</f>
        <v/>
      </c>
    </row>
    <row r="266" spans="1:40" x14ac:dyDescent="0.25">
      <c r="A266" s="8" t="s">
        <v>429</v>
      </c>
      <c r="B266" s="9">
        <v>1</v>
      </c>
      <c r="C266" s="8"/>
      <c r="D266" s="8" t="s">
        <v>801</v>
      </c>
      <c r="E266" s="9">
        <v>25</v>
      </c>
      <c r="F266" s="49" t="s">
        <v>388</v>
      </c>
      <c r="G266" s="67" t="str">
        <f>IFERROR(IF(VLOOKUP(TableHandbook[[#This Row],[UDC]],TableAvailabilities[],2,FALSE)&gt;0,"Y",""),"")</f>
        <v/>
      </c>
      <c r="H266" s="68" t="str">
        <f>IFERROR(IF(VLOOKUP(TableHandbook[[#This Row],[UDC]],TableAvailabilities[],3,FALSE)&gt;0,"Y",""),"")</f>
        <v/>
      </c>
      <c r="I266" s="69" t="str">
        <f>IFERROR(IF(VLOOKUP(TableHandbook[[#This Row],[UDC]],TableAvailabilities[],4,FALSE)&gt;0,"Y",""),"")</f>
        <v>Y</v>
      </c>
      <c r="J266" s="70" t="str">
        <f>IFERROR(IF(VLOOKUP(TableHandbook[[#This Row],[UDC]],TableAvailabilities[],5,FALSE)&gt;0,"Y",""),"")</f>
        <v/>
      </c>
      <c r="K266" s="164"/>
      <c r="L266" s="160" t="str">
        <f>IFERROR(VLOOKUP(TableHandbook[[#This Row],[UDC]],TableBARTS[],7,FALSE),"")</f>
        <v/>
      </c>
      <c r="M266" s="65" t="str">
        <f>IFERROR(VLOOKUP(TableHandbook[[#This Row],[UDC]],TableMJRUANTSO[],7,FALSE),"")</f>
        <v/>
      </c>
      <c r="N266" s="65" t="str">
        <f>IFERROR(VLOOKUP(TableHandbook[[#This Row],[UDC]],TableMJRUCHNSE[],7,FALSE),"")</f>
        <v/>
      </c>
      <c r="O266" s="65" t="str">
        <f>IFERROR(VLOOKUP(TableHandbook[[#This Row],[UDC]],TableMJRUCRWRI[],7,FALSE),"")</f>
        <v/>
      </c>
      <c r="P266" s="65" t="str">
        <f>IFERROR(VLOOKUP(TableHandbook[[#This Row],[UDC]],TableMJRUGEOGR[],7,FALSE),"")</f>
        <v/>
      </c>
      <c r="Q266" s="65" t="str">
        <f>IFERROR(VLOOKUP(TableHandbook[[#This Row],[UDC]],TableMJRUHISTR[],7,FALSE),"")</f>
        <v/>
      </c>
      <c r="R266" s="65" t="str">
        <f>IFERROR(VLOOKUP(TableHandbook[[#This Row],[UDC]],TableMJRUINAUC[],7,FALSE),"")</f>
        <v/>
      </c>
      <c r="S266" s="65" t="str">
        <f>IFERROR(VLOOKUP(TableHandbook[[#This Row],[UDC]],TableMJRUINTRL[],7,FALSE),"")</f>
        <v/>
      </c>
      <c r="T266" s="65" t="str">
        <f>IFERROR(VLOOKUP(TableHandbook[[#This Row],[UDC]],TableMJRUJAPAN[],7,FALSE),"")</f>
        <v/>
      </c>
      <c r="U266" s="65" t="str">
        <f>IFERROR(VLOOKUP(TableHandbook[[#This Row],[UDC]],TableMJRUJOURN[],7,FALSE),"")</f>
        <v/>
      </c>
      <c r="V266" s="65" t="str">
        <f>IFERROR(VLOOKUP(TableHandbook[[#This Row],[UDC]],TableMJRUKORES[],7,FALSE),"")</f>
        <v/>
      </c>
      <c r="W266" s="65" t="str">
        <f>IFERROR(VLOOKUP(TableHandbook[[#This Row],[UDC]],TableMJRULITCU[],7,FALSE),"")</f>
        <v/>
      </c>
      <c r="X266" s="65" t="str">
        <f>IFERROR(VLOOKUP(TableHandbook[[#This Row],[UDC]],TableMJRUNETCM[],7,FALSE),"")</f>
        <v/>
      </c>
      <c r="Y266" s="65" t="str">
        <f>IFERROR(VLOOKUP(TableHandbook[[#This Row],[UDC]],TableMJRUPRWRP[],7,FALSE),"")</f>
        <v/>
      </c>
      <c r="Z266" s="65" t="str">
        <f>IFERROR(VLOOKUP(TableHandbook[[#This Row],[UDC]],TableMJRUSCSTR[],7,FALSE),"")</f>
        <v/>
      </c>
      <c r="AA266" s="74"/>
      <c r="AB266" s="43" t="str">
        <f>IFERROR(VLOOKUP(TableHandbook[[#This Row],[UDC]],TableMJRUBSLAW[],7,FALSE),"")</f>
        <v/>
      </c>
      <c r="AC266" s="66" t="str">
        <f>IFERROR(VLOOKUP(TableHandbook[[#This Row],[UDC]],TableMJRUECONS[],7,FALSE),"")</f>
        <v/>
      </c>
      <c r="AD266" s="66" t="str">
        <f>IFERROR(VLOOKUP(TableHandbook[[#This Row],[UDC]],TableMJRUFINAR[],7,FALSE),"")</f>
        <v/>
      </c>
      <c r="AE266" s="66" t="str">
        <f>IFERROR(VLOOKUP(TableHandbook[[#This Row],[UDC]],TableMJRUFINCE[],7,FALSE),"")</f>
        <v/>
      </c>
      <c r="AF266" s="66" t="str">
        <f>IFERROR(VLOOKUP(TableHandbook[[#This Row],[UDC]],TableMJRUHRMGM[],7,FALSE),"")</f>
        <v/>
      </c>
      <c r="AG266" s="66" t="str">
        <f>IFERROR(VLOOKUP(TableHandbook[[#This Row],[UDC]],TableMJRUINTBU[],7,FALSE),"")</f>
        <v/>
      </c>
      <c r="AH266" s="66" t="str">
        <f>IFERROR(VLOOKUP(TableHandbook[[#This Row],[UDC]],TableMJRULGSCM[],7,FALSE),"")</f>
        <v/>
      </c>
      <c r="AI266" s="66" t="str">
        <f>IFERROR(VLOOKUP(TableHandbook[[#This Row],[UDC]],TableMJRUMNGMT[],7,FALSE),"")</f>
        <v/>
      </c>
      <c r="AJ266" s="66" t="str">
        <f>IFERROR(VLOOKUP(TableHandbook[[#This Row],[UDC]],TableMJRUMRKTG[],7,FALSE),"")</f>
        <v/>
      </c>
      <c r="AK266" s="66" t="str">
        <f>IFERROR(VLOOKUP(TableHandbook[[#This Row],[UDC]],TableMJRUPRPTY[],7,FALSE),"")</f>
        <v>Core</v>
      </c>
      <c r="AL266" s="66" t="str">
        <f>IFERROR(VLOOKUP(TableHandbook[[#This Row],[UDC]],TableMJRUSCRAR[],7,FALSE),"")</f>
        <v/>
      </c>
      <c r="AM266" s="66" t="str">
        <f>IFERROR(VLOOKUP(TableHandbook[[#This Row],[UDC]],TableMJRUTHTRA[],7,FALSE),"")</f>
        <v/>
      </c>
      <c r="AN266" s="66" t="str">
        <f>IFERROR(VLOOKUP(TableHandbook[[#This Row],[UDC]],TableMJRUTRHOS[],7,FALSE),"")</f>
        <v/>
      </c>
    </row>
    <row r="267" spans="1:40" x14ac:dyDescent="0.25">
      <c r="A267" s="8" t="s">
        <v>454</v>
      </c>
      <c r="B267" s="9">
        <v>2</v>
      </c>
      <c r="C267" s="8"/>
      <c r="D267" s="8" t="s">
        <v>802</v>
      </c>
      <c r="E267" s="9">
        <v>25</v>
      </c>
      <c r="F267" s="49" t="s">
        <v>803</v>
      </c>
      <c r="G267" s="67" t="str">
        <f>IFERROR(IF(VLOOKUP(TableHandbook[[#This Row],[UDC]],TableAvailabilities[],2,FALSE)&gt;0,"Y",""),"")</f>
        <v>Y</v>
      </c>
      <c r="H267" s="68" t="str">
        <f>IFERROR(IF(VLOOKUP(TableHandbook[[#This Row],[UDC]],TableAvailabilities[],3,FALSE)&gt;0,"Y",""),"")</f>
        <v/>
      </c>
      <c r="I267" s="69" t="str">
        <f>IFERROR(IF(VLOOKUP(TableHandbook[[#This Row],[UDC]],TableAvailabilities[],4,FALSE)&gt;0,"Y",""),"")</f>
        <v/>
      </c>
      <c r="J267" s="70" t="str">
        <f>IFERROR(IF(VLOOKUP(TableHandbook[[#This Row],[UDC]],TableAvailabilities[],5,FALSE)&gt;0,"Y",""),"")</f>
        <v/>
      </c>
      <c r="K267" s="164"/>
      <c r="L267" s="160" t="str">
        <f>IFERROR(VLOOKUP(TableHandbook[[#This Row],[UDC]],TableBARTS[],7,FALSE),"")</f>
        <v/>
      </c>
      <c r="M267" s="65" t="str">
        <f>IFERROR(VLOOKUP(TableHandbook[[#This Row],[UDC]],TableMJRUANTSO[],7,FALSE),"")</f>
        <v/>
      </c>
      <c r="N267" s="65" t="str">
        <f>IFERROR(VLOOKUP(TableHandbook[[#This Row],[UDC]],TableMJRUCHNSE[],7,FALSE),"")</f>
        <v/>
      </c>
      <c r="O267" s="65" t="str">
        <f>IFERROR(VLOOKUP(TableHandbook[[#This Row],[UDC]],TableMJRUCRWRI[],7,FALSE),"")</f>
        <v/>
      </c>
      <c r="P267" s="65" t="str">
        <f>IFERROR(VLOOKUP(TableHandbook[[#This Row],[UDC]],TableMJRUGEOGR[],7,FALSE),"")</f>
        <v/>
      </c>
      <c r="Q267" s="65" t="str">
        <f>IFERROR(VLOOKUP(TableHandbook[[#This Row],[UDC]],TableMJRUHISTR[],7,FALSE),"")</f>
        <v/>
      </c>
      <c r="R267" s="65" t="str">
        <f>IFERROR(VLOOKUP(TableHandbook[[#This Row],[UDC]],TableMJRUINAUC[],7,FALSE),"")</f>
        <v/>
      </c>
      <c r="S267" s="65" t="str">
        <f>IFERROR(VLOOKUP(TableHandbook[[#This Row],[UDC]],TableMJRUINTRL[],7,FALSE),"")</f>
        <v/>
      </c>
      <c r="T267" s="65" t="str">
        <f>IFERROR(VLOOKUP(TableHandbook[[#This Row],[UDC]],TableMJRUJAPAN[],7,FALSE),"")</f>
        <v/>
      </c>
      <c r="U267" s="65" t="str">
        <f>IFERROR(VLOOKUP(TableHandbook[[#This Row],[UDC]],TableMJRUJOURN[],7,FALSE),"")</f>
        <v/>
      </c>
      <c r="V267" s="65" t="str">
        <f>IFERROR(VLOOKUP(TableHandbook[[#This Row],[UDC]],TableMJRUKORES[],7,FALSE),"")</f>
        <v/>
      </c>
      <c r="W267" s="65" t="str">
        <f>IFERROR(VLOOKUP(TableHandbook[[#This Row],[UDC]],TableMJRULITCU[],7,FALSE),"")</f>
        <v/>
      </c>
      <c r="X267" s="65" t="str">
        <f>IFERROR(VLOOKUP(TableHandbook[[#This Row],[UDC]],TableMJRUNETCM[],7,FALSE),"")</f>
        <v/>
      </c>
      <c r="Y267" s="65" t="str">
        <f>IFERROR(VLOOKUP(TableHandbook[[#This Row],[UDC]],TableMJRUPRWRP[],7,FALSE),"")</f>
        <v/>
      </c>
      <c r="Z267" s="65" t="str">
        <f>IFERROR(VLOOKUP(TableHandbook[[#This Row],[UDC]],TableMJRUSCSTR[],7,FALSE),"")</f>
        <v/>
      </c>
      <c r="AA267" s="74"/>
      <c r="AB267" s="43" t="str">
        <f>IFERROR(VLOOKUP(TableHandbook[[#This Row],[UDC]],TableMJRUBSLAW[],7,FALSE),"")</f>
        <v/>
      </c>
      <c r="AC267" s="66" t="str">
        <f>IFERROR(VLOOKUP(TableHandbook[[#This Row],[UDC]],TableMJRUECONS[],7,FALSE),"")</f>
        <v/>
      </c>
      <c r="AD267" s="66" t="str">
        <f>IFERROR(VLOOKUP(TableHandbook[[#This Row],[UDC]],TableMJRUFINAR[],7,FALSE),"")</f>
        <v/>
      </c>
      <c r="AE267" s="66" t="str">
        <f>IFERROR(VLOOKUP(TableHandbook[[#This Row],[UDC]],TableMJRUFINCE[],7,FALSE),"")</f>
        <v/>
      </c>
      <c r="AF267" s="66" t="str">
        <f>IFERROR(VLOOKUP(TableHandbook[[#This Row],[UDC]],TableMJRUHRMGM[],7,FALSE),"")</f>
        <v/>
      </c>
      <c r="AG267" s="66" t="str">
        <f>IFERROR(VLOOKUP(TableHandbook[[#This Row],[UDC]],TableMJRUINTBU[],7,FALSE),"")</f>
        <v/>
      </c>
      <c r="AH267" s="66" t="str">
        <f>IFERROR(VLOOKUP(TableHandbook[[#This Row],[UDC]],TableMJRULGSCM[],7,FALSE),"")</f>
        <v/>
      </c>
      <c r="AI267" s="66" t="str">
        <f>IFERROR(VLOOKUP(TableHandbook[[#This Row],[UDC]],TableMJRUMNGMT[],7,FALSE),"")</f>
        <v/>
      </c>
      <c r="AJ267" s="66" t="str">
        <f>IFERROR(VLOOKUP(TableHandbook[[#This Row],[UDC]],TableMJRUMRKTG[],7,FALSE),"")</f>
        <v/>
      </c>
      <c r="AK267" s="66" t="str">
        <f>IFERROR(VLOOKUP(TableHandbook[[#This Row],[UDC]],TableMJRUPRPTY[],7,FALSE),"")</f>
        <v>Core</v>
      </c>
      <c r="AL267" s="66" t="str">
        <f>IFERROR(VLOOKUP(TableHandbook[[#This Row],[UDC]],TableMJRUSCRAR[],7,FALSE),"")</f>
        <v/>
      </c>
      <c r="AM267" s="66" t="str">
        <f>IFERROR(VLOOKUP(TableHandbook[[#This Row],[UDC]],TableMJRUTHTRA[],7,FALSE),"")</f>
        <v/>
      </c>
      <c r="AN267" s="66" t="str">
        <f>IFERROR(VLOOKUP(TableHandbook[[#This Row],[UDC]],TableMJRUTRHOS[],7,FALSE),"")</f>
        <v/>
      </c>
    </row>
    <row r="268" spans="1:40" x14ac:dyDescent="0.25">
      <c r="A268" s="8" t="s">
        <v>468</v>
      </c>
      <c r="B268" s="9">
        <v>2</v>
      </c>
      <c r="C268" s="8"/>
      <c r="D268" s="8" t="s">
        <v>804</v>
      </c>
      <c r="E268" s="9">
        <v>25</v>
      </c>
      <c r="F268" s="49" t="s">
        <v>805</v>
      </c>
      <c r="G268" s="67" t="str">
        <f>IFERROR(IF(VLOOKUP(TableHandbook[[#This Row],[UDC]],TableAvailabilities[],2,FALSE)&gt;0,"Y",""),"")</f>
        <v>Y</v>
      </c>
      <c r="H268" s="68" t="str">
        <f>IFERROR(IF(VLOOKUP(TableHandbook[[#This Row],[UDC]],TableAvailabilities[],3,FALSE)&gt;0,"Y",""),"")</f>
        <v/>
      </c>
      <c r="I268" s="69" t="str">
        <f>IFERROR(IF(VLOOKUP(TableHandbook[[#This Row],[UDC]],TableAvailabilities[],4,FALSE)&gt;0,"Y",""),"")</f>
        <v/>
      </c>
      <c r="J268" s="70" t="str">
        <f>IFERROR(IF(VLOOKUP(TableHandbook[[#This Row],[UDC]],TableAvailabilities[],5,FALSE)&gt;0,"Y",""),"")</f>
        <v/>
      </c>
      <c r="K268" s="163"/>
      <c r="L268" s="160" t="str">
        <f>IFERROR(VLOOKUP(TableHandbook[[#This Row],[UDC]],TableBARTS[],7,FALSE),"")</f>
        <v/>
      </c>
      <c r="M268" s="65" t="str">
        <f>IFERROR(VLOOKUP(TableHandbook[[#This Row],[UDC]],TableMJRUANTSO[],7,FALSE),"")</f>
        <v/>
      </c>
      <c r="N268" s="65" t="str">
        <f>IFERROR(VLOOKUP(TableHandbook[[#This Row],[UDC]],TableMJRUCHNSE[],7,FALSE),"")</f>
        <v/>
      </c>
      <c r="O268" s="65" t="str">
        <f>IFERROR(VLOOKUP(TableHandbook[[#This Row],[UDC]],TableMJRUCRWRI[],7,FALSE),"")</f>
        <v/>
      </c>
      <c r="P268" s="65" t="str">
        <f>IFERROR(VLOOKUP(TableHandbook[[#This Row],[UDC]],TableMJRUGEOGR[],7,FALSE),"")</f>
        <v/>
      </c>
      <c r="Q268" s="65" t="str">
        <f>IFERROR(VLOOKUP(TableHandbook[[#This Row],[UDC]],TableMJRUHISTR[],7,FALSE),"")</f>
        <v/>
      </c>
      <c r="R268" s="65" t="str">
        <f>IFERROR(VLOOKUP(TableHandbook[[#This Row],[UDC]],TableMJRUINAUC[],7,FALSE),"")</f>
        <v/>
      </c>
      <c r="S268" s="65" t="str">
        <f>IFERROR(VLOOKUP(TableHandbook[[#This Row],[UDC]],TableMJRUINTRL[],7,FALSE),"")</f>
        <v/>
      </c>
      <c r="T268" s="65" t="str">
        <f>IFERROR(VLOOKUP(TableHandbook[[#This Row],[UDC]],TableMJRUJAPAN[],7,FALSE),"")</f>
        <v/>
      </c>
      <c r="U268" s="65" t="str">
        <f>IFERROR(VLOOKUP(TableHandbook[[#This Row],[UDC]],TableMJRUJOURN[],7,FALSE),"")</f>
        <v/>
      </c>
      <c r="V268" s="65" t="str">
        <f>IFERROR(VLOOKUP(TableHandbook[[#This Row],[UDC]],TableMJRUKORES[],7,FALSE),"")</f>
        <v/>
      </c>
      <c r="W268" s="65" t="str">
        <f>IFERROR(VLOOKUP(TableHandbook[[#This Row],[UDC]],TableMJRULITCU[],7,FALSE),"")</f>
        <v/>
      </c>
      <c r="X268" s="65" t="str">
        <f>IFERROR(VLOOKUP(TableHandbook[[#This Row],[UDC]],TableMJRUNETCM[],7,FALSE),"")</f>
        <v/>
      </c>
      <c r="Y268" s="65" t="str">
        <f>IFERROR(VLOOKUP(TableHandbook[[#This Row],[UDC]],TableMJRUPRWRP[],7,FALSE),"")</f>
        <v/>
      </c>
      <c r="Z268" s="65" t="str">
        <f>IFERROR(VLOOKUP(TableHandbook[[#This Row],[UDC]],TableMJRUSCSTR[],7,FALSE),"")</f>
        <v/>
      </c>
      <c r="AA268" s="74"/>
      <c r="AB268" s="43" t="str">
        <f>IFERROR(VLOOKUP(TableHandbook[[#This Row],[UDC]],TableMJRUBSLAW[],7,FALSE),"")</f>
        <v/>
      </c>
      <c r="AC268" s="66" t="str">
        <f>IFERROR(VLOOKUP(TableHandbook[[#This Row],[UDC]],TableMJRUECONS[],7,FALSE),"")</f>
        <v/>
      </c>
      <c r="AD268" s="66" t="str">
        <f>IFERROR(VLOOKUP(TableHandbook[[#This Row],[UDC]],TableMJRUFINAR[],7,FALSE),"")</f>
        <v/>
      </c>
      <c r="AE268" s="66" t="str">
        <f>IFERROR(VLOOKUP(TableHandbook[[#This Row],[UDC]],TableMJRUFINCE[],7,FALSE),"")</f>
        <v/>
      </c>
      <c r="AF268" s="66" t="str">
        <f>IFERROR(VLOOKUP(TableHandbook[[#This Row],[UDC]],TableMJRUHRMGM[],7,FALSE),"")</f>
        <v/>
      </c>
      <c r="AG268" s="66" t="str">
        <f>IFERROR(VLOOKUP(TableHandbook[[#This Row],[UDC]],TableMJRUINTBU[],7,FALSE),"")</f>
        <v/>
      </c>
      <c r="AH268" s="66" t="str">
        <f>IFERROR(VLOOKUP(TableHandbook[[#This Row],[UDC]],TableMJRULGSCM[],7,FALSE),"")</f>
        <v/>
      </c>
      <c r="AI268" s="66" t="str">
        <f>IFERROR(VLOOKUP(TableHandbook[[#This Row],[UDC]],TableMJRUMNGMT[],7,FALSE),"")</f>
        <v/>
      </c>
      <c r="AJ268" s="66" t="str">
        <f>IFERROR(VLOOKUP(TableHandbook[[#This Row],[UDC]],TableMJRUMRKTG[],7,FALSE),"")</f>
        <v/>
      </c>
      <c r="AK268" s="66" t="str">
        <f>IFERROR(VLOOKUP(TableHandbook[[#This Row],[UDC]],TableMJRUPRPTY[],7,FALSE),"")</f>
        <v>Core</v>
      </c>
      <c r="AL268" s="66" t="str">
        <f>IFERROR(VLOOKUP(TableHandbook[[#This Row],[UDC]],TableMJRUSCRAR[],7,FALSE),"")</f>
        <v/>
      </c>
      <c r="AM268" s="66" t="str">
        <f>IFERROR(VLOOKUP(TableHandbook[[#This Row],[UDC]],TableMJRUTHTRA[],7,FALSE),"")</f>
        <v/>
      </c>
      <c r="AN268" s="66" t="str">
        <f>IFERROR(VLOOKUP(TableHandbook[[#This Row],[UDC]],TableMJRUTRHOS[],7,FALSE),"")</f>
        <v/>
      </c>
    </row>
    <row r="269" spans="1:40" x14ac:dyDescent="0.25">
      <c r="A269" s="8" t="s">
        <v>66</v>
      </c>
      <c r="B269" s="9">
        <v>2</v>
      </c>
      <c r="C269" s="8"/>
      <c r="D269" s="8" t="s">
        <v>806</v>
      </c>
      <c r="E269" s="9">
        <v>25</v>
      </c>
      <c r="F269" s="49" t="s">
        <v>526</v>
      </c>
      <c r="G269" s="67" t="str">
        <f>IFERROR(IF(VLOOKUP(TableHandbook[[#This Row],[UDC]],TableAvailabilities[],2,FALSE)&gt;0,"Y",""),"")</f>
        <v>Y</v>
      </c>
      <c r="H269" s="68" t="str">
        <f>IFERROR(IF(VLOOKUP(TableHandbook[[#This Row],[UDC]],TableAvailabilities[],3,FALSE)&gt;0,"Y",""),"")</f>
        <v/>
      </c>
      <c r="I269" s="69" t="str">
        <f>IFERROR(IF(VLOOKUP(TableHandbook[[#This Row],[UDC]],TableAvailabilities[],4,FALSE)&gt;0,"Y",""),"")</f>
        <v/>
      </c>
      <c r="J269" s="70" t="str">
        <f>IFERROR(IF(VLOOKUP(TableHandbook[[#This Row],[UDC]],TableAvailabilities[],5,FALSE)&gt;0,"Y",""),"")</f>
        <v/>
      </c>
      <c r="K269" s="163"/>
      <c r="L269" s="160" t="str">
        <f>IFERROR(VLOOKUP(TableHandbook[[#This Row],[UDC]],TableBARTS[],7,FALSE),"")</f>
        <v>Option</v>
      </c>
      <c r="M269" s="65" t="str">
        <f>IFERROR(VLOOKUP(TableHandbook[[#This Row],[UDC]],TableMJRUANTSO[],7,FALSE),"")</f>
        <v/>
      </c>
      <c r="N269" s="65" t="str">
        <f>IFERROR(VLOOKUP(TableHandbook[[#This Row],[UDC]],TableMJRUCHNSE[],7,FALSE),"")</f>
        <v/>
      </c>
      <c r="O269" s="65" t="str">
        <f>IFERROR(VLOOKUP(TableHandbook[[#This Row],[UDC]],TableMJRUCRWRI[],7,FALSE),"")</f>
        <v/>
      </c>
      <c r="P269" s="65" t="str">
        <f>IFERROR(VLOOKUP(TableHandbook[[#This Row],[UDC]],TableMJRUGEOGR[],7,FALSE),"")</f>
        <v/>
      </c>
      <c r="Q269" s="65" t="str">
        <f>IFERROR(VLOOKUP(TableHandbook[[#This Row],[UDC]],TableMJRUHISTR[],7,FALSE),"")</f>
        <v/>
      </c>
      <c r="R269" s="65" t="str">
        <f>IFERROR(VLOOKUP(TableHandbook[[#This Row],[UDC]],TableMJRUINAUC[],7,FALSE),"")</f>
        <v/>
      </c>
      <c r="S269" s="65" t="str">
        <f>IFERROR(VLOOKUP(TableHandbook[[#This Row],[UDC]],TableMJRUINTRL[],7,FALSE),"")</f>
        <v/>
      </c>
      <c r="T269" s="65" t="str">
        <f>IFERROR(VLOOKUP(TableHandbook[[#This Row],[UDC]],TableMJRUJAPAN[],7,FALSE),"")</f>
        <v/>
      </c>
      <c r="U269" s="65" t="str">
        <f>IFERROR(VLOOKUP(TableHandbook[[#This Row],[UDC]],TableMJRUJOURN[],7,FALSE),"")</f>
        <v/>
      </c>
      <c r="V269" s="65" t="str">
        <f>IFERROR(VLOOKUP(TableHandbook[[#This Row],[UDC]],TableMJRUKORES[],7,FALSE),"")</f>
        <v/>
      </c>
      <c r="W269" s="65" t="str">
        <f>IFERROR(VLOOKUP(TableHandbook[[#This Row],[UDC]],TableMJRULITCU[],7,FALSE),"")</f>
        <v/>
      </c>
      <c r="X269" s="65" t="str">
        <f>IFERROR(VLOOKUP(TableHandbook[[#This Row],[UDC]],TableMJRUNETCM[],7,FALSE),"")</f>
        <v/>
      </c>
      <c r="Y269" s="65" t="str">
        <f>IFERROR(VLOOKUP(TableHandbook[[#This Row],[UDC]],TableMJRUPRWRP[],7,FALSE),"")</f>
        <v/>
      </c>
      <c r="Z269" s="65" t="str">
        <f>IFERROR(VLOOKUP(TableHandbook[[#This Row],[UDC]],TableMJRUSCSTR[],7,FALSE),"")</f>
        <v/>
      </c>
      <c r="AA269" s="74"/>
      <c r="AB269" s="43" t="str">
        <f>IFERROR(VLOOKUP(TableHandbook[[#This Row],[UDC]],TableMJRUBSLAW[],7,FALSE),"")</f>
        <v/>
      </c>
      <c r="AC269" s="66" t="str">
        <f>IFERROR(VLOOKUP(TableHandbook[[#This Row],[UDC]],TableMJRUECONS[],7,FALSE),"")</f>
        <v/>
      </c>
      <c r="AD269" s="66" t="str">
        <f>IFERROR(VLOOKUP(TableHandbook[[#This Row],[UDC]],TableMJRUFINAR[],7,FALSE),"")</f>
        <v/>
      </c>
      <c r="AE269" s="66" t="str">
        <f>IFERROR(VLOOKUP(TableHandbook[[#This Row],[UDC]],TableMJRUFINCE[],7,FALSE),"")</f>
        <v/>
      </c>
      <c r="AF269" s="66" t="str">
        <f>IFERROR(VLOOKUP(TableHandbook[[#This Row],[UDC]],TableMJRUHRMGM[],7,FALSE),"")</f>
        <v/>
      </c>
      <c r="AG269" s="66" t="str">
        <f>IFERROR(VLOOKUP(TableHandbook[[#This Row],[UDC]],TableMJRUINTBU[],7,FALSE),"")</f>
        <v/>
      </c>
      <c r="AH269" s="66" t="str">
        <f>IFERROR(VLOOKUP(TableHandbook[[#This Row],[UDC]],TableMJRULGSCM[],7,FALSE),"")</f>
        <v/>
      </c>
      <c r="AI269" s="66" t="str">
        <f>IFERROR(VLOOKUP(TableHandbook[[#This Row],[UDC]],TableMJRUMNGMT[],7,FALSE),"")</f>
        <v/>
      </c>
      <c r="AJ269" s="66" t="str">
        <f>IFERROR(VLOOKUP(TableHandbook[[#This Row],[UDC]],TableMJRUMRKTG[],7,FALSE),"")</f>
        <v/>
      </c>
      <c r="AK269" s="66" t="str">
        <f>IFERROR(VLOOKUP(TableHandbook[[#This Row],[UDC]],TableMJRUPRPTY[],7,FALSE),"")</f>
        <v/>
      </c>
      <c r="AL269" s="66" t="str">
        <f>IFERROR(VLOOKUP(TableHandbook[[#This Row],[UDC]],TableMJRUSCRAR[],7,FALSE),"")</f>
        <v/>
      </c>
      <c r="AM269" s="66" t="str">
        <f>IFERROR(VLOOKUP(TableHandbook[[#This Row],[UDC]],TableMJRUTHTRA[],7,FALSE),"")</f>
        <v/>
      </c>
      <c r="AN269" s="66" t="str">
        <f>IFERROR(VLOOKUP(TableHandbook[[#This Row],[UDC]],TableMJRUTRHOS[],7,FALSE),"")</f>
        <v/>
      </c>
    </row>
    <row r="270" spans="1:40" x14ac:dyDescent="0.25">
      <c r="A270" s="8" t="s">
        <v>67</v>
      </c>
      <c r="B270" s="9">
        <v>2</v>
      </c>
      <c r="C270" s="8"/>
      <c r="D270" s="8" t="s">
        <v>807</v>
      </c>
      <c r="E270" s="9">
        <v>25</v>
      </c>
      <c r="F270" s="49" t="s">
        <v>526</v>
      </c>
      <c r="G270" s="67" t="str">
        <f>IFERROR(IF(VLOOKUP(TableHandbook[[#This Row],[UDC]],TableAvailabilities[],2,FALSE)&gt;0,"Y",""),"")</f>
        <v/>
      </c>
      <c r="H270" s="68" t="str">
        <f>IFERROR(IF(VLOOKUP(TableHandbook[[#This Row],[UDC]],TableAvailabilities[],3,FALSE)&gt;0,"Y",""),"")</f>
        <v/>
      </c>
      <c r="I270" s="69" t="str">
        <f>IFERROR(IF(VLOOKUP(TableHandbook[[#This Row],[UDC]],TableAvailabilities[],4,FALSE)&gt;0,"Y",""),"")</f>
        <v>Y</v>
      </c>
      <c r="J270" s="70" t="str">
        <f>IFERROR(IF(VLOOKUP(TableHandbook[[#This Row],[UDC]],TableAvailabilities[],5,FALSE)&gt;0,"Y",""),"")</f>
        <v/>
      </c>
      <c r="K270" s="163" t="s">
        <v>533</v>
      </c>
      <c r="L270" s="160" t="str">
        <f>IFERROR(VLOOKUP(TableHandbook[[#This Row],[UDC]],TableBARTS[],7,FALSE),"")</f>
        <v>Option</v>
      </c>
      <c r="M270" s="65" t="str">
        <f>IFERROR(VLOOKUP(TableHandbook[[#This Row],[UDC]],TableMJRUANTSO[],7,FALSE),"")</f>
        <v/>
      </c>
      <c r="N270" s="65" t="str">
        <f>IFERROR(VLOOKUP(TableHandbook[[#This Row],[UDC]],TableMJRUCHNSE[],7,FALSE),"")</f>
        <v/>
      </c>
      <c r="O270" s="65" t="str">
        <f>IFERROR(VLOOKUP(TableHandbook[[#This Row],[UDC]],TableMJRUCRWRI[],7,FALSE),"")</f>
        <v/>
      </c>
      <c r="P270" s="65" t="str">
        <f>IFERROR(VLOOKUP(TableHandbook[[#This Row],[UDC]],TableMJRUGEOGR[],7,FALSE),"")</f>
        <v/>
      </c>
      <c r="Q270" s="65" t="str">
        <f>IFERROR(VLOOKUP(TableHandbook[[#This Row],[UDC]],TableMJRUHISTR[],7,FALSE),"")</f>
        <v/>
      </c>
      <c r="R270" s="65" t="str">
        <f>IFERROR(VLOOKUP(TableHandbook[[#This Row],[UDC]],TableMJRUINAUC[],7,FALSE),"")</f>
        <v/>
      </c>
      <c r="S270" s="65" t="str">
        <f>IFERROR(VLOOKUP(TableHandbook[[#This Row],[UDC]],TableMJRUINTRL[],7,FALSE),"")</f>
        <v/>
      </c>
      <c r="T270" s="65" t="str">
        <f>IFERROR(VLOOKUP(TableHandbook[[#This Row],[UDC]],TableMJRUJAPAN[],7,FALSE),"")</f>
        <v/>
      </c>
      <c r="U270" s="65" t="str">
        <f>IFERROR(VLOOKUP(TableHandbook[[#This Row],[UDC]],TableMJRUJOURN[],7,FALSE),"")</f>
        <v/>
      </c>
      <c r="V270" s="65" t="str">
        <f>IFERROR(VLOOKUP(TableHandbook[[#This Row],[UDC]],TableMJRUKORES[],7,FALSE),"")</f>
        <v/>
      </c>
      <c r="W270" s="65" t="str">
        <f>IFERROR(VLOOKUP(TableHandbook[[#This Row],[UDC]],TableMJRULITCU[],7,FALSE),"")</f>
        <v/>
      </c>
      <c r="X270" s="65" t="str">
        <f>IFERROR(VLOOKUP(TableHandbook[[#This Row],[UDC]],TableMJRUNETCM[],7,FALSE),"")</f>
        <v/>
      </c>
      <c r="Y270" s="65" t="str">
        <f>IFERROR(VLOOKUP(TableHandbook[[#This Row],[UDC]],TableMJRUPRWRP[],7,FALSE),"")</f>
        <v/>
      </c>
      <c r="Z270" s="65" t="str">
        <f>IFERROR(VLOOKUP(TableHandbook[[#This Row],[UDC]],TableMJRUSCSTR[],7,FALSE),"")</f>
        <v/>
      </c>
      <c r="AA270" s="74"/>
      <c r="AB270" s="43" t="str">
        <f>IFERROR(VLOOKUP(TableHandbook[[#This Row],[UDC]],TableMJRUBSLAW[],7,FALSE),"")</f>
        <v/>
      </c>
      <c r="AC270" s="66" t="str">
        <f>IFERROR(VLOOKUP(TableHandbook[[#This Row],[UDC]],TableMJRUECONS[],7,FALSE),"")</f>
        <v/>
      </c>
      <c r="AD270" s="66" t="str">
        <f>IFERROR(VLOOKUP(TableHandbook[[#This Row],[UDC]],TableMJRUFINAR[],7,FALSE),"")</f>
        <v/>
      </c>
      <c r="AE270" s="66" t="str">
        <f>IFERROR(VLOOKUP(TableHandbook[[#This Row],[UDC]],TableMJRUFINCE[],7,FALSE),"")</f>
        <v/>
      </c>
      <c r="AF270" s="66" t="str">
        <f>IFERROR(VLOOKUP(TableHandbook[[#This Row],[UDC]],TableMJRUHRMGM[],7,FALSE),"")</f>
        <v/>
      </c>
      <c r="AG270" s="66" t="str">
        <f>IFERROR(VLOOKUP(TableHandbook[[#This Row],[UDC]],TableMJRUINTBU[],7,FALSE),"")</f>
        <v/>
      </c>
      <c r="AH270" s="66" t="str">
        <f>IFERROR(VLOOKUP(TableHandbook[[#This Row],[UDC]],TableMJRULGSCM[],7,FALSE),"")</f>
        <v/>
      </c>
      <c r="AI270" s="66" t="str">
        <f>IFERROR(VLOOKUP(TableHandbook[[#This Row],[UDC]],TableMJRUMNGMT[],7,FALSE),"")</f>
        <v/>
      </c>
      <c r="AJ270" s="66" t="str">
        <f>IFERROR(VLOOKUP(TableHandbook[[#This Row],[UDC]],TableMJRUMRKTG[],7,FALSE),"")</f>
        <v/>
      </c>
      <c r="AK270" s="66" t="str">
        <f>IFERROR(VLOOKUP(TableHandbook[[#This Row],[UDC]],TableMJRUPRPTY[],7,FALSE),"")</f>
        <v/>
      </c>
      <c r="AL270" s="66" t="str">
        <f>IFERROR(VLOOKUP(TableHandbook[[#This Row],[UDC]],TableMJRUSCRAR[],7,FALSE),"")</f>
        <v/>
      </c>
      <c r="AM270" s="66" t="str">
        <f>IFERROR(VLOOKUP(TableHandbook[[#This Row],[UDC]],TableMJRUTHTRA[],7,FALSE),"")</f>
        <v/>
      </c>
      <c r="AN270" s="66" t="str">
        <f>IFERROR(VLOOKUP(TableHandbook[[#This Row],[UDC]],TableMJRUTRHOS[],7,FALSE),"")</f>
        <v/>
      </c>
    </row>
    <row r="271" spans="1:40" x14ac:dyDescent="0.25">
      <c r="A271" s="8" t="s">
        <v>808</v>
      </c>
      <c r="B271" s="9">
        <v>1</v>
      </c>
      <c r="C271" s="8"/>
      <c r="D271" s="8" t="s">
        <v>809</v>
      </c>
      <c r="E271" s="9">
        <v>25</v>
      </c>
      <c r="F271" s="49" t="s">
        <v>526</v>
      </c>
      <c r="G271" s="67" t="str">
        <f>IFERROR(IF(VLOOKUP(TableHandbook[[#This Row],[UDC]],TableAvailabilities[],2,FALSE)&gt;0,"Y",""),"")</f>
        <v/>
      </c>
      <c r="H271" s="68" t="str">
        <f>IFERROR(IF(VLOOKUP(TableHandbook[[#This Row],[UDC]],TableAvailabilities[],3,FALSE)&gt;0,"Y",""),"")</f>
        <v/>
      </c>
      <c r="I271" s="69" t="str">
        <f>IFERROR(IF(VLOOKUP(TableHandbook[[#This Row],[UDC]],TableAvailabilities[],4,FALSE)&gt;0,"Y",""),"")</f>
        <v/>
      </c>
      <c r="J271" s="70" t="str">
        <f>IFERROR(IF(VLOOKUP(TableHandbook[[#This Row],[UDC]],TableAvailabilities[],5,FALSE)&gt;0,"Y",""),"")</f>
        <v/>
      </c>
      <c r="K271" s="163" t="s">
        <v>535</v>
      </c>
      <c r="L271" s="160" t="str">
        <f>IFERROR(VLOOKUP(TableHandbook[[#This Row],[UDC]],TableBARTS[],7,FALSE),"")</f>
        <v/>
      </c>
      <c r="M271" s="65" t="str">
        <f>IFERROR(VLOOKUP(TableHandbook[[#This Row],[UDC]],TableMJRUANTSO[],7,FALSE),"")</f>
        <v/>
      </c>
      <c r="N271" s="65" t="str">
        <f>IFERROR(VLOOKUP(TableHandbook[[#This Row],[UDC]],TableMJRUCHNSE[],7,FALSE),"")</f>
        <v/>
      </c>
      <c r="O271" s="65" t="str">
        <f>IFERROR(VLOOKUP(TableHandbook[[#This Row],[UDC]],TableMJRUCRWRI[],7,FALSE),"")</f>
        <v/>
      </c>
      <c r="P271" s="65" t="str">
        <f>IFERROR(VLOOKUP(TableHandbook[[#This Row],[UDC]],TableMJRUGEOGR[],7,FALSE),"")</f>
        <v/>
      </c>
      <c r="Q271" s="65" t="str">
        <f>IFERROR(VLOOKUP(TableHandbook[[#This Row],[UDC]],TableMJRUHISTR[],7,FALSE),"")</f>
        <v/>
      </c>
      <c r="R271" s="65" t="str">
        <f>IFERROR(VLOOKUP(TableHandbook[[#This Row],[UDC]],TableMJRUINAUC[],7,FALSE),"")</f>
        <v/>
      </c>
      <c r="S271" s="65" t="str">
        <f>IFERROR(VLOOKUP(TableHandbook[[#This Row],[UDC]],TableMJRUINTRL[],7,FALSE),"")</f>
        <v/>
      </c>
      <c r="T271" s="65" t="str">
        <f>IFERROR(VLOOKUP(TableHandbook[[#This Row],[UDC]],TableMJRUJAPAN[],7,FALSE),"")</f>
        <v/>
      </c>
      <c r="U271" s="65" t="str">
        <f>IFERROR(VLOOKUP(TableHandbook[[#This Row],[UDC]],TableMJRUJOURN[],7,FALSE),"")</f>
        <v/>
      </c>
      <c r="V271" s="65" t="str">
        <f>IFERROR(VLOOKUP(TableHandbook[[#This Row],[UDC]],TableMJRUKORES[],7,FALSE),"")</f>
        <v/>
      </c>
      <c r="W271" s="65" t="str">
        <f>IFERROR(VLOOKUP(TableHandbook[[#This Row],[UDC]],TableMJRULITCU[],7,FALSE),"")</f>
        <v/>
      </c>
      <c r="X271" s="65" t="str">
        <f>IFERROR(VLOOKUP(TableHandbook[[#This Row],[UDC]],TableMJRUNETCM[],7,FALSE),"")</f>
        <v/>
      </c>
      <c r="Y271" s="65" t="str">
        <f>IFERROR(VLOOKUP(TableHandbook[[#This Row],[UDC]],TableMJRUPRWRP[],7,FALSE),"")</f>
        <v/>
      </c>
      <c r="Z271" s="65" t="str">
        <f>IFERROR(VLOOKUP(TableHandbook[[#This Row],[UDC]],TableMJRUSCSTR[],7,FALSE),"")</f>
        <v/>
      </c>
      <c r="AA271" s="74"/>
      <c r="AB271" s="43" t="str">
        <f>IFERROR(VLOOKUP(TableHandbook[[#This Row],[UDC]],TableMJRUBSLAW[],7,FALSE),"")</f>
        <v/>
      </c>
      <c r="AC271" s="66" t="str">
        <f>IFERROR(VLOOKUP(TableHandbook[[#This Row],[UDC]],TableMJRUECONS[],7,FALSE),"")</f>
        <v/>
      </c>
      <c r="AD271" s="66" t="str">
        <f>IFERROR(VLOOKUP(TableHandbook[[#This Row],[UDC]],TableMJRUFINAR[],7,FALSE),"")</f>
        <v/>
      </c>
      <c r="AE271" s="66" t="str">
        <f>IFERROR(VLOOKUP(TableHandbook[[#This Row],[UDC]],TableMJRUFINCE[],7,FALSE),"")</f>
        <v/>
      </c>
      <c r="AF271" s="66" t="str">
        <f>IFERROR(VLOOKUP(TableHandbook[[#This Row],[UDC]],TableMJRUHRMGM[],7,FALSE),"")</f>
        <v/>
      </c>
      <c r="AG271" s="66" t="str">
        <f>IFERROR(VLOOKUP(TableHandbook[[#This Row],[UDC]],TableMJRUINTBU[],7,FALSE),"")</f>
        <v/>
      </c>
      <c r="AH271" s="66" t="str">
        <f>IFERROR(VLOOKUP(TableHandbook[[#This Row],[UDC]],TableMJRULGSCM[],7,FALSE),"")</f>
        <v/>
      </c>
      <c r="AI271" s="66" t="str">
        <f>IFERROR(VLOOKUP(TableHandbook[[#This Row],[UDC]],TableMJRUMNGMT[],7,FALSE),"")</f>
        <v/>
      </c>
      <c r="AJ271" s="66" t="str">
        <f>IFERROR(VLOOKUP(TableHandbook[[#This Row],[UDC]],TableMJRUMRKTG[],7,FALSE),"")</f>
        <v/>
      </c>
      <c r="AK271" s="66" t="str">
        <f>IFERROR(VLOOKUP(TableHandbook[[#This Row],[UDC]],TableMJRUPRPTY[],7,FALSE),"")</f>
        <v/>
      </c>
      <c r="AL271" s="66" t="str">
        <f>IFERROR(VLOOKUP(TableHandbook[[#This Row],[UDC]],TableMJRUSCRAR[],7,FALSE),"")</f>
        <v/>
      </c>
      <c r="AM271" s="66" t="str">
        <f>IFERROR(VLOOKUP(TableHandbook[[#This Row],[UDC]],TableMJRUTHTRA[],7,FALSE),"")</f>
        <v/>
      </c>
      <c r="AN271" s="66" t="str">
        <f>IFERROR(VLOOKUP(TableHandbook[[#This Row],[UDC]],TableMJRUTRHOS[],7,FALSE),"")</f>
        <v/>
      </c>
    </row>
    <row r="272" spans="1:40" x14ac:dyDescent="0.25">
      <c r="A272" s="8" t="s">
        <v>214</v>
      </c>
      <c r="B272" s="9">
        <v>2</v>
      </c>
      <c r="C272" s="8"/>
      <c r="D272" s="8" t="s">
        <v>810</v>
      </c>
      <c r="E272" s="9">
        <v>25</v>
      </c>
      <c r="F272" s="174" t="s">
        <v>526</v>
      </c>
      <c r="G272" s="82" t="str">
        <f>IFERROR(IF(VLOOKUP(TableHandbook[[#This Row],[UDC]],TableAvailabilities[],2,FALSE)&gt;0,"Y",""),"")</f>
        <v>Y</v>
      </c>
      <c r="H272" s="83" t="str">
        <f>IFERROR(IF(VLOOKUP(TableHandbook[[#This Row],[UDC]],TableAvailabilities[],3,FALSE)&gt;0,"Y",""),"")</f>
        <v/>
      </c>
      <c r="I272" s="84" t="str">
        <f>IFERROR(IF(VLOOKUP(TableHandbook[[#This Row],[UDC]],TableAvailabilities[],4,FALSE)&gt;0,"Y",""),"")</f>
        <v/>
      </c>
      <c r="J272" s="85" t="str">
        <f>IFERROR(IF(VLOOKUP(TableHandbook[[#This Row],[UDC]],TableAvailabilities[],5,FALSE)&gt;0,"Y",""),"")</f>
        <v/>
      </c>
      <c r="K272" s="163" t="s">
        <v>533</v>
      </c>
      <c r="L272" s="160" t="str">
        <f>IFERROR(VLOOKUP(TableHandbook[[#This Row],[UDC]],TableBARTS[],7,FALSE),"")</f>
        <v/>
      </c>
      <c r="M272" s="65" t="str">
        <f>IFERROR(VLOOKUP(TableHandbook[[#This Row],[UDC]],TableMJRUANTSO[],7,FALSE),"")</f>
        <v/>
      </c>
      <c r="N272" s="65" t="str">
        <f>IFERROR(VLOOKUP(TableHandbook[[#This Row],[UDC]],TableMJRUCHNSE[],7,FALSE),"")</f>
        <v/>
      </c>
      <c r="O272" s="65" t="str">
        <f>IFERROR(VLOOKUP(TableHandbook[[#This Row],[UDC]],TableMJRUCRWRI[],7,FALSE),"")</f>
        <v/>
      </c>
      <c r="P272" s="65" t="str">
        <f>IFERROR(VLOOKUP(TableHandbook[[#This Row],[UDC]],TableMJRUGEOGR[],7,FALSE),"")</f>
        <v/>
      </c>
      <c r="Q272" s="65" t="str">
        <f>IFERROR(VLOOKUP(TableHandbook[[#This Row],[UDC]],TableMJRUHISTR[],7,FALSE),"")</f>
        <v/>
      </c>
      <c r="R272" s="65" t="str">
        <f>IFERROR(VLOOKUP(TableHandbook[[#This Row],[UDC]],TableMJRUINAUC[],7,FALSE),"")</f>
        <v/>
      </c>
      <c r="S272" s="65" t="str">
        <f>IFERROR(VLOOKUP(TableHandbook[[#This Row],[UDC]],TableMJRUINTRL[],7,FALSE),"")</f>
        <v/>
      </c>
      <c r="T272" s="65" t="str">
        <f>IFERROR(VLOOKUP(TableHandbook[[#This Row],[UDC]],TableMJRUJAPAN[],7,FALSE),"")</f>
        <v/>
      </c>
      <c r="U272" s="65" t="str">
        <f>IFERROR(VLOOKUP(TableHandbook[[#This Row],[UDC]],TableMJRUJOURN[],7,FALSE),"")</f>
        <v/>
      </c>
      <c r="V272" s="65" t="str">
        <f>IFERROR(VLOOKUP(TableHandbook[[#This Row],[UDC]],TableMJRUKORES[],7,FALSE),"")</f>
        <v/>
      </c>
      <c r="W272" s="65" t="str">
        <f>IFERROR(VLOOKUP(TableHandbook[[#This Row],[UDC]],TableMJRULITCU[],7,FALSE),"")</f>
        <v/>
      </c>
      <c r="X272" s="65" t="str">
        <f>IFERROR(VLOOKUP(TableHandbook[[#This Row],[UDC]],TableMJRUNETCM[],7,FALSE),"")</f>
        <v/>
      </c>
      <c r="Y272" s="65" t="str">
        <f>IFERROR(VLOOKUP(TableHandbook[[#This Row],[UDC]],TableMJRUPRWRP[],7,FALSE),"")</f>
        <v>Core</v>
      </c>
      <c r="Z272" s="65" t="str">
        <f>IFERROR(VLOOKUP(TableHandbook[[#This Row],[UDC]],TableMJRUSCSTR[],7,FALSE),"")</f>
        <v/>
      </c>
      <c r="AA272" s="74"/>
      <c r="AB272" s="43" t="str">
        <f>IFERROR(VLOOKUP(TableHandbook[[#This Row],[UDC]],TableMJRUBSLAW[],7,FALSE),"")</f>
        <v/>
      </c>
      <c r="AC272" s="66" t="str">
        <f>IFERROR(VLOOKUP(TableHandbook[[#This Row],[UDC]],TableMJRUECONS[],7,FALSE),"")</f>
        <v/>
      </c>
      <c r="AD272" s="66" t="str">
        <f>IFERROR(VLOOKUP(TableHandbook[[#This Row],[UDC]],TableMJRUFINAR[],7,FALSE),"")</f>
        <v/>
      </c>
      <c r="AE272" s="66" t="str">
        <f>IFERROR(VLOOKUP(TableHandbook[[#This Row],[UDC]],TableMJRUFINCE[],7,FALSE),"")</f>
        <v/>
      </c>
      <c r="AF272" s="66" t="str">
        <f>IFERROR(VLOOKUP(TableHandbook[[#This Row],[UDC]],TableMJRUHRMGM[],7,FALSE),"")</f>
        <v/>
      </c>
      <c r="AG272" s="66" t="str">
        <f>IFERROR(VLOOKUP(TableHandbook[[#This Row],[UDC]],TableMJRUINTBU[],7,FALSE),"")</f>
        <v/>
      </c>
      <c r="AH272" s="66" t="str">
        <f>IFERROR(VLOOKUP(TableHandbook[[#This Row],[UDC]],TableMJRULGSCM[],7,FALSE),"")</f>
        <v/>
      </c>
      <c r="AI272" s="66" t="str">
        <f>IFERROR(VLOOKUP(TableHandbook[[#This Row],[UDC]],TableMJRUMNGMT[],7,FALSE),"")</f>
        <v/>
      </c>
      <c r="AJ272" s="66" t="str">
        <f>IFERROR(VLOOKUP(TableHandbook[[#This Row],[UDC]],TableMJRUMRKTG[],7,FALSE),"")</f>
        <v/>
      </c>
      <c r="AK272" s="66" t="str">
        <f>IFERROR(VLOOKUP(TableHandbook[[#This Row],[UDC]],TableMJRUPRPTY[],7,FALSE),"")</f>
        <v/>
      </c>
      <c r="AL272" s="66" t="str">
        <f>IFERROR(VLOOKUP(TableHandbook[[#This Row],[UDC]],TableMJRUSCRAR[],7,FALSE),"")</f>
        <v/>
      </c>
      <c r="AM272" s="66" t="str">
        <f>IFERROR(VLOOKUP(TableHandbook[[#This Row],[UDC]],TableMJRUTHTRA[],7,FALSE),"")</f>
        <v/>
      </c>
      <c r="AN272" s="66" t="str">
        <f>IFERROR(VLOOKUP(TableHandbook[[#This Row],[UDC]],TableMJRUTRHOS[],7,FALSE),"")</f>
        <v/>
      </c>
    </row>
    <row r="273" spans="1:40" x14ac:dyDescent="0.25">
      <c r="A273" s="8" t="s">
        <v>811</v>
      </c>
      <c r="B273" s="9">
        <v>1</v>
      </c>
      <c r="C273" s="8"/>
      <c r="D273" s="8" t="s">
        <v>812</v>
      </c>
      <c r="E273" s="9">
        <v>25</v>
      </c>
      <c r="F273" s="49" t="s">
        <v>526</v>
      </c>
      <c r="G273" s="67" t="str">
        <f>IFERROR(IF(VLOOKUP(TableHandbook[[#This Row],[UDC]],TableAvailabilities[],2,FALSE)&gt;0,"Y",""),"")</f>
        <v/>
      </c>
      <c r="H273" s="68" t="str">
        <f>IFERROR(IF(VLOOKUP(TableHandbook[[#This Row],[UDC]],TableAvailabilities[],3,FALSE)&gt;0,"Y",""),"")</f>
        <v/>
      </c>
      <c r="I273" s="69" t="str">
        <f>IFERROR(IF(VLOOKUP(TableHandbook[[#This Row],[UDC]],TableAvailabilities[],4,FALSE)&gt;0,"Y",""),"")</f>
        <v/>
      </c>
      <c r="J273" s="70" t="str">
        <f>IFERROR(IF(VLOOKUP(TableHandbook[[#This Row],[UDC]],TableAvailabilities[],5,FALSE)&gt;0,"Y",""),"")</f>
        <v/>
      </c>
      <c r="K273" s="163" t="s">
        <v>535</v>
      </c>
      <c r="L273" s="160" t="str">
        <f>IFERROR(VLOOKUP(TableHandbook[[#This Row],[UDC]],TableBARTS[],7,FALSE),"")</f>
        <v/>
      </c>
      <c r="M273" s="65" t="str">
        <f>IFERROR(VLOOKUP(TableHandbook[[#This Row],[UDC]],TableMJRUANTSO[],7,FALSE),"")</f>
        <v/>
      </c>
      <c r="N273" s="65" t="str">
        <f>IFERROR(VLOOKUP(TableHandbook[[#This Row],[UDC]],TableMJRUCHNSE[],7,FALSE),"")</f>
        <v/>
      </c>
      <c r="O273" s="65" t="str">
        <f>IFERROR(VLOOKUP(TableHandbook[[#This Row],[UDC]],TableMJRUCRWRI[],7,FALSE),"")</f>
        <v/>
      </c>
      <c r="P273" s="65" t="str">
        <f>IFERROR(VLOOKUP(TableHandbook[[#This Row],[UDC]],TableMJRUGEOGR[],7,FALSE),"")</f>
        <v/>
      </c>
      <c r="Q273" s="65" t="str">
        <f>IFERROR(VLOOKUP(TableHandbook[[#This Row],[UDC]],TableMJRUHISTR[],7,FALSE),"")</f>
        <v/>
      </c>
      <c r="R273" s="65" t="str">
        <f>IFERROR(VLOOKUP(TableHandbook[[#This Row],[UDC]],TableMJRUINAUC[],7,FALSE),"")</f>
        <v/>
      </c>
      <c r="S273" s="65" t="str">
        <f>IFERROR(VLOOKUP(TableHandbook[[#This Row],[UDC]],TableMJRUINTRL[],7,FALSE),"")</f>
        <v/>
      </c>
      <c r="T273" s="65" t="str">
        <f>IFERROR(VLOOKUP(TableHandbook[[#This Row],[UDC]],TableMJRUJAPAN[],7,FALSE),"")</f>
        <v/>
      </c>
      <c r="U273" s="65" t="str">
        <f>IFERROR(VLOOKUP(TableHandbook[[#This Row],[UDC]],TableMJRUJOURN[],7,FALSE),"")</f>
        <v/>
      </c>
      <c r="V273" s="65" t="str">
        <f>IFERROR(VLOOKUP(TableHandbook[[#This Row],[UDC]],TableMJRUKORES[],7,FALSE),"")</f>
        <v/>
      </c>
      <c r="W273" s="65" t="str">
        <f>IFERROR(VLOOKUP(TableHandbook[[#This Row],[UDC]],TableMJRULITCU[],7,FALSE),"")</f>
        <v/>
      </c>
      <c r="X273" s="65" t="str">
        <f>IFERROR(VLOOKUP(TableHandbook[[#This Row],[UDC]],TableMJRUNETCM[],7,FALSE),"")</f>
        <v/>
      </c>
      <c r="Y273" s="65" t="str">
        <f>IFERROR(VLOOKUP(TableHandbook[[#This Row],[UDC]],TableMJRUPRWRP[],7,FALSE),"")</f>
        <v/>
      </c>
      <c r="Z273" s="65" t="str">
        <f>IFERROR(VLOOKUP(TableHandbook[[#This Row],[UDC]],TableMJRUSCSTR[],7,FALSE),"")</f>
        <v/>
      </c>
      <c r="AA273" s="74"/>
      <c r="AB273" s="43" t="str">
        <f>IFERROR(VLOOKUP(TableHandbook[[#This Row],[UDC]],TableMJRUBSLAW[],7,FALSE),"")</f>
        <v/>
      </c>
      <c r="AC273" s="66" t="str">
        <f>IFERROR(VLOOKUP(TableHandbook[[#This Row],[UDC]],TableMJRUECONS[],7,FALSE),"")</f>
        <v/>
      </c>
      <c r="AD273" s="66" t="str">
        <f>IFERROR(VLOOKUP(TableHandbook[[#This Row],[UDC]],TableMJRUFINAR[],7,FALSE),"")</f>
        <v/>
      </c>
      <c r="AE273" s="66" t="str">
        <f>IFERROR(VLOOKUP(TableHandbook[[#This Row],[UDC]],TableMJRUFINCE[],7,FALSE),"")</f>
        <v/>
      </c>
      <c r="AF273" s="66" t="str">
        <f>IFERROR(VLOOKUP(TableHandbook[[#This Row],[UDC]],TableMJRUHRMGM[],7,FALSE),"")</f>
        <v/>
      </c>
      <c r="AG273" s="66" t="str">
        <f>IFERROR(VLOOKUP(TableHandbook[[#This Row],[UDC]],TableMJRUINTBU[],7,FALSE),"")</f>
        <v/>
      </c>
      <c r="AH273" s="66" t="str">
        <f>IFERROR(VLOOKUP(TableHandbook[[#This Row],[UDC]],TableMJRULGSCM[],7,FALSE),"")</f>
        <v/>
      </c>
      <c r="AI273" s="66" t="str">
        <f>IFERROR(VLOOKUP(TableHandbook[[#This Row],[UDC]],TableMJRUMNGMT[],7,FALSE),"")</f>
        <v/>
      </c>
      <c r="AJ273" s="66" t="str">
        <f>IFERROR(VLOOKUP(TableHandbook[[#This Row],[UDC]],TableMJRUMRKTG[],7,FALSE),"")</f>
        <v/>
      </c>
      <c r="AK273" s="66" t="str">
        <f>IFERROR(VLOOKUP(TableHandbook[[#This Row],[UDC]],TableMJRUPRPTY[],7,FALSE),"")</f>
        <v/>
      </c>
      <c r="AL273" s="66" t="str">
        <f>IFERROR(VLOOKUP(TableHandbook[[#This Row],[UDC]],TableMJRUSCRAR[],7,FALSE),"")</f>
        <v/>
      </c>
      <c r="AM273" s="66" t="str">
        <f>IFERROR(VLOOKUP(TableHandbook[[#This Row],[UDC]],TableMJRUTHTRA[],7,FALSE),"")</f>
        <v/>
      </c>
      <c r="AN273" s="66" t="str">
        <f>IFERROR(VLOOKUP(TableHandbook[[#This Row],[UDC]],TableMJRUTRHOS[],7,FALSE),"")</f>
        <v/>
      </c>
    </row>
    <row r="274" spans="1:40" x14ac:dyDescent="0.25">
      <c r="A274" s="8" t="s">
        <v>813</v>
      </c>
      <c r="B274" s="9">
        <v>2</v>
      </c>
      <c r="C274" s="8"/>
      <c r="D274" s="8" t="s">
        <v>814</v>
      </c>
      <c r="E274" s="9">
        <v>25</v>
      </c>
      <c r="F274" s="49" t="s">
        <v>526</v>
      </c>
      <c r="G274" s="67" t="str">
        <f>IFERROR(IF(VLOOKUP(TableHandbook[[#This Row],[UDC]],TableAvailabilities[],2,FALSE)&gt;0,"Y",""),"")</f>
        <v/>
      </c>
      <c r="H274" s="68" t="str">
        <f>IFERROR(IF(VLOOKUP(TableHandbook[[#This Row],[UDC]],TableAvailabilities[],3,FALSE)&gt;0,"Y",""),"")</f>
        <v/>
      </c>
      <c r="I274" s="69" t="str">
        <f>IFERROR(IF(VLOOKUP(TableHandbook[[#This Row],[UDC]],TableAvailabilities[],4,FALSE)&gt;0,"Y",""),"")</f>
        <v/>
      </c>
      <c r="J274" s="70" t="str">
        <f>IFERROR(IF(VLOOKUP(TableHandbook[[#This Row],[UDC]],TableAvailabilities[],5,FALSE)&gt;0,"Y",""),"")</f>
        <v/>
      </c>
      <c r="K274" s="163" t="s">
        <v>757</v>
      </c>
      <c r="L274" s="160" t="str">
        <f>IFERROR(VLOOKUP(TableHandbook[[#This Row],[UDC]],TableBARTS[],7,FALSE),"")</f>
        <v/>
      </c>
      <c r="M274" s="65" t="str">
        <f>IFERROR(VLOOKUP(TableHandbook[[#This Row],[UDC]],TableMJRUANTSO[],7,FALSE),"")</f>
        <v/>
      </c>
      <c r="N274" s="65" t="str">
        <f>IFERROR(VLOOKUP(TableHandbook[[#This Row],[UDC]],TableMJRUCHNSE[],7,FALSE),"")</f>
        <v/>
      </c>
      <c r="O274" s="65" t="str">
        <f>IFERROR(VLOOKUP(TableHandbook[[#This Row],[UDC]],TableMJRUCRWRI[],7,FALSE),"")</f>
        <v/>
      </c>
      <c r="P274" s="65" t="str">
        <f>IFERROR(VLOOKUP(TableHandbook[[#This Row],[UDC]],TableMJRUGEOGR[],7,FALSE),"")</f>
        <v/>
      </c>
      <c r="Q274" s="65" t="str">
        <f>IFERROR(VLOOKUP(TableHandbook[[#This Row],[UDC]],TableMJRUHISTR[],7,FALSE),"")</f>
        <v/>
      </c>
      <c r="R274" s="65" t="str">
        <f>IFERROR(VLOOKUP(TableHandbook[[#This Row],[UDC]],TableMJRUINAUC[],7,FALSE),"")</f>
        <v/>
      </c>
      <c r="S274" s="65" t="str">
        <f>IFERROR(VLOOKUP(TableHandbook[[#This Row],[UDC]],TableMJRUINTRL[],7,FALSE),"")</f>
        <v/>
      </c>
      <c r="T274" s="65" t="str">
        <f>IFERROR(VLOOKUP(TableHandbook[[#This Row],[UDC]],TableMJRUJAPAN[],7,FALSE),"")</f>
        <v/>
      </c>
      <c r="U274" s="65" t="str">
        <f>IFERROR(VLOOKUP(TableHandbook[[#This Row],[UDC]],TableMJRUJOURN[],7,FALSE),"")</f>
        <v/>
      </c>
      <c r="V274" s="65" t="str">
        <f>IFERROR(VLOOKUP(TableHandbook[[#This Row],[UDC]],TableMJRUKORES[],7,FALSE),"")</f>
        <v/>
      </c>
      <c r="W274" s="65" t="str">
        <f>IFERROR(VLOOKUP(TableHandbook[[#This Row],[UDC]],TableMJRULITCU[],7,FALSE),"")</f>
        <v/>
      </c>
      <c r="X274" s="65" t="str">
        <f>IFERROR(VLOOKUP(TableHandbook[[#This Row],[UDC]],TableMJRUNETCM[],7,FALSE),"")</f>
        <v/>
      </c>
      <c r="Y274" s="65" t="str">
        <f>IFERROR(VLOOKUP(TableHandbook[[#This Row],[UDC]],TableMJRUPRWRP[],7,FALSE),"")</f>
        <v/>
      </c>
      <c r="Z274" s="65" t="str">
        <f>IFERROR(VLOOKUP(TableHandbook[[#This Row],[UDC]],TableMJRUSCSTR[],7,FALSE),"")</f>
        <v/>
      </c>
      <c r="AA274" s="74"/>
      <c r="AB274" s="43" t="str">
        <f>IFERROR(VLOOKUP(TableHandbook[[#This Row],[UDC]],TableMJRUBSLAW[],7,FALSE),"")</f>
        <v/>
      </c>
      <c r="AC274" s="66" t="str">
        <f>IFERROR(VLOOKUP(TableHandbook[[#This Row],[UDC]],TableMJRUECONS[],7,FALSE),"")</f>
        <v/>
      </c>
      <c r="AD274" s="66" t="str">
        <f>IFERROR(VLOOKUP(TableHandbook[[#This Row],[UDC]],TableMJRUFINAR[],7,FALSE),"")</f>
        <v/>
      </c>
      <c r="AE274" s="66" t="str">
        <f>IFERROR(VLOOKUP(TableHandbook[[#This Row],[UDC]],TableMJRUFINCE[],7,FALSE),"")</f>
        <v/>
      </c>
      <c r="AF274" s="66" t="str">
        <f>IFERROR(VLOOKUP(TableHandbook[[#This Row],[UDC]],TableMJRUHRMGM[],7,FALSE),"")</f>
        <v/>
      </c>
      <c r="AG274" s="66" t="str">
        <f>IFERROR(VLOOKUP(TableHandbook[[#This Row],[UDC]],TableMJRUINTBU[],7,FALSE),"")</f>
        <v/>
      </c>
      <c r="AH274" s="66" t="str">
        <f>IFERROR(VLOOKUP(TableHandbook[[#This Row],[UDC]],TableMJRULGSCM[],7,FALSE),"")</f>
        <v/>
      </c>
      <c r="AI274" s="66" t="str">
        <f>IFERROR(VLOOKUP(TableHandbook[[#This Row],[UDC]],TableMJRUMNGMT[],7,FALSE),"")</f>
        <v/>
      </c>
      <c r="AJ274" s="66" t="str">
        <f>IFERROR(VLOOKUP(TableHandbook[[#This Row],[UDC]],TableMJRUMRKTG[],7,FALSE),"")</f>
        <v/>
      </c>
      <c r="AK274" s="66" t="str">
        <f>IFERROR(VLOOKUP(TableHandbook[[#This Row],[UDC]],TableMJRUPRPTY[],7,FALSE),"")</f>
        <v/>
      </c>
      <c r="AL274" s="66" t="str">
        <f>IFERROR(VLOOKUP(TableHandbook[[#This Row],[UDC]],TableMJRUSCRAR[],7,FALSE),"")</f>
        <v/>
      </c>
      <c r="AM274" s="66" t="str">
        <f>IFERROR(VLOOKUP(TableHandbook[[#This Row],[UDC]],TableMJRUTHTRA[],7,FALSE),"")</f>
        <v/>
      </c>
      <c r="AN274" s="66" t="str">
        <f>IFERROR(VLOOKUP(TableHandbook[[#This Row],[UDC]],TableMJRUTRHOS[],7,FALSE),"")</f>
        <v/>
      </c>
    </row>
    <row r="275" spans="1:40" x14ac:dyDescent="0.25">
      <c r="A275" s="8" t="s">
        <v>238</v>
      </c>
      <c r="B275" s="9">
        <v>2</v>
      </c>
      <c r="C275" s="8"/>
      <c r="D275" s="8" t="s">
        <v>815</v>
      </c>
      <c r="E275" s="9">
        <v>25</v>
      </c>
      <c r="F275" s="174" t="s">
        <v>526</v>
      </c>
      <c r="G275" s="67" t="str">
        <f>IFERROR(IF(VLOOKUP(TableHandbook[[#This Row],[UDC]],TableAvailabilities[],2,FALSE)&gt;0,"Y",""),"")</f>
        <v>Y</v>
      </c>
      <c r="H275" s="68" t="str">
        <f>IFERROR(IF(VLOOKUP(TableHandbook[[#This Row],[UDC]],TableAvailabilities[],3,FALSE)&gt;0,"Y",""),"")</f>
        <v/>
      </c>
      <c r="I275" s="69" t="str">
        <f>IFERROR(IF(VLOOKUP(TableHandbook[[#This Row],[UDC]],TableAvailabilities[],4,FALSE)&gt;0,"Y",""),"")</f>
        <v/>
      </c>
      <c r="J275" s="70" t="str">
        <f>IFERROR(IF(VLOOKUP(TableHandbook[[#This Row],[UDC]],TableAvailabilities[],5,FALSE)&gt;0,"Y",""),"")</f>
        <v/>
      </c>
      <c r="K275" s="164" t="s">
        <v>533</v>
      </c>
      <c r="L275" s="160" t="str">
        <f>IFERROR(VLOOKUP(TableHandbook[[#This Row],[UDC]],TableBARTS[],7,FALSE),"")</f>
        <v/>
      </c>
      <c r="M275" s="65" t="str">
        <f>IFERROR(VLOOKUP(TableHandbook[[#This Row],[UDC]],TableMJRUANTSO[],7,FALSE),"")</f>
        <v/>
      </c>
      <c r="N275" s="65" t="str">
        <f>IFERROR(VLOOKUP(TableHandbook[[#This Row],[UDC]],TableMJRUCHNSE[],7,FALSE),"")</f>
        <v/>
      </c>
      <c r="O275" s="65" t="str">
        <f>IFERROR(VLOOKUP(TableHandbook[[#This Row],[UDC]],TableMJRUCRWRI[],7,FALSE),"")</f>
        <v/>
      </c>
      <c r="P275" s="65" t="str">
        <f>IFERROR(VLOOKUP(TableHandbook[[#This Row],[UDC]],TableMJRUGEOGR[],7,FALSE),"")</f>
        <v/>
      </c>
      <c r="Q275" s="65" t="str">
        <f>IFERROR(VLOOKUP(TableHandbook[[#This Row],[UDC]],TableMJRUHISTR[],7,FALSE),"")</f>
        <v/>
      </c>
      <c r="R275" s="65" t="str">
        <f>IFERROR(VLOOKUP(TableHandbook[[#This Row],[UDC]],TableMJRUINAUC[],7,FALSE),"")</f>
        <v/>
      </c>
      <c r="S275" s="65" t="str">
        <f>IFERROR(VLOOKUP(TableHandbook[[#This Row],[UDC]],TableMJRUINTRL[],7,FALSE),"")</f>
        <v/>
      </c>
      <c r="T275" s="65" t="str">
        <f>IFERROR(VLOOKUP(TableHandbook[[#This Row],[UDC]],TableMJRUJAPAN[],7,FALSE),"")</f>
        <v/>
      </c>
      <c r="U275" s="65" t="str">
        <f>IFERROR(VLOOKUP(TableHandbook[[#This Row],[UDC]],TableMJRUJOURN[],7,FALSE),"")</f>
        <v/>
      </c>
      <c r="V275" s="65" t="str">
        <f>IFERROR(VLOOKUP(TableHandbook[[#This Row],[UDC]],TableMJRUKORES[],7,FALSE),"")</f>
        <v/>
      </c>
      <c r="W275" s="65" t="str">
        <f>IFERROR(VLOOKUP(TableHandbook[[#This Row],[UDC]],TableMJRULITCU[],7,FALSE),"")</f>
        <v>Option</v>
      </c>
      <c r="X275" s="65" t="str">
        <f>IFERROR(VLOOKUP(TableHandbook[[#This Row],[UDC]],TableMJRUNETCM[],7,FALSE),"")</f>
        <v/>
      </c>
      <c r="Y275" s="65" t="str">
        <f>IFERROR(VLOOKUP(TableHandbook[[#This Row],[UDC]],TableMJRUPRWRP[],7,FALSE),"")</f>
        <v>Core</v>
      </c>
      <c r="Z275" s="65" t="str">
        <f>IFERROR(VLOOKUP(TableHandbook[[#This Row],[UDC]],TableMJRUSCSTR[],7,FALSE),"")</f>
        <v/>
      </c>
      <c r="AA275" s="74"/>
      <c r="AB275" s="43" t="str">
        <f>IFERROR(VLOOKUP(TableHandbook[[#This Row],[UDC]],TableMJRUBSLAW[],7,FALSE),"")</f>
        <v/>
      </c>
      <c r="AC275" s="66" t="str">
        <f>IFERROR(VLOOKUP(TableHandbook[[#This Row],[UDC]],TableMJRUECONS[],7,FALSE),"")</f>
        <v/>
      </c>
      <c r="AD275" s="66" t="str">
        <f>IFERROR(VLOOKUP(TableHandbook[[#This Row],[UDC]],TableMJRUFINAR[],7,FALSE),"")</f>
        <v/>
      </c>
      <c r="AE275" s="66" t="str">
        <f>IFERROR(VLOOKUP(TableHandbook[[#This Row],[UDC]],TableMJRUFINCE[],7,FALSE),"")</f>
        <v/>
      </c>
      <c r="AF275" s="66" t="str">
        <f>IFERROR(VLOOKUP(TableHandbook[[#This Row],[UDC]],TableMJRUHRMGM[],7,FALSE),"")</f>
        <v/>
      </c>
      <c r="AG275" s="66" t="str">
        <f>IFERROR(VLOOKUP(TableHandbook[[#This Row],[UDC]],TableMJRUINTBU[],7,FALSE),"")</f>
        <v/>
      </c>
      <c r="AH275" s="66" t="str">
        <f>IFERROR(VLOOKUP(TableHandbook[[#This Row],[UDC]],TableMJRULGSCM[],7,FALSE),"")</f>
        <v/>
      </c>
      <c r="AI275" s="66" t="str">
        <f>IFERROR(VLOOKUP(TableHandbook[[#This Row],[UDC]],TableMJRUMNGMT[],7,FALSE),"")</f>
        <v/>
      </c>
      <c r="AJ275" s="66" t="str">
        <f>IFERROR(VLOOKUP(TableHandbook[[#This Row],[UDC]],TableMJRUMRKTG[],7,FALSE),"")</f>
        <v/>
      </c>
      <c r="AK275" s="66" t="str">
        <f>IFERROR(VLOOKUP(TableHandbook[[#This Row],[UDC]],TableMJRUPRPTY[],7,FALSE),"")</f>
        <v/>
      </c>
      <c r="AL275" s="66" t="str">
        <f>IFERROR(VLOOKUP(TableHandbook[[#This Row],[UDC]],TableMJRUSCRAR[],7,FALSE),"")</f>
        <v/>
      </c>
      <c r="AM275" s="66" t="str">
        <f>IFERROR(VLOOKUP(TableHandbook[[#This Row],[UDC]],TableMJRUTHTRA[],7,FALSE),"")</f>
        <v/>
      </c>
      <c r="AN275" s="66" t="str">
        <f>IFERROR(VLOOKUP(TableHandbook[[#This Row],[UDC]],TableMJRUTRHOS[],7,FALSE),"")</f>
        <v/>
      </c>
    </row>
    <row r="276" spans="1:40" x14ac:dyDescent="0.25">
      <c r="A276" s="8" t="s">
        <v>816</v>
      </c>
      <c r="B276" s="9">
        <v>1</v>
      </c>
      <c r="C276" s="8"/>
      <c r="D276" s="8" t="s">
        <v>817</v>
      </c>
      <c r="E276" s="9">
        <v>25</v>
      </c>
      <c r="F276" s="49" t="s">
        <v>526</v>
      </c>
      <c r="G276" s="67" t="str">
        <f>IFERROR(IF(VLOOKUP(TableHandbook[[#This Row],[UDC]],TableAvailabilities[],2,FALSE)&gt;0,"Y",""),"")</f>
        <v/>
      </c>
      <c r="H276" s="68" t="str">
        <f>IFERROR(IF(VLOOKUP(TableHandbook[[#This Row],[UDC]],TableAvailabilities[],3,FALSE)&gt;0,"Y",""),"")</f>
        <v/>
      </c>
      <c r="I276" s="69" t="str">
        <f>IFERROR(IF(VLOOKUP(TableHandbook[[#This Row],[UDC]],TableAvailabilities[],4,FALSE)&gt;0,"Y",""),"")</f>
        <v/>
      </c>
      <c r="J276" s="70" t="str">
        <f>IFERROR(IF(VLOOKUP(TableHandbook[[#This Row],[UDC]],TableAvailabilities[],5,FALSE)&gt;0,"Y",""),"")</f>
        <v/>
      </c>
      <c r="K276" s="164" t="s">
        <v>535</v>
      </c>
      <c r="L276" s="160" t="str">
        <f>IFERROR(VLOOKUP(TableHandbook[[#This Row],[UDC]],TableBARTS[],7,FALSE),"")</f>
        <v/>
      </c>
      <c r="M276" s="65" t="str">
        <f>IFERROR(VLOOKUP(TableHandbook[[#This Row],[UDC]],TableMJRUANTSO[],7,FALSE),"")</f>
        <v/>
      </c>
      <c r="N276" s="65" t="str">
        <f>IFERROR(VLOOKUP(TableHandbook[[#This Row],[UDC]],TableMJRUCHNSE[],7,FALSE),"")</f>
        <v/>
      </c>
      <c r="O276" s="65" t="str">
        <f>IFERROR(VLOOKUP(TableHandbook[[#This Row],[UDC]],TableMJRUCRWRI[],7,FALSE),"")</f>
        <v/>
      </c>
      <c r="P276" s="65" t="str">
        <f>IFERROR(VLOOKUP(TableHandbook[[#This Row],[UDC]],TableMJRUGEOGR[],7,FALSE),"")</f>
        <v/>
      </c>
      <c r="Q276" s="65" t="str">
        <f>IFERROR(VLOOKUP(TableHandbook[[#This Row],[UDC]],TableMJRUHISTR[],7,FALSE),"")</f>
        <v/>
      </c>
      <c r="R276" s="65" t="str">
        <f>IFERROR(VLOOKUP(TableHandbook[[#This Row],[UDC]],TableMJRUINAUC[],7,FALSE),"")</f>
        <v/>
      </c>
      <c r="S276" s="65" t="str">
        <f>IFERROR(VLOOKUP(TableHandbook[[#This Row],[UDC]],TableMJRUINTRL[],7,FALSE),"")</f>
        <v/>
      </c>
      <c r="T276" s="65" t="str">
        <f>IFERROR(VLOOKUP(TableHandbook[[#This Row],[UDC]],TableMJRUJAPAN[],7,FALSE),"")</f>
        <v/>
      </c>
      <c r="U276" s="65" t="str">
        <f>IFERROR(VLOOKUP(TableHandbook[[#This Row],[UDC]],TableMJRUJOURN[],7,FALSE),"")</f>
        <v/>
      </c>
      <c r="V276" s="65" t="str">
        <f>IFERROR(VLOOKUP(TableHandbook[[#This Row],[UDC]],TableMJRUKORES[],7,FALSE),"")</f>
        <v/>
      </c>
      <c r="W276" s="65" t="str">
        <f>IFERROR(VLOOKUP(TableHandbook[[#This Row],[UDC]],TableMJRULITCU[],7,FALSE),"")</f>
        <v/>
      </c>
      <c r="X276" s="65" t="str">
        <f>IFERROR(VLOOKUP(TableHandbook[[#This Row],[UDC]],TableMJRUNETCM[],7,FALSE),"")</f>
        <v/>
      </c>
      <c r="Y276" s="65" t="str">
        <f>IFERROR(VLOOKUP(TableHandbook[[#This Row],[UDC]],TableMJRUPRWRP[],7,FALSE),"")</f>
        <v/>
      </c>
      <c r="Z276" s="65" t="str">
        <f>IFERROR(VLOOKUP(TableHandbook[[#This Row],[UDC]],TableMJRUSCSTR[],7,FALSE),"")</f>
        <v/>
      </c>
      <c r="AA276" s="74"/>
      <c r="AB276" s="43" t="str">
        <f>IFERROR(VLOOKUP(TableHandbook[[#This Row],[UDC]],TableMJRUBSLAW[],7,FALSE),"")</f>
        <v/>
      </c>
      <c r="AC276" s="66" t="str">
        <f>IFERROR(VLOOKUP(TableHandbook[[#This Row],[UDC]],TableMJRUECONS[],7,FALSE),"")</f>
        <v/>
      </c>
      <c r="AD276" s="66" t="str">
        <f>IFERROR(VLOOKUP(TableHandbook[[#This Row],[UDC]],TableMJRUFINAR[],7,FALSE),"")</f>
        <v/>
      </c>
      <c r="AE276" s="66" t="str">
        <f>IFERROR(VLOOKUP(TableHandbook[[#This Row],[UDC]],TableMJRUFINCE[],7,FALSE),"")</f>
        <v/>
      </c>
      <c r="AF276" s="66" t="str">
        <f>IFERROR(VLOOKUP(TableHandbook[[#This Row],[UDC]],TableMJRUHRMGM[],7,FALSE),"")</f>
        <v/>
      </c>
      <c r="AG276" s="66" t="str">
        <f>IFERROR(VLOOKUP(TableHandbook[[#This Row],[UDC]],TableMJRUINTBU[],7,FALSE),"")</f>
        <v/>
      </c>
      <c r="AH276" s="66" t="str">
        <f>IFERROR(VLOOKUP(TableHandbook[[#This Row],[UDC]],TableMJRULGSCM[],7,FALSE),"")</f>
        <v/>
      </c>
      <c r="AI276" s="66" t="str">
        <f>IFERROR(VLOOKUP(TableHandbook[[#This Row],[UDC]],TableMJRUMNGMT[],7,FALSE),"")</f>
        <v/>
      </c>
      <c r="AJ276" s="66" t="str">
        <f>IFERROR(VLOOKUP(TableHandbook[[#This Row],[UDC]],TableMJRUMRKTG[],7,FALSE),"")</f>
        <v/>
      </c>
      <c r="AK276" s="66" t="str">
        <f>IFERROR(VLOOKUP(TableHandbook[[#This Row],[UDC]],TableMJRUPRPTY[],7,FALSE),"")</f>
        <v/>
      </c>
      <c r="AL276" s="66" t="str">
        <f>IFERROR(VLOOKUP(TableHandbook[[#This Row],[UDC]],TableMJRUSCRAR[],7,FALSE),"")</f>
        <v/>
      </c>
      <c r="AM276" s="66" t="str">
        <f>IFERROR(VLOOKUP(TableHandbook[[#This Row],[UDC]],TableMJRUTHTRA[],7,FALSE),"")</f>
        <v/>
      </c>
      <c r="AN276" s="66" t="str">
        <f>IFERROR(VLOOKUP(TableHandbook[[#This Row],[UDC]],TableMJRUTRHOS[],7,FALSE),"")</f>
        <v/>
      </c>
    </row>
    <row r="277" spans="1:40" x14ac:dyDescent="0.25">
      <c r="A277" s="8" t="s">
        <v>215</v>
      </c>
      <c r="B277" s="9">
        <v>1</v>
      </c>
      <c r="C277" s="8"/>
      <c r="D277" s="8" t="s">
        <v>818</v>
      </c>
      <c r="E277" s="9">
        <v>25</v>
      </c>
      <c r="F277" s="174" t="s">
        <v>819</v>
      </c>
      <c r="G277" s="82" t="str">
        <f>IFERROR(IF(VLOOKUP(TableHandbook[[#This Row],[UDC]],TableAvailabilities[],2,FALSE)&gt;0,"Y",""),"")</f>
        <v/>
      </c>
      <c r="H277" s="83" t="str">
        <f>IFERROR(IF(VLOOKUP(TableHandbook[[#This Row],[UDC]],TableAvailabilities[],3,FALSE)&gt;0,"Y",""),"")</f>
        <v/>
      </c>
      <c r="I277" s="84" t="str">
        <f>IFERROR(IF(VLOOKUP(TableHandbook[[#This Row],[UDC]],TableAvailabilities[],4,FALSE)&gt;0,"Y",""),"")</f>
        <v>Y</v>
      </c>
      <c r="J277" s="85" t="str">
        <f>IFERROR(IF(VLOOKUP(TableHandbook[[#This Row],[UDC]],TableAvailabilities[],5,FALSE)&gt;0,"Y",""),"")</f>
        <v/>
      </c>
      <c r="K277" s="163"/>
      <c r="L277" s="160" t="str">
        <f>IFERROR(VLOOKUP(TableHandbook[[#This Row],[UDC]],TableBARTS[],7,FALSE),"")</f>
        <v/>
      </c>
      <c r="M277" s="65" t="str">
        <f>IFERROR(VLOOKUP(TableHandbook[[#This Row],[UDC]],TableMJRUANTSO[],7,FALSE),"")</f>
        <v/>
      </c>
      <c r="N277" s="65" t="str">
        <f>IFERROR(VLOOKUP(TableHandbook[[#This Row],[UDC]],TableMJRUCHNSE[],7,FALSE),"")</f>
        <v/>
      </c>
      <c r="O277" s="65" t="str">
        <f>IFERROR(VLOOKUP(TableHandbook[[#This Row],[UDC]],TableMJRUCRWRI[],7,FALSE),"")</f>
        <v/>
      </c>
      <c r="P277" s="65" t="str">
        <f>IFERROR(VLOOKUP(TableHandbook[[#This Row],[UDC]],TableMJRUGEOGR[],7,FALSE),"")</f>
        <v/>
      </c>
      <c r="Q277" s="65" t="str">
        <f>IFERROR(VLOOKUP(TableHandbook[[#This Row],[UDC]],TableMJRUHISTR[],7,FALSE),"")</f>
        <v/>
      </c>
      <c r="R277" s="65" t="str">
        <f>IFERROR(VLOOKUP(TableHandbook[[#This Row],[UDC]],TableMJRUINAUC[],7,FALSE),"")</f>
        <v/>
      </c>
      <c r="S277" s="65" t="str">
        <f>IFERROR(VLOOKUP(TableHandbook[[#This Row],[UDC]],TableMJRUINTRL[],7,FALSE),"")</f>
        <v/>
      </c>
      <c r="T277" s="65" t="str">
        <f>IFERROR(VLOOKUP(TableHandbook[[#This Row],[UDC]],TableMJRUJAPAN[],7,FALSE),"")</f>
        <v/>
      </c>
      <c r="U277" s="65" t="str">
        <f>IFERROR(VLOOKUP(TableHandbook[[#This Row],[UDC]],TableMJRUJOURN[],7,FALSE),"")</f>
        <v/>
      </c>
      <c r="V277" s="65" t="str">
        <f>IFERROR(VLOOKUP(TableHandbook[[#This Row],[UDC]],TableMJRUKORES[],7,FALSE),"")</f>
        <v/>
      </c>
      <c r="W277" s="65" t="str">
        <f>IFERROR(VLOOKUP(TableHandbook[[#This Row],[UDC]],TableMJRULITCU[],7,FALSE),"")</f>
        <v/>
      </c>
      <c r="X277" s="65" t="str">
        <f>IFERROR(VLOOKUP(TableHandbook[[#This Row],[UDC]],TableMJRUNETCM[],7,FALSE),"")</f>
        <v/>
      </c>
      <c r="Y277" s="65" t="str">
        <f>IFERROR(VLOOKUP(TableHandbook[[#This Row],[UDC]],TableMJRUPRWRP[],7,FALSE),"")</f>
        <v>Core</v>
      </c>
      <c r="Z277" s="65" t="str">
        <f>IFERROR(VLOOKUP(TableHandbook[[#This Row],[UDC]],TableMJRUSCSTR[],7,FALSE),"")</f>
        <v/>
      </c>
      <c r="AA277" s="74"/>
      <c r="AB277" s="43" t="str">
        <f>IFERROR(VLOOKUP(TableHandbook[[#This Row],[UDC]],TableMJRUBSLAW[],7,FALSE),"")</f>
        <v/>
      </c>
      <c r="AC277" s="66" t="str">
        <f>IFERROR(VLOOKUP(TableHandbook[[#This Row],[UDC]],TableMJRUECONS[],7,FALSE),"")</f>
        <v/>
      </c>
      <c r="AD277" s="66" t="str">
        <f>IFERROR(VLOOKUP(TableHandbook[[#This Row],[UDC]],TableMJRUFINAR[],7,FALSE),"")</f>
        <v/>
      </c>
      <c r="AE277" s="66" t="str">
        <f>IFERROR(VLOOKUP(TableHandbook[[#This Row],[UDC]],TableMJRUFINCE[],7,FALSE),"")</f>
        <v/>
      </c>
      <c r="AF277" s="66" t="str">
        <f>IFERROR(VLOOKUP(TableHandbook[[#This Row],[UDC]],TableMJRUHRMGM[],7,FALSE),"")</f>
        <v/>
      </c>
      <c r="AG277" s="66" t="str">
        <f>IFERROR(VLOOKUP(TableHandbook[[#This Row],[UDC]],TableMJRUINTBU[],7,FALSE),"")</f>
        <v/>
      </c>
      <c r="AH277" s="66" t="str">
        <f>IFERROR(VLOOKUP(TableHandbook[[#This Row],[UDC]],TableMJRULGSCM[],7,FALSE),"")</f>
        <v/>
      </c>
      <c r="AI277" s="66" t="str">
        <f>IFERROR(VLOOKUP(TableHandbook[[#This Row],[UDC]],TableMJRUMNGMT[],7,FALSE),"")</f>
        <v/>
      </c>
      <c r="AJ277" s="66" t="str">
        <f>IFERROR(VLOOKUP(TableHandbook[[#This Row],[UDC]],TableMJRUMRKTG[],7,FALSE),"")</f>
        <v/>
      </c>
      <c r="AK277" s="66" t="str">
        <f>IFERROR(VLOOKUP(TableHandbook[[#This Row],[UDC]],TableMJRUPRPTY[],7,FALSE),"")</f>
        <v/>
      </c>
      <c r="AL277" s="66" t="str">
        <f>IFERROR(VLOOKUP(TableHandbook[[#This Row],[UDC]],TableMJRUSCRAR[],7,FALSE),"")</f>
        <v/>
      </c>
      <c r="AM277" s="66" t="str">
        <f>IFERROR(VLOOKUP(TableHandbook[[#This Row],[UDC]],TableMJRUTHTRA[],7,FALSE),"")</f>
        <v/>
      </c>
      <c r="AN277" s="66" t="str">
        <f>IFERROR(VLOOKUP(TableHandbook[[#This Row],[UDC]],TableMJRUTRHOS[],7,FALSE),"")</f>
        <v/>
      </c>
    </row>
    <row r="278" spans="1:40" x14ac:dyDescent="0.25">
      <c r="A278" s="8" t="s">
        <v>239</v>
      </c>
      <c r="B278" s="9">
        <v>1</v>
      </c>
      <c r="C278" s="8"/>
      <c r="D278" s="8" t="s">
        <v>820</v>
      </c>
      <c r="E278" s="9">
        <v>25</v>
      </c>
      <c r="F278" s="174" t="s">
        <v>526</v>
      </c>
      <c r="G278" s="67" t="str">
        <f>IFERROR(IF(VLOOKUP(TableHandbook[[#This Row],[UDC]],TableAvailabilities[],2,FALSE)&gt;0,"Y",""),"")</f>
        <v/>
      </c>
      <c r="H278" s="68" t="str">
        <f>IFERROR(IF(VLOOKUP(TableHandbook[[#This Row],[UDC]],TableAvailabilities[],3,FALSE)&gt;0,"Y",""),"")</f>
        <v/>
      </c>
      <c r="I278" s="69" t="str">
        <f>IFERROR(IF(VLOOKUP(TableHandbook[[#This Row],[UDC]],TableAvailabilities[],4,FALSE)&gt;0,"Y",""),"")</f>
        <v>Y</v>
      </c>
      <c r="J278" s="70" t="str">
        <f>IFERROR(IF(VLOOKUP(TableHandbook[[#This Row],[UDC]],TableAvailabilities[],5,FALSE)&gt;0,"Y",""),"")</f>
        <v/>
      </c>
      <c r="K278" s="163"/>
      <c r="L278" s="160" t="str">
        <f>IFERROR(VLOOKUP(TableHandbook[[#This Row],[UDC]],TableBARTS[],7,FALSE),"")</f>
        <v/>
      </c>
      <c r="M278" s="65" t="str">
        <f>IFERROR(VLOOKUP(TableHandbook[[#This Row],[UDC]],TableMJRUANTSO[],7,FALSE),"")</f>
        <v/>
      </c>
      <c r="N278" s="47" t="str">
        <f>IFERROR(VLOOKUP(TableHandbook[[#This Row],[UDC]],TableMJRUCHNSE[],7,FALSE),"")</f>
        <v/>
      </c>
      <c r="O278" s="47" t="str">
        <f>IFERROR(VLOOKUP(TableHandbook[[#This Row],[UDC]],TableMJRUCRWRI[],7,FALSE),"")</f>
        <v/>
      </c>
      <c r="P278" s="47" t="str">
        <f>IFERROR(VLOOKUP(TableHandbook[[#This Row],[UDC]],TableMJRUGEOGR[],7,FALSE),"")</f>
        <v/>
      </c>
      <c r="Q278" s="47" t="str">
        <f>IFERROR(VLOOKUP(TableHandbook[[#This Row],[UDC]],TableMJRUHISTR[],7,FALSE),"")</f>
        <v/>
      </c>
      <c r="R278" s="47" t="str">
        <f>IFERROR(VLOOKUP(TableHandbook[[#This Row],[UDC]],TableMJRUINAUC[],7,FALSE),"")</f>
        <v/>
      </c>
      <c r="S278" s="47" t="str">
        <f>IFERROR(VLOOKUP(TableHandbook[[#This Row],[UDC]],TableMJRUINTRL[],7,FALSE),"")</f>
        <v/>
      </c>
      <c r="T278" s="47" t="str">
        <f>IFERROR(VLOOKUP(TableHandbook[[#This Row],[UDC]],TableMJRUJAPAN[],7,FALSE),"")</f>
        <v/>
      </c>
      <c r="U278" s="47" t="str">
        <f>IFERROR(VLOOKUP(TableHandbook[[#This Row],[UDC]],TableMJRUJOURN[],7,FALSE),"")</f>
        <v/>
      </c>
      <c r="V278" s="65" t="str">
        <f>IFERROR(VLOOKUP(TableHandbook[[#This Row],[UDC]],TableMJRUKORES[],7,FALSE),"")</f>
        <v/>
      </c>
      <c r="W278" s="65" t="str">
        <f>IFERROR(VLOOKUP(TableHandbook[[#This Row],[UDC]],TableMJRULITCU[],7,FALSE),"")</f>
        <v>Option</v>
      </c>
      <c r="X278" s="65" t="str">
        <f>IFERROR(VLOOKUP(TableHandbook[[#This Row],[UDC]],TableMJRUNETCM[],7,FALSE),"")</f>
        <v/>
      </c>
      <c r="Y278" s="65" t="str">
        <f>IFERROR(VLOOKUP(TableHandbook[[#This Row],[UDC]],TableMJRUPRWRP[],7,FALSE),"")</f>
        <v>Core</v>
      </c>
      <c r="Z278" s="65" t="str">
        <f>IFERROR(VLOOKUP(TableHandbook[[#This Row],[UDC]],TableMJRUSCSTR[],7,FALSE),"")</f>
        <v/>
      </c>
      <c r="AA278" s="74"/>
      <c r="AB278" s="43" t="str">
        <f>IFERROR(VLOOKUP(TableHandbook[[#This Row],[UDC]],TableMJRUBSLAW[],7,FALSE),"")</f>
        <v/>
      </c>
      <c r="AC278" s="66" t="str">
        <f>IFERROR(VLOOKUP(TableHandbook[[#This Row],[UDC]],TableMJRUECONS[],7,FALSE),"")</f>
        <v/>
      </c>
      <c r="AD278" s="66" t="str">
        <f>IFERROR(VLOOKUP(TableHandbook[[#This Row],[UDC]],TableMJRUFINAR[],7,FALSE),"")</f>
        <v/>
      </c>
      <c r="AE278" s="66" t="str">
        <f>IFERROR(VLOOKUP(TableHandbook[[#This Row],[UDC]],TableMJRUFINCE[],7,FALSE),"")</f>
        <v/>
      </c>
      <c r="AF278" s="66" t="str">
        <f>IFERROR(VLOOKUP(TableHandbook[[#This Row],[UDC]],TableMJRUHRMGM[],7,FALSE),"")</f>
        <v/>
      </c>
      <c r="AG278" s="66" t="str">
        <f>IFERROR(VLOOKUP(TableHandbook[[#This Row],[UDC]],TableMJRUINTBU[],7,FALSE),"")</f>
        <v/>
      </c>
      <c r="AH278" s="66" t="str">
        <f>IFERROR(VLOOKUP(TableHandbook[[#This Row],[UDC]],TableMJRULGSCM[],7,FALSE),"")</f>
        <v/>
      </c>
      <c r="AI278" s="66" t="str">
        <f>IFERROR(VLOOKUP(TableHandbook[[#This Row],[UDC]],TableMJRUMNGMT[],7,FALSE),"")</f>
        <v/>
      </c>
      <c r="AJ278" s="66" t="str">
        <f>IFERROR(VLOOKUP(TableHandbook[[#This Row],[UDC]],TableMJRUMRKTG[],7,FALSE),"")</f>
        <v/>
      </c>
      <c r="AK278" s="66" t="str">
        <f>IFERROR(VLOOKUP(TableHandbook[[#This Row],[UDC]],TableMJRUPRPTY[],7,FALSE),"")</f>
        <v/>
      </c>
      <c r="AL278" s="66" t="str">
        <f>IFERROR(VLOOKUP(TableHandbook[[#This Row],[UDC]],TableMJRUSCRAR[],7,FALSE),"")</f>
        <v/>
      </c>
      <c r="AM278" s="66" t="str">
        <f>IFERROR(VLOOKUP(TableHandbook[[#This Row],[UDC]],TableMJRUTHTRA[],7,FALSE),"")</f>
        <v/>
      </c>
      <c r="AN278" s="66" t="str">
        <f>IFERROR(VLOOKUP(TableHandbook[[#This Row],[UDC]],TableMJRUTRHOS[],7,FALSE),"")</f>
        <v/>
      </c>
    </row>
    <row r="279" spans="1:40" x14ac:dyDescent="0.25">
      <c r="A279" s="8" t="s">
        <v>268</v>
      </c>
      <c r="B279" s="9">
        <v>2</v>
      </c>
      <c r="C279" s="8"/>
      <c r="D279" s="8" t="s">
        <v>821</v>
      </c>
      <c r="E279" s="9">
        <v>25</v>
      </c>
      <c r="F279" s="49" t="s">
        <v>1033</v>
      </c>
      <c r="G279" s="82" t="str">
        <f>IFERROR(IF(VLOOKUP(TableHandbook[[#This Row],[UDC]],TableAvailabilities[],2,FALSE)&gt;0,"Y",""),"")</f>
        <v>Y</v>
      </c>
      <c r="H279" s="83" t="str">
        <f>IFERROR(IF(VLOOKUP(TableHandbook[[#This Row],[UDC]],TableAvailabilities[],3,FALSE)&gt;0,"Y",""),"")</f>
        <v/>
      </c>
      <c r="I279" s="84" t="str">
        <f>IFERROR(IF(VLOOKUP(TableHandbook[[#This Row],[UDC]],TableAvailabilities[],4,FALSE)&gt;0,"Y",""),"")</f>
        <v/>
      </c>
      <c r="J279" s="85" t="str">
        <f>IFERROR(IF(VLOOKUP(TableHandbook[[#This Row],[UDC]],TableAvailabilities[],5,FALSE)&gt;0,"Y",""),"")</f>
        <v/>
      </c>
      <c r="K279" s="163" t="s">
        <v>533</v>
      </c>
      <c r="L279" s="160" t="str">
        <f>IFERROR(VLOOKUP(TableHandbook[[#This Row],[UDC]],TableBARTS[],7,FALSE),"")</f>
        <v/>
      </c>
      <c r="M279" s="65" t="str">
        <f>IFERROR(VLOOKUP(TableHandbook[[#This Row],[UDC]],TableMJRUANTSO[],7,FALSE),"")</f>
        <v/>
      </c>
      <c r="N279" s="65" t="str">
        <f>IFERROR(VLOOKUP(TableHandbook[[#This Row],[UDC]],TableMJRUCHNSE[],7,FALSE),"")</f>
        <v/>
      </c>
      <c r="O279" s="65" t="str">
        <f>IFERROR(VLOOKUP(TableHandbook[[#This Row],[UDC]],TableMJRUCRWRI[],7,FALSE),"")</f>
        <v/>
      </c>
      <c r="P279" s="65" t="str">
        <f>IFERROR(VLOOKUP(TableHandbook[[#This Row],[UDC]],TableMJRUGEOGR[],7,FALSE),"")</f>
        <v/>
      </c>
      <c r="Q279" s="65" t="str">
        <f>IFERROR(VLOOKUP(TableHandbook[[#This Row],[UDC]],TableMJRUHISTR[],7,FALSE),"")</f>
        <v/>
      </c>
      <c r="R279" s="65" t="str">
        <f>IFERROR(VLOOKUP(TableHandbook[[#This Row],[UDC]],TableMJRUINAUC[],7,FALSE),"")</f>
        <v/>
      </c>
      <c r="S279" s="65" t="str">
        <f>IFERROR(VLOOKUP(TableHandbook[[#This Row],[UDC]],TableMJRUINTRL[],7,FALSE),"")</f>
        <v/>
      </c>
      <c r="T279" s="65" t="str">
        <f>IFERROR(VLOOKUP(TableHandbook[[#This Row],[UDC]],TableMJRUJAPAN[],7,FALSE),"")</f>
        <v/>
      </c>
      <c r="U279" s="65" t="str">
        <f>IFERROR(VLOOKUP(TableHandbook[[#This Row],[UDC]],TableMJRUJOURN[],7,FALSE),"")</f>
        <v/>
      </c>
      <c r="V279" s="65" t="str">
        <f>IFERROR(VLOOKUP(TableHandbook[[#This Row],[UDC]],TableMJRUKORES[],7,FALSE),"")</f>
        <v/>
      </c>
      <c r="W279" s="65" t="str">
        <f>IFERROR(VLOOKUP(TableHandbook[[#This Row],[UDC]],TableMJRULITCU[],7,FALSE),"")</f>
        <v>Option</v>
      </c>
      <c r="X279" s="65" t="str">
        <f>IFERROR(VLOOKUP(TableHandbook[[#This Row],[UDC]],TableMJRUNETCM[],7,FALSE),"")</f>
        <v/>
      </c>
      <c r="Y279" s="65" t="str">
        <f>IFERROR(VLOOKUP(TableHandbook[[#This Row],[UDC]],TableMJRUPRWRP[],7,FALSE),"")</f>
        <v>Core</v>
      </c>
      <c r="Z279" s="65" t="str">
        <f>IFERROR(VLOOKUP(TableHandbook[[#This Row],[UDC]],TableMJRUSCSTR[],7,FALSE),"")</f>
        <v/>
      </c>
      <c r="AA279" s="74"/>
      <c r="AB279" s="43" t="str">
        <f>IFERROR(VLOOKUP(TableHandbook[[#This Row],[UDC]],TableMJRUBSLAW[],7,FALSE),"")</f>
        <v/>
      </c>
      <c r="AC279" s="66" t="str">
        <f>IFERROR(VLOOKUP(TableHandbook[[#This Row],[UDC]],TableMJRUECONS[],7,FALSE),"")</f>
        <v/>
      </c>
      <c r="AD279" s="66" t="str">
        <f>IFERROR(VLOOKUP(TableHandbook[[#This Row],[UDC]],TableMJRUFINAR[],7,FALSE),"")</f>
        <v/>
      </c>
      <c r="AE279" s="66" t="str">
        <f>IFERROR(VLOOKUP(TableHandbook[[#This Row],[UDC]],TableMJRUFINCE[],7,FALSE),"")</f>
        <v/>
      </c>
      <c r="AF279" s="66" t="str">
        <f>IFERROR(VLOOKUP(TableHandbook[[#This Row],[UDC]],TableMJRUHRMGM[],7,FALSE),"")</f>
        <v/>
      </c>
      <c r="AG279" s="66" t="str">
        <f>IFERROR(VLOOKUP(TableHandbook[[#This Row],[UDC]],TableMJRUINTBU[],7,FALSE),"")</f>
        <v/>
      </c>
      <c r="AH279" s="66" t="str">
        <f>IFERROR(VLOOKUP(TableHandbook[[#This Row],[UDC]],TableMJRULGSCM[],7,FALSE),"")</f>
        <v/>
      </c>
      <c r="AI279" s="66" t="str">
        <f>IFERROR(VLOOKUP(TableHandbook[[#This Row],[UDC]],TableMJRUMNGMT[],7,FALSE),"")</f>
        <v/>
      </c>
      <c r="AJ279" s="66" t="str">
        <f>IFERROR(VLOOKUP(TableHandbook[[#This Row],[UDC]],TableMJRUMRKTG[],7,FALSE),"")</f>
        <v/>
      </c>
      <c r="AK279" s="66" t="str">
        <f>IFERROR(VLOOKUP(TableHandbook[[#This Row],[UDC]],TableMJRUPRPTY[],7,FALSE),"")</f>
        <v/>
      </c>
      <c r="AL279" s="66" t="str">
        <f>IFERROR(VLOOKUP(TableHandbook[[#This Row],[UDC]],TableMJRUSCRAR[],7,FALSE),"")</f>
        <v/>
      </c>
      <c r="AM279" s="66" t="str">
        <f>IFERROR(VLOOKUP(TableHandbook[[#This Row],[UDC]],TableMJRUTHTRA[],7,FALSE),"")</f>
        <v/>
      </c>
      <c r="AN279" s="66" t="str">
        <f>IFERROR(VLOOKUP(TableHandbook[[#This Row],[UDC]],TableMJRUTRHOS[],7,FALSE),"")</f>
        <v/>
      </c>
    </row>
    <row r="280" spans="1:40" x14ac:dyDescent="0.25">
      <c r="A280" s="8" t="s">
        <v>822</v>
      </c>
      <c r="B280" s="9">
        <v>1</v>
      </c>
      <c r="C280" s="8"/>
      <c r="D280" s="8" t="s">
        <v>823</v>
      </c>
      <c r="E280" s="9">
        <v>25</v>
      </c>
      <c r="F280" s="49" t="s">
        <v>214</v>
      </c>
      <c r="G280" s="82" t="str">
        <f>IFERROR(IF(VLOOKUP(TableHandbook[[#This Row],[UDC]],TableAvailabilities[],2,FALSE)&gt;0,"Y",""),"")</f>
        <v/>
      </c>
      <c r="H280" s="83" t="str">
        <f>IFERROR(IF(VLOOKUP(TableHandbook[[#This Row],[UDC]],TableAvailabilities[],3,FALSE)&gt;0,"Y",""),"")</f>
        <v/>
      </c>
      <c r="I280" s="84" t="str">
        <f>IFERROR(IF(VLOOKUP(TableHandbook[[#This Row],[UDC]],TableAvailabilities[],4,FALSE)&gt;0,"Y",""),"")</f>
        <v/>
      </c>
      <c r="J280" s="85" t="str">
        <f>IFERROR(IF(VLOOKUP(TableHandbook[[#This Row],[UDC]],TableAvailabilities[],5,FALSE)&gt;0,"Y",""),"")</f>
        <v/>
      </c>
      <c r="K280" s="163" t="s">
        <v>535</v>
      </c>
      <c r="L280" s="160" t="str">
        <f>IFERROR(VLOOKUP(TableHandbook[[#This Row],[UDC]],TableBARTS[],7,FALSE),"")</f>
        <v/>
      </c>
      <c r="M280" s="65" t="str">
        <f>IFERROR(VLOOKUP(TableHandbook[[#This Row],[UDC]],TableMJRUANTSO[],7,FALSE),"")</f>
        <v/>
      </c>
      <c r="N280" s="47" t="str">
        <f>IFERROR(VLOOKUP(TableHandbook[[#This Row],[UDC]],TableMJRUCHNSE[],7,FALSE),"")</f>
        <v/>
      </c>
      <c r="O280" s="47" t="str">
        <f>IFERROR(VLOOKUP(TableHandbook[[#This Row],[UDC]],TableMJRUCRWRI[],7,FALSE),"")</f>
        <v/>
      </c>
      <c r="P280" s="47" t="str">
        <f>IFERROR(VLOOKUP(TableHandbook[[#This Row],[UDC]],TableMJRUGEOGR[],7,FALSE),"")</f>
        <v/>
      </c>
      <c r="Q280" s="47" t="str">
        <f>IFERROR(VLOOKUP(TableHandbook[[#This Row],[UDC]],TableMJRUHISTR[],7,FALSE),"")</f>
        <v/>
      </c>
      <c r="R280" s="47" t="str">
        <f>IFERROR(VLOOKUP(TableHandbook[[#This Row],[UDC]],TableMJRUINAUC[],7,FALSE),"")</f>
        <v/>
      </c>
      <c r="S280" s="47" t="str">
        <f>IFERROR(VLOOKUP(TableHandbook[[#This Row],[UDC]],TableMJRUINTRL[],7,FALSE),"")</f>
        <v/>
      </c>
      <c r="T280" s="47" t="str">
        <f>IFERROR(VLOOKUP(TableHandbook[[#This Row],[UDC]],TableMJRUJAPAN[],7,FALSE),"")</f>
        <v/>
      </c>
      <c r="U280" s="47" t="str">
        <f>IFERROR(VLOOKUP(TableHandbook[[#This Row],[UDC]],TableMJRUJOURN[],7,FALSE),"")</f>
        <v/>
      </c>
      <c r="V280" s="65" t="str">
        <f>IFERROR(VLOOKUP(TableHandbook[[#This Row],[UDC]],TableMJRUKORES[],7,FALSE),"")</f>
        <v/>
      </c>
      <c r="W280" s="65" t="str">
        <f>IFERROR(VLOOKUP(TableHandbook[[#This Row],[UDC]],TableMJRULITCU[],7,FALSE),"")</f>
        <v/>
      </c>
      <c r="X280" s="65" t="str">
        <f>IFERROR(VLOOKUP(TableHandbook[[#This Row],[UDC]],TableMJRUNETCM[],7,FALSE),"")</f>
        <v/>
      </c>
      <c r="Y280" s="65" t="str">
        <f>IFERROR(VLOOKUP(TableHandbook[[#This Row],[UDC]],TableMJRUPRWRP[],7,FALSE),"")</f>
        <v/>
      </c>
      <c r="Z280" s="65" t="str">
        <f>IFERROR(VLOOKUP(TableHandbook[[#This Row],[UDC]],TableMJRUSCSTR[],7,FALSE),"")</f>
        <v/>
      </c>
      <c r="AA280" s="74"/>
      <c r="AB280" s="43" t="str">
        <f>IFERROR(VLOOKUP(TableHandbook[[#This Row],[UDC]],TableMJRUBSLAW[],7,FALSE),"")</f>
        <v/>
      </c>
      <c r="AC280" s="66" t="str">
        <f>IFERROR(VLOOKUP(TableHandbook[[#This Row],[UDC]],TableMJRUECONS[],7,FALSE),"")</f>
        <v/>
      </c>
      <c r="AD280" s="66" t="str">
        <f>IFERROR(VLOOKUP(TableHandbook[[#This Row],[UDC]],TableMJRUFINAR[],7,FALSE),"")</f>
        <v/>
      </c>
      <c r="AE280" s="66" t="str">
        <f>IFERROR(VLOOKUP(TableHandbook[[#This Row],[UDC]],TableMJRUFINCE[],7,FALSE),"")</f>
        <v/>
      </c>
      <c r="AF280" s="66" t="str">
        <f>IFERROR(VLOOKUP(TableHandbook[[#This Row],[UDC]],TableMJRUHRMGM[],7,FALSE),"")</f>
        <v/>
      </c>
      <c r="AG280" s="66" t="str">
        <f>IFERROR(VLOOKUP(TableHandbook[[#This Row],[UDC]],TableMJRUINTBU[],7,FALSE),"")</f>
        <v/>
      </c>
      <c r="AH280" s="66" t="str">
        <f>IFERROR(VLOOKUP(TableHandbook[[#This Row],[UDC]],TableMJRULGSCM[],7,FALSE),"")</f>
        <v/>
      </c>
      <c r="AI280" s="66" t="str">
        <f>IFERROR(VLOOKUP(TableHandbook[[#This Row],[UDC]],TableMJRUMNGMT[],7,FALSE),"")</f>
        <v/>
      </c>
      <c r="AJ280" s="66" t="str">
        <f>IFERROR(VLOOKUP(TableHandbook[[#This Row],[UDC]],TableMJRUMRKTG[],7,FALSE),"")</f>
        <v/>
      </c>
      <c r="AK280" s="66" t="str">
        <f>IFERROR(VLOOKUP(TableHandbook[[#This Row],[UDC]],TableMJRUPRPTY[],7,FALSE),"")</f>
        <v/>
      </c>
      <c r="AL280" s="66" t="str">
        <f>IFERROR(VLOOKUP(TableHandbook[[#This Row],[UDC]],TableMJRUSCRAR[],7,FALSE),"")</f>
        <v/>
      </c>
      <c r="AM280" s="66" t="str">
        <f>IFERROR(VLOOKUP(TableHandbook[[#This Row],[UDC]],TableMJRUTHTRA[],7,FALSE),"")</f>
        <v/>
      </c>
      <c r="AN280" s="66" t="str">
        <f>IFERROR(VLOOKUP(TableHandbook[[#This Row],[UDC]],TableMJRUTRHOS[],7,FALSE),"")</f>
        <v/>
      </c>
    </row>
    <row r="281" spans="1:40" x14ac:dyDescent="0.25">
      <c r="A281" s="8" t="s">
        <v>269</v>
      </c>
      <c r="B281" s="9">
        <v>2</v>
      </c>
      <c r="C281" s="8"/>
      <c r="D281" s="8" t="s">
        <v>824</v>
      </c>
      <c r="E281" s="9">
        <v>25</v>
      </c>
      <c r="F281" s="49" t="s">
        <v>825</v>
      </c>
      <c r="G281" s="82" t="str">
        <f>IFERROR(IF(VLOOKUP(TableHandbook[[#This Row],[UDC]],TableAvailabilities[],2,FALSE)&gt;0,"Y",""),"")</f>
        <v/>
      </c>
      <c r="H281" s="83" t="str">
        <f>IFERROR(IF(VLOOKUP(TableHandbook[[#This Row],[UDC]],TableAvailabilities[],3,FALSE)&gt;0,"Y",""),"")</f>
        <v/>
      </c>
      <c r="I281" s="84" t="str">
        <f>IFERROR(IF(VLOOKUP(TableHandbook[[#This Row],[UDC]],TableAvailabilities[],4,FALSE)&gt;0,"Y",""),"")</f>
        <v>Y</v>
      </c>
      <c r="J281" s="85" t="str">
        <f>IFERROR(IF(VLOOKUP(TableHandbook[[#This Row],[UDC]],TableAvailabilities[],5,FALSE)&gt;0,"Y",""),"")</f>
        <v/>
      </c>
      <c r="K281" s="163" t="s">
        <v>533</v>
      </c>
      <c r="L281" s="160" t="str">
        <f>IFERROR(VLOOKUP(TableHandbook[[#This Row],[UDC]],TableBARTS[],7,FALSE),"")</f>
        <v/>
      </c>
      <c r="M281" s="65" t="str">
        <f>IFERROR(VLOOKUP(TableHandbook[[#This Row],[UDC]],TableMJRUANTSO[],7,FALSE),"")</f>
        <v/>
      </c>
      <c r="N281" s="47" t="str">
        <f>IFERROR(VLOOKUP(TableHandbook[[#This Row],[UDC]],TableMJRUCHNSE[],7,FALSE),"")</f>
        <v/>
      </c>
      <c r="O281" s="47" t="str">
        <f>IFERROR(VLOOKUP(TableHandbook[[#This Row],[UDC]],TableMJRUCRWRI[],7,FALSE),"")</f>
        <v/>
      </c>
      <c r="P281" s="47" t="str">
        <f>IFERROR(VLOOKUP(TableHandbook[[#This Row],[UDC]],TableMJRUGEOGR[],7,FALSE),"")</f>
        <v/>
      </c>
      <c r="Q281" s="47" t="str">
        <f>IFERROR(VLOOKUP(TableHandbook[[#This Row],[UDC]],TableMJRUHISTR[],7,FALSE),"")</f>
        <v/>
      </c>
      <c r="R281" s="47" t="str">
        <f>IFERROR(VLOOKUP(TableHandbook[[#This Row],[UDC]],TableMJRUINAUC[],7,FALSE),"")</f>
        <v/>
      </c>
      <c r="S281" s="47" t="str">
        <f>IFERROR(VLOOKUP(TableHandbook[[#This Row],[UDC]],TableMJRUINTRL[],7,FALSE),"")</f>
        <v/>
      </c>
      <c r="T281" s="47" t="str">
        <f>IFERROR(VLOOKUP(TableHandbook[[#This Row],[UDC]],TableMJRUJAPAN[],7,FALSE),"")</f>
        <v/>
      </c>
      <c r="U281" s="47" t="str">
        <f>IFERROR(VLOOKUP(TableHandbook[[#This Row],[UDC]],TableMJRUJOURN[],7,FALSE),"")</f>
        <v/>
      </c>
      <c r="V281" s="65" t="str">
        <f>IFERROR(VLOOKUP(TableHandbook[[#This Row],[UDC]],TableMJRUKORES[],7,FALSE),"")</f>
        <v/>
      </c>
      <c r="W281" s="65" t="str">
        <f>IFERROR(VLOOKUP(TableHandbook[[#This Row],[UDC]],TableMJRULITCU[],7,FALSE),"")</f>
        <v/>
      </c>
      <c r="X281" s="65" t="str">
        <f>IFERROR(VLOOKUP(TableHandbook[[#This Row],[UDC]],TableMJRUNETCM[],7,FALSE),"")</f>
        <v/>
      </c>
      <c r="Y281" s="65" t="str">
        <f>IFERROR(VLOOKUP(TableHandbook[[#This Row],[UDC]],TableMJRUPRWRP[],7,FALSE),"")</f>
        <v>Core</v>
      </c>
      <c r="Z281" s="65" t="str">
        <f>IFERROR(VLOOKUP(TableHandbook[[#This Row],[UDC]],TableMJRUSCSTR[],7,FALSE),"")</f>
        <v/>
      </c>
      <c r="AA281" s="74"/>
      <c r="AB281" s="43" t="str">
        <f>IFERROR(VLOOKUP(TableHandbook[[#This Row],[UDC]],TableMJRUBSLAW[],7,FALSE),"")</f>
        <v/>
      </c>
      <c r="AC281" s="66" t="str">
        <f>IFERROR(VLOOKUP(TableHandbook[[#This Row],[UDC]],TableMJRUECONS[],7,FALSE),"")</f>
        <v/>
      </c>
      <c r="AD281" s="66" t="str">
        <f>IFERROR(VLOOKUP(TableHandbook[[#This Row],[UDC]],TableMJRUFINAR[],7,FALSE),"")</f>
        <v/>
      </c>
      <c r="AE281" s="66" t="str">
        <f>IFERROR(VLOOKUP(TableHandbook[[#This Row],[UDC]],TableMJRUFINCE[],7,FALSE),"")</f>
        <v/>
      </c>
      <c r="AF281" s="66" t="str">
        <f>IFERROR(VLOOKUP(TableHandbook[[#This Row],[UDC]],TableMJRUHRMGM[],7,FALSE),"")</f>
        <v/>
      </c>
      <c r="AG281" s="66" t="str">
        <f>IFERROR(VLOOKUP(TableHandbook[[#This Row],[UDC]],TableMJRUINTBU[],7,FALSE),"")</f>
        <v/>
      </c>
      <c r="AH281" s="66" t="str">
        <f>IFERROR(VLOOKUP(TableHandbook[[#This Row],[UDC]],TableMJRULGSCM[],7,FALSE),"")</f>
        <v/>
      </c>
      <c r="AI281" s="66" t="str">
        <f>IFERROR(VLOOKUP(TableHandbook[[#This Row],[UDC]],TableMJRUMNGMT[],7,FALSE),"")</f>
        <v/>
      </c>
      <c r="AJ281" s="66" t="str">
        <f>IFERROR(VLOOKUP(TableHandbook[[#This Row],[UDC]],TableMJRUMRKTG[],7,FALSE),"")</f>
        <v/>
      </c>
      <c r="AK281" s="66" t="str">
        <f>IFERROR(VLOOKUP(TableHandbook[[#This Row],[UDC]],TableMJRUPRPTY[],7,FALSE),"")</f>
        <v/>
      </c>
      <c r="AL281" s="66" t="str">
        <f>IFERROR(VLOOKUP(TableHandbook[[#This Row],[UDC]],TableMJRUSCRAR[],7,FALSE),"")</f>
        <v/>
      </c>
      <c r="AM281" s="66" t="str">
        <f>IFERROR(VLOOKUP(TableHandbook[[#This Row],[UDC]],TableMJRUTHTRA[],7,FALSE),"")</f>
        <v/>
      </c>
      <c r="AN281" s="66" t="str">
        <f>IFERROR(VLOOKUP(TableHandbook[[#This Row],[UDC]],TableMJRUTRHOS[],7,FALSE),"")</f>
        <v/>
      </c>
    </row>
    <row r="282" spans="1:40" x14ac:dyDescent="0.25">
      <c r="A282" s="8" t="s">
        <v>826</v>
      </c>
      <c r="B282" s="9">
        <v>1</v>
      </c>
      <c r="C282" s="8"/>
      <c r="D282" s="8" t="s">
        <v>827</v>
      </c>
      <c r="E282" s="9">
        <v>25</v>
      </c>
      <c r="F282" s="49" t="s">
        <v>268</v>
      </c>
      <c r="G282" s="82" t="str">
        <f>IFERROR(IF(VLOOKUP(TableHandbook[[#This Row],[UDC]],TableAvailabilities[],2,FALSE)&gt;0,"Y",""),"")</f>
        <v/>
      </c>
      <c r="H282" s="83" t="str">
        <f>IFERROR(IF(VLOOKUP(TableHandbook[[#This Row],[UDC]],TableAvailabilities[],3,FALSE)&gt;0,"Y",""),"")</f>
        <v/>
      </c>
      <c r="I282" s="84" t="str">
        <f>IFERROR(IF(VLOOKUP(TableHandbook[[#This Row],[UDC]],TableAvailabilities[],4,FALSE)&gt;0,"Y",""),"")</f>
        <v/>
      </c>
      <c r="J282" s="85" t="str">
        <f>IFERROR(IF(VLOOKUP(TableHandbook[[#This Row],[UDC]],TableAvailabilities[],5,FALSE)&gt;0,"Y",""),"")</f>
        <v/>
      </c>
      <c r="K282" s="168" t="s">
        <v>535</v>
      </c>
      <c r="L282" s="160" t="str">
        <f>IFERROR(VLOOKUP(TableHandbook[[#This Row],[UDC]],TableBARTS[],7,FALSE),"")</f>
        <v/>
      </c>
      <c r="M282" s="65" t="str">
        <f>IFERROR(VLOOKUP(TableHandbook[[#This Row],[UDC]],TableMJRUANTSO[],7,FALSE),"")</f>
        <v/>
      </c>
      <c r="N282" s="47" t="str">
        <f>IFERROR(VLOOKUP(TableHandbook[[#This Row],[UDC]],TableMJRUCHNSE[],7,FALSE),"")</f>
        <v/>
      </c>
      <c r="O282" s="47" t="str">
        <f>IFERROR(VLOOKUP(TableHandbook[[#This Row],[UDC]],TableMJRUCRWRI[],7,FALSE),"")</f>
        <v/>
      </c>
      <c r="P282" s="47" t="str">
        <f>IFERROR(VLOOKUP(TableHandbook[[#This Row],[UDC]],TableMJRUGEOGR[],7,FALSE),"")</f>
        <v/>
      </c>
      <c r="Q282" s="47" t="str">
        <f>IFERROR(VLOOKUP(TableHandbook[[#This Row],[UDC]],TableMJRUHISTR[],7,FALSE),"")</f>
        <v/>
      </c>
      <c r="R282" s="47" t="str">
        <f>IFERROR(VLOOKUP(TableHandbook[[#This Row],[UDC]],TableMJRUINAUC[],7,FALSE),"")</f>
        <v/>
      </c>
      <c r="S282" s="47" t="str">
        <f>IFERROR(VLOOKUP(TableHandbook[[#This Row],[UDC]],TableMJRUINTRL[],7,FALSE),"")</f>
        <v/>
      </c>
      <c r="T282" s="47" t="str">
        <f>IFERROR(VLOOKUP(TableHandbook[[#This Row],[UDC]],TableMJRUJAPAN[],7,FALSE),"")</f>
        <v/>
      </c>
      <c r="U282" s="47" t="str">
        <f>IFERROR(VLOOKUP(TableHandbook[[#This Row],[UDC]],TableMJRUJOURN[],7,FALSE),"")</f>
        <v/>
      </c>
      <c r="V282" s="65" t="str">
        <f>IFERROR(VLOOKUP(TableHandbook[[#This Row],[UDC]],TableMJRUKORES[],7,FALSE),"")</f>
        <v/>
      </c>
      <c r="W282" s="65" t="str">
        <f>IFERROR(VLOOKUP(TableHandbook[[#This Row],[UDC]],TableMJRULITCU[],7,FALSE),"")</f>
        <v/>
      </c>
      <c r="X282" s="65" t="str">
        <f>IFERROR(VLOOKUP(TableHandbook[[#This Row],[UDC]],TableMJRUNETCM[],7,FALSE),"")</f>
        <v/>
      </c>
      <c r="Y282" s="65" t="str">
        <f>IFERROR(VLOOKUP(TableHandbook[[#This Row],[UDC]],TableMJRUPRWRP[],7,FALSE),"")</f>
        <v/>
      </c>
      <c r="Z282" s="65" t="str">
        <f>IFERROR(VLOOKUP(TableHandbook[[#This Row],[UDC]],TableMJRUSCSTR[],7,FALSE),"")</f>
        <v/>
      </c>
      <c r="AA282" s="74"/>
      <c r="AB282" s="43" t="str">
        <f>IFERROR(VLOOKUP(TableHandbook[[#This Row],[UDC]],TableMJRUBSLAW[],7,FALSE),"")</f>
        <v/>
      </c>
      <c r="AC282" s="66" t="str">
        <f>IFERROR(VLOOKUP(TableHandbook[[#This Row],[UDC]],TableMJRUECONS[],7,FALSE),"")</f>
        <v/>
      </c>
      <c r="AD282" s="66" t="str">
        <f>IFERROR(VLOOKUP(TableHandbook[[#This Row],[UDC]],TableMJRUFINAR[],7,FALSE),"")</f>
        <v/>
      </c>
      <c r="AE282" s="66" t="str">
        <f>IFERROR(VLOOKUP(TableHandbook[[#This Row],[UDC]],TableMJRUFINCE[],7,FALSE),"")</f>
        <v/>
      </c>
      <c r="AF282" s="66" t="str">
        <f>IFERROR(VLOOKUP(TableHandbook[[#This Row],[UDC]],TableMJRUHRMGM[],7,FALSE),"")</f>
        <v/>
      </c>
      <c r="AG282" s="66" t="str">
        <f>IFERROR(VLOOKUP(TableHandbook[[#This Row],[UDC]],TableMJRUINTBU[],7,FALSE),"")</f>
        <v/>
      </c>
      <c r="AH282" s="66" t="str">
        <f>IFERROR(VLOOKUP(TableHandbook[[#This Row],[UDC]],TableMJRULGSCM[],7,FALSE),"")</f>
        <v/>
      </c>
      <c r="AI282" s="66" t="str">
        <f>IFERROR(VLOOKUP(TableHandbook[[#This Row],[UDC]],TableMJRUMNGMT[],7,FALSE),"")</f>
        <v/>
      </c>
      <c r="AJ282" s="66" t="str">
        <f>IFERROR(VLOOKUP(TableHandbook[[#This Row],[UDC]],TableMJRUMRKTG[],7,FALSE),"")</f>
        <v/>
      </c>
      <c r="AK282" s="66" t="str">
        <f>IFERROR(VLOOKUP(TableHandbook[[#This Row],[UDC]],TableMJRUPRPTY[],7,FALSE),"")</f>
        <v/>
      </c>
      <c r="AL282" s="66" t="str">
        <f>IFERROR(VLOOKUP(TableHandbook[[#This Row],[UDC]],TableMJRUSCRAR[],7,FALSE),"")</f>
        <v/>
      </c>
      <c r="AM282" s="66" t="str">
        <f>IFERROR(VLOOKUP(TableHandbook[[#This Row],[UDC]],TableMJRUTHTRA[],7,FALSE),"")</f>
        <v/>
      </c>
      <c r="AN282" s="66" t="str">
        <f>IFERROR(VLOOKUP(TableHandbook[[#This Row],[UDC]],TableMJRUTRHOS[],7,FALSE),"")</f>
        <v/>
      </c>
    </row>
    <row r="283" spans="1:40" x14ac:dyDescent="0.25">
      <c r="A283" s="8" t="s">
        <v>292</v>
      </c>
      <c r="B283" s="9">
        <v>2</v>
      </c>
      <c r="C283" s="8"/>
      <c r="D283" s="8" t="s">
        <v>828</v>
      </c>
      <c r="E283" s="9">
        <v>25</v>
      </c>
      <c r="F283" s="49" t="s">
        <v>829</v>
      </c>
      <c r="G283" s="67" t="str">
        <f>IFERROR(IF(VLOOKUP(TableHandbook[[#This Row],[UDC]],TableAvailabilities[],2,FALSE)&gt;0,"Y",""),"")</f>
        <v/>
      </c>
      <c r="H283" s="68" t="str">
        <f>IFERROR(IF(VLOOKUP(TableHandbook[[#This Row],[UDC]],TableAvailabilities[],3,FALSE)&gt;0,"Y",""),"")</f>
        <v/>
      </c>
      <c r="I283" s="69" t="str">
        <f>IFERROR(IF(VLOOKUP(TableHandbook[[#This Row],[UDC]],TableAvailabilities[],4,FALSE)&gt;0,"Y",""),"")</f>
        <v>Y</v>
      </c>
      <c r="J283" s="70" t="str">
        <f>IFERROR(IF(VLOOKUP(TableHandbook[[#This Row],[UDC]],TableAvailabilities[],5,FALSE)&gt;0,"Y",""),"")</f>
        <v/>
      </c>
      <c r="K283" s="163" t="s">
        <v>533</v>
      </c>
      <c r="L283" s="160" t="str">
        <f>IFERROR(VLOOKUP(TableHandbook[[#This Row],[UDC]],TableBARTS[],7,FALSE),"")</f>
        <v/>
      </c>
      <c r="M283" s="65" t="str">
        <f>IFERROR(VLOOKUP(TableHandbook[[#This Row],[UDC]],TableMJRUANTSO[],7,FALSE),"")</f>
        <v/>
      </c>
      <c r="N283" s="47" t="str">
        <f>IFERROR(VLOOKUP(TableHandbook[[#This Row],[UDC]],TableMJRUCHNSE[],7,FALSE),"")</f>
        <v/>
      </c>
      <c r="O283" s="47" t="str">
        <f>IFERROR(VLOOKUP(TableHandbook[[#This Row],[UDC]],TableMJRUCRWRI[],7,FALSE),"")</f>
        <v/>
      </c>
      <c r="P283" s="47" t="str">
        <f>IFERROR(VLOOKUP(TableHandbook[[#This Row],[UDC]],TableMJRUGEOGR[],7,FALSE),"")</f>
        <v/>
      </c>
      <c r="Q283" s="47" t="str">
        <f>IFERROR(VLOOKUP(TableHandbook[[#This Row],[UDC]],TableMJRUHISTR[],7,FALSE),"")</f>
        <v/>
      </c>
      <c r="R283" s="47" t="str">
        <f>IFERROR(VLOOKUP(TableHandbook[[#This Row],[UDC]],TableMJRUINAUC[],7,FALSE),"")</f>
        <v/>
      </c>
      <c r="S283" s="47" t="str">
        <f>IFERROR(VLOOKUP(TableHandbook[[#This Row],[UDC]],TableMJRUINTRL[],7,FALSE),"")</f>
        <v/>
      </c>
      <c r="T283" s="47" t="str">
        <f>IFERROR(VLOOKUP(TableHandbook[[#This Row],[UDC]],TableMJRUJAPAN[],7,FALSE),"")</f>
        <v/>
      </c>
      <c r="U283" s="47" t="str">
        <f>IFERROR(VLOOKUP(TableHandbook[[#This Row],[UDC]],TableMJRUJOURN[],7,FALSE),"")</f>
        <v/>
      </c>
      <c r="V283" s="65" t="str">
        <f>IFERROR(VLOOKUP(TableHandbook[[#This Row],[UDC]],TableMJRUKORES[],7,FALSE),"")</f>
        <v/>
      </c>
      <c r="W283" s="65" t="str">
        <f>IFERROR(VLOOKUP(TableHandbook[[#This Row],[UDC]],TableMJRULITCU[],7,FALSE),"")</f>
        <v>Option</v>
      </c>
      <c r="X283" s="65" t="str">
        <f>IFERROR(VLOOKUP(TableHandbook[[#This Row],[UDC]],TableMJRUNETCM[],7,FALSE),"")</f>
        <v/>
      </c>
      <c r="Y283" s="65" t="str">
        <f>IFERROR(VLOOKUP(TableHandbook[[#This Row],[UDC]],TableMJRUPRWRP[],7,FALSE),"")</f>
        <v>Core</v>
      </c>
      <c r="Z283" s="65" t="str">
        <f>IFERROR(VLOOKUP(TableHandbook[[#This Row],[UDC]],TableMJRUSCSTR[],7,FALSE),"")</f>
        <v/>
      </c>
      <c r="AA283" s="74"/>
      <c r="AB283" s="43" t="str">
        <f>IFERROR(VLOOKUP(TableHandbook[[#This Row],[UDC]],TableMJRUBSLAW[],7,FALSE),"")</f>
        <v/>
      </c>
      <c r="AC283" s="66" t="str">
        <f>IFERROR(VLOOKUP(TableHandbook[[#This Row],[UDC]],TableMJRUECONS[],7,FALSE),"")</f>
        <v/>
      </c>
      <c r="AD283" s="66" t="str">
        <f>IFERROR(VLOOKUP(TableHandbook[[#This Row],[UDC]],TableMJRUFINAR[],7,FALSE),"")</f>
        <v/>
      </c>
      <c r="AE283" s="66" t="str">
        <f>IFERROR(VLOOKUP(TableHandbook[[#This Row],[UDC]],TableMJRUFINCE[],7,FALSE),"")</f>
        <v/>
      </c>
      <c r="AF283" s="66" t="str">
        <f>IFERROR(VLOOKUP(TableHandbook[[#This Row],[UDC]],TableMJRUHRMGM[],7,FALSE),"")</f>
        <v/>
      </c>
      <c r="AG283" s="66" t="str">
        <f>IFERROR(VLOOKUP(TableHandbook[[#This Row],[UDC]],TableMJRUINTBU[],7,FALSE),"")</f>
        <v/>
      </c>
      <c r="AH283" s="66" t="str">
        <f>IFERROR(VLOOKUP(TableHandbook[[#This Row],[UDC]],TableMJRULGSCM[],7,FALSE),"")</f>
        <v/>
      </c>
      <c r="AI283" s="66" t="str">
        <f>IFERROR(VLOOKUP(TableHandbook[[#This Row],[UDC]],TableMJRUMNGMT[],7,FALSE),"")</f>
        <v/>
      </c>
      <c r="AJ283" s="66" t="str">
        <f>IFERROR(VLOOKUP(TableHandbook[[#This Row],[UDC]],TableMJRUMRKTG[],7,FALSE),"")</f>
        <v/>
      </c>
      <c r="AK283" s="66" t="str">
        <f>IFERROR(VLOOKUP(TableHandbook[[#This Row],[UDC]],TableMJRUPRPTY[],7,FALSE),"")</f>
        <v/>
      </c>
      <c r="AL283" s="66" t="str">
        <f>IFERROR(VLOOKUP(TableHandbook[[#This Row],[UDC]],TableMJRUSCRAR[],7,FALSE),"")</f>
        <v/>
      </c>
      <c r="AM283" s="66" t="str">
        <f>IFERROR(VLOOKUP(TableHandbook[[#This Row],[UDC]],TableMJRUTHTRA[],7,FALSE),"")</f>
        <v/>
      </c>
      <c r="AN283" s="66" t="str">
        <f>IFERROR(VLOOKUP(TableHandbook[[#This Row],[UDC]],TableMJRUTRHOS[],7,FALSE),"")</f>
        <v/>
      </c>
    </row>
    <row r="284" spans="1:40" x14ac:dyDescent="0.25">
      <c r="A284" s="8" t="s">
        <v>830</v>
      </c>
      <c r="B284" s="9">
        <v>1</v>
      </c>
      <c r="C284" s="8"/>
      <c r="D284" s="8" t="s">
        <v>831</v>
      </c>
      <c r="E284" s="9">
        <v>25</v>
      </c>
      <c r="F284" s="49" t="s">
        <v>829</v>
      </c>
      <c r="G284" s="82" t="str">
        <f>IFERROR(IF(VLOOKUP(TableHandbook[[#This Row],[UDC]],TableAvailabilities[],2,FALSE)&gt;0,"Y",""),"")</f>
        <v/>
      </c>
      <c r="H284" s="83" t="str">
        <f>IFERROR(IF(VLOOKUP(TableHandbook[[#This Row],[UDC]],TableAvailabilities[],3,FALSE)&gt;0,"Y",""),"")</f>
        <v/>
      </c>
      <c r="I284" s="84" t="str">
        <f>IFERROR(IF(VLOOKUP(TableHandbook[[#This Row],[UDC]],TableAvailabilities[],4,FALSE)&gt;0,"Y",""),"")</f>
        <v/>
      </c>
      <c r="J284" s="85" t="str">
        <f>IFERROR(IF(VLOOKUP(TableHandbook[[#This Row],[UDC]],TableAvailabilities[],5,FALSE)&gt;0,"Y",""),"")</f>
        <v/>
      </c>
      <c r="K284" s="168" t="s">
        <v>535</v>
      </c>
      <c r="L284" s="160" t="str">
        <f>IFERROR(VLOOKUP(TableHandbook[[#This Row],[UDC]],TableBARTS[],7,FALSE),"")</f>
        <v/>
      </c>
      <c r="M284" s="65" t="str">
        <f>IFERROR(VLOOKUP(TableHandbook[[#This Row],[UDC]],TableMJRUANTSO[],7,FALSE),"")</f>
        <v/>
      </c>
      <c r="N284" s="65" t="str">
        <f>IFERROR(VLOOKUP(TableHandbook[[#This Row],[UDC]],TableMJRUCHNSE[],7,FALSE),"")</f>
        <v/>
      </c>
      <c r="O284" s="65" t="str">
        <f>IFERROR(VLOOKUP(TableHandbook[[#This Row],[UDC]],TableMJRUCRWRI[],7,FALSE),"")</f>
        <v/>
      </c>
      <c r="P284" s="65" t="str">
        <f>IFERROR(VLOOKUP(TableHandbook[[#This Row],[UDC]],TableMJRUGEOGR[],7,FALSE),"")</f>
        <v/>
      </c>
      <c r="Q284" s="65" t="str">
        <f>IFERROR(VLOOKUP(TableHandbook[[#This Row],[UDC]],TableMJRUHISTR[],7,FALSE),"")</f>
        <v/>
      </c>
      <c r="R284" s="65" t="str">
        <f>IFERROR(VLOOKUP(TableHandbook[[#This Row],[UDC]],TableMJRUINAUC[],7,FALSE),"")</f>
        <v/>
      </c>
      <c r="S284" s="65" t="str">
        <f>IFERROR(VLOOKUP(TableHandbook[[#This Row],[UDC]],TableMJRUINTRL[],7,FALSE),"")</f>
        <v/>
      </c>
      <c r="T284" s="65" t="str">
        <f>IFERROR(VLOOKUP(TableHandbook[[#This Row],[UDC]],TableMJRUJAPAN[],7,FALSE),"")</f>
        <v/>
      </c>
      <c r="U284" s="65" t="str">
        <f>IFERROR(VLOOKUP(TableHandbook[[#This Row],[UDC]],TableMJRUJOURN[],7,FALSE),"")</f>
        <v/>
      </c>
      <c r="V284" s="65" t="str">
        <f>IFERROR(VLOOKUP(TableHandbook[[#This Row],[UDC]],TableMJRUKORES[],7,FALSE),"")</f>
        <v/>
      </c>
      <c r="W284" s="65" t="str">
        <f>IFERROR(VLOOKUP(TableHandbook[[#This Row],[UDC]],TableMJRULITCU[],7,FALSE),"")</f>
        <v/>
      </c>
      <c r="X284" s="65" t="str">
        <f>IFERROR(VLOOKUP(TableHandbook[[#This Row],[UDC]],TableMJRUNETCM[],7,FALSE),"")</f>
        <v/>
      </c>
      <c r="Y284" s="65" t="str">
        <f>IFERROR(VLOOKUP(TableHandbook[[#This Row],[UDC]],TableMJRUPRWRP[],7,FALSE),"")</f>
        <v/>
      </c>
      <c r="Z284" s="65" t="str">
        <f>IFERROR(VLOOKUP(TableHandbook[[#This Row],[UDC]],TableMJRUSCSTR[],7,FALSE),"")</f>
        <v/>
      </c>
      <c r="AA284" s="74"/>
      <c r="AB284" s="43" t="str">
        <f>IFERROR(VLOOKUP(TableHandbook[[#This Row],[UDC]],TableMJRUBSLAW[],7,FALSE),"")</f>
        <v/>
      </c>
      <c r="AC284" s="66" t="str">
        <f>IFERROR(VLOOKUP(TableHandbook[[#This Row],[UDC]],TableMJRUECONS[],7,FALSE),"")</f>
        <v/>
      </c>
      <c r="AD284" s="66" t="str">
        <f>IFERROR(VLOOKUP(TableHandbook[[#This Row],[UDC]],TableMJRUFINAR[],7,FALSE),"")</f>
        <v/>
      </c>
      <c r="AE284" s="66" t="str">
        <f>IFERROR(VLOOKUP(TableHandbook[[#This Row],[UDC]],TableMJRUFINCE[],7,FALSE),"")</f>
        <v/>
      </c>
      <c r="AF284" s="66" t="str">
        <f>IFERROR(VLOOKUP(TableHandbook[[#This Row],[UDC]],TableMJRUHRMGM[],7,FALSE),"")</f>
        <v/>
      </c>
      <c r="AG284" s="66" t="str">
        <f>IFERROR(VLOOKUP(TableHandbook[[#This Row],[UDC]],TableMJRUINTBU[],7,FALSE),"")</f>
        <v/>
      </c>
      <c r="AH284" s="66" t="str">
        <f>IFERROR(VLOOKUP(TableHandbook[[#This Row],[UDC]],TableMJRULGSCM[],7,FALSE),"")</f>
        <v/>
      </c>
      <c r="AI284" s="66" t="str">
        <f>IFERROR(VLOOKUP(TableHandbook[[#This Row],[UDC]],TableMJRUMNGMT[],7,FALSE),"")</f>
        <v/>
      </c>
      <c r="AJ284" s="66" t="str">
        <f>IFERROR(VLOOKUP(TableHandbook[[#This Row],[UDC]],TableMJRUMRKTG[],7,FALSE),"")</f>
        <v/>
      </c>
      <c r="AK284" s="66" t="str">
        <f>IFERROR(VLOOKUP(TableHandbook[[#This Row],[UDC]],TableMJRUPRPTY[],7,FALSE),"")</f>
        <v/>
      </c>
      <c r="AL284" s="66" t="str">
        <f>IFERROR(VLOOKUP(TableHandbook[[#This Row],[UDC]],TableMJRUSCRAR[],7,FALSE),"")</f>
        <v/>
      </c>
      <c r="AM284" s="66" t="str">
        <f>IFERROR(VLOOKUP(TableHandbook[[#This Row],[UDC]],TableMJRUTHTRA[],7,FALSE),"")</f>
        <v/>
      </c>
      <c r="AN284" s="66" t="str">
        <f>IFERROR(VLOOKUP(TableHandbook[[#This Row],[UDC]],TableMJRUTRHOS[],7,FALSE),"")</f>
        <v/>
      </c>
    </row>
    <row r="285" spans="1:40" ht="26.25" x14ac:dyDescent="0.25">
      <c r="A285" s="8" t="s">
        <v>832</v>
      </c>
      <c r="B285" s="9">
        <v>1</v>
      </c>
      <c r="C285" s="8"/>
      <c r="D285" s="8" t="s">
        <v>833</v>
      </c>
      <c r="E285" s="9">
        <v>25</v>
      </c>
      <c r="F285" s="49" t="s">
        <v>834</v>
      </c>
      <c r="G285" s="82" t="str">
        <f>IFERROR(IF(VLOOKUP(TableHandbook[[#This Row],[UDC]],TableAvailabilities[],2,FALSE)&gt;0,"Y",""),"")</f>
        <v/>
      </c>
      <c r="H285" s="83" t="str">
        <f>IFERROR(IF(VLOOKUP(TableHandbook[[#This Row],[UDC]],TableAvailabilities[],3,FALSE)&gt;0,"Y",""),"")</f>
        <v/>
      </c>
      <c r="I285" s="84" t="str">
        <f>IFERROR(IF(VLOOKUP(TableHandbook[[#This Row],[UDC]],TableAvailabilities[],4,FALSE)&gt;0,"Y",""),"")</f>
        <v/>
      </c>
      <c r="J285" s="85" t="str">
        <f>IFERROR(IF(VLOOKUP(TableHandbook[[#This Row],[UDC]],TableAvailabilities[],5,FALSE)&gt;0,"Y",""),"")</f>
        <v/>
      </c>
      <c r="K285" s="168" t="s">
        <v>757</v>
      </c>
      <c r="L285" s="160" t="str">
        <f>IFERROR(VLOOKUP(TableHandbook[[#This Row],[UDC]],TableBARTS[],7,FALSE),"")</f>
        <v/>
      </c>
      <c r="M285" s="65" t="str">
        <f>IFERROR(VLOOKUP(TableHandbook[[#This Row],[UDC]],TableMJRUANTSO[],7,FALSE),"")</f>
        <v/>
      </c>
      <c r="N285" s="47" t="str">
        <f>IFERROR(VLOOKUP(TableHandbook[[#This Row],[UDC]],TableMJRUCHNSE[],7,FALSE),"")</f>
        <v/>
      </c>
      <c r="O285" s="47" t="str">
        <f>IFERROR(VLOOKUP(TableHandbook[[#This Row],[UDC]],TableMJRUCRWRI[],7,FALSE),"")</f>
        <v/>
      </c>
      <c r="P285" s="47" t="str">
        <f>IFERROR(VLOOKUP(TableHandbook[[#This Row],[UDC]],TableMJRUGEOGR[],7,FALSE),"")</f>
        <v/>
      </c>
      <c r="Q285" s="47" t="str">
        <f>IFERROR(VLOOKUP(TableHandbook[[#This Row],[UDC]],TableMJRUHISTR[],7,FALSE),"")</f>
        <v/>
      </c>
      <c r="R285" s="47" t="str">
        <f>IFERROR(VLOOKUP(TableHandbook[[#This Row],[UDC]],TableMJRUINAUC[],7,FALSE),"")</f>
        <v/>
      </c>
      <c r="S285" s="47" t="str">
        <f>IFERROR(VLOOKUP(TableHandbook[[#This Row],[UDC]],TableMJRUINTRL[],7,FALSE),"")</f>
        <v/>
      </c>
      <c r="T285" s="47" t="str">
        <f>IFERROR(VLOOKUP(TableHandbook[[#This Row],[UDC]],TableMJRUJAPAN[],7,FALSE),"")</f>
        <v/>
      </c>
      <c r="U285" s="47" t="str">
        <f>IFERROR(VLOOKUP(TableHandbook[[#This Row],[UDC]],TableMJRUJOURN[],7,FALSE),"")</f>
        <v/>
      </c>
      <c r="V285" s="65" t="str">
        <f>IFERROR(VLOOKUP(TableHandbook[[#This Row],[UDC]],TableMJRUKORES[],7,FALSE),"")</f>
        <v/>
      </c>
      <c r="W285" s="65" t="str">
        <f>IFERROR(VLOOKUP(TableHandbook[[#This Row],[UDC]],TableMJRULITCU[],7,FALSE),"")</f>
        <v/>
      </c>
      <c r="X285" s="65" t="str">
        <f>IFERROR(VLOOKUP(TableHandbook[[#This Row],[UDC]],TableMJRUNETCM[],7,FALSE),"")</f>
        <v/>
      </c>
      <c r="Y285" s="65" t="str">
        <f>IFERROR(VLOOKUP(TableHandbook[[#This Row],[UDC]],TableMJRUPRWRP[],7,FALSE),"")</f>
        <v/>
      </c>
      <c r="Z285" s="65" t="str">
        <f>IFERROR(VLOOKUP(TableHandbook[[#This Row],[UDC]],TableMJRUSCSTR[],7,FALSE),"")</f>
        <v/>
      </c>
      <c r="AA285" s="74"/>
      <c r="AB285" s="43" t="str">
        <f>IFERROR(VLOOKUP(TableHandbook[[#This Row],[UDC]],TableMJRUBSLAW[],7,FALSE),"")</f>
        <v/>
      </c>
      <c r="AC285" s="66" t="str">
        <f>IFERROR(VLOOKUP(TableHandbook[[#This Row],[UDC]],TableMJRUECONS[],7,FALSE),"")</f>
        <v/>
      </c>
      <c r="AD285" s="66" t="str">
        <f>IFERROR(VLOOKUP(TableHandbook[[#This Row],[UDC]],TableMJRUFINAR[],7,FALSE),"")</f>
        <v/>
      </c>
      <c r="AE285" s="66" t="str">
        <f>IFERROR(VLOOKUP(TableHandbook[[#This Row],[UDC]],TableMJRUFINCE[],7,FALSE),"")</f>
        <v/>
      </c>
      <c r="AF285" s="66" t="str">
        <f>IFERROR(VLOOKUP(TableHandbook[[#This Row],[UDC]],TableMJRUHRMGM[],7,FALSE),"")</f>
        <v/>
      </c>
      <c r="AG285" s="66" t="str">
        <f>IFERROR(VLOOKUP(TableHandbook[[#This Row],[UDC]],TableMJRUINTBU[],7,FALSE),"")</f>
        <v/>
      </c>
      <c r="AH285" s="66" t="str">
        <f>IFERROR(VLOOKUP(TableHandbook[[#This Row],[UDC]],TableMJRULGSCM[],7,FALSE),"")</f>
        <v/>
      </c>
      <c r="AI285" s="66" t="str">
        <f>IFERROR(VLOOKUP(TableHandbook[[#This Row],[UDC]],TableMJRUMNGMT[],7,FALSE),"")</f>
        <v/>
      </c>
      <c r="AJ285" s="66" t="str">
        <f>IFERROR(VLOOKUP(TableHandbook[[#This Row],[UDC]],TableMJRUMRKTG[],7,FALSE),"")</f>
        <v/>
      </c>
      <c r="AK285" s="66" t="str">
        <f>IFERROR(VLOOKUP(TableHandbook[[#This Row],[UDC]],TableMJRUPRPTY[],7,FALSE),"")</f>
        <v/>
      </c>
      <c r="AL285" s="66" t="str">
        <f>IFERROR(VLOOKUP(TableHandbook[[#This Row],[UDC]],TableMJRUSCRAR[],7,FALSE),"")</f>
        <v/>
      </c>
      <c r="AM285" s="66" t="str">
        <f>IFERROR(VLOOKUP(TableHandbook[[#This Row],[UDC]],TableMJRUTHTRA[],7,FALSE),"")</f>
        <v/>
      </c>
      <c r="AN285" s="66" t="str">
        <f>IFERROR(VLOOKUP(TableHandbook[[#This Row],[UDC]],TableMJRUTRHOS[],7,FALSE),"")</f>
        <v/>
      </c>
    </row>
    <row r="286" spans="1:40" x14ac:dyDescent="0.25">
      <c r="A286" s="8" t="s">
        <v>291</v>
      </c>
      <c r="B286" s="9">
        <v>1</v>
      </c>
      <c r="C286" s="8"/>
      <c r="D286" s="8" t="s">
        <v>835</v>
      </c>
      <c r="E286" s="9">
        <v>25</v>
      </c>
      <c r="F286" s="49" t="s">
        <v>836</v>
      </c>
      <c r="G286" s="82" t="str">
        <f>IFERROR(IF(VLOOKUP(TableHandbook[[#This Row],[UDC]],TableAvailabilities[],2,FALSE)&gt;0,"Y",""),"")</f>
        <v>Y</v>
      </c>
      <c r="H286" s="83" t="str">
        <f>IFERROR(IF(VLOOKUP(TableHandbook[[#This Row],[UDC]],TableAvailabilities[],3,FALSE)&gt;0,"Y",""),"")</f>
        <v/>
      </c>
      <c r="I286" s="84" t="str">
        <f>IFERROR(IF(VLOOKUP(TableHandbook[[#This Row],[UDC]],TableAvailabilities[],4,FALSE)&gt;0,"Y",""),"")</f>
        <v/>
      </c>
      <c r="J286" s="85" t="str">
        <f>IFERROR(IF(VLOOKUP(TableHandbook[[#This Row],[UDC]],TableAvailabilities[],5,FALSE)&gt;0,"Y",""),"")</f>
        <v/>
      </c>
      <c r="K286" s="168"/>
      <c r="L286" s="160" t="str">
        <f>IFERROR(VLOOKUP(TableHandbook[[#This Row],[UDC]],TableBARTS[],7,FALSE),"")</f>
        <v/>
      </c>
      <c r="M286" s="65" t="str">
        <f>IFERROR(VLOOKUP(TableHandbook[[#This Row],[UDC]],TableMJRUANTSO[],7,FALSE),"")</f>
        <v/>
      </c>
      <c r="N286" s="47" t="str">
        <f>IFERROR(VLOOKUP(TableHandbook[[#This Row],[UDC]],TableMJRUCHNSE[],7,FALSE),"")</f>
        <v/>
      </c>
      <c r="O286" s="47" t="str">
        <f>IFERROR(VLOOKUP(TableHandbook[[#This Row],[UDC]],TableMJRUCRWRI[],7,FALSE),"")</f>
        <v/>
      </c>
      <c r="P286" s="47" t="str">
        <f>IFERROR(VLOOKUP(TableHandbook[[#This Row],[UDC]],TableMJRUGEOGR[],7,FALSE),"")</f>
        <v/>
      </c>
      <c r="Q286" s="47" t="str">
        <f>IFERROR(VLOOKUP(TableHandbook[[#This Row],[UDC]],TableMJRUHISTR[],7,FALSE),"")</f>
        <v/>
      </c>
      <c r="R286" s="47" t="str">
        <f>IFERROR(VLOOKUP(TableHandbook[[#This Row],[UDC]],TableMJRUINAUC[],7,FALSE),"")</f>
        <v/>
      </c>
      <c r="S286" s="47" t="str">
        <f>IFERROR(VLOOKUP(TableHandbook[[#This Row],[UDC]],TableMJRUINTRL[],7,FALSE),"")</f>
        <v/>
      </c>
      <c r="T286" s="47" t="str">
        <f>IFERROR(VLOOKUP(TableHandbook[[#This Row],[UDC]],TableMJRUJAPAN[],7,FALSE),"")</f>
        <v/>
      </c>
      <c r="U286" s="47" t="str">
        <f>IFERROR(VLOOKUP(TableHandbook[[#This Row],[UDC]],TableMJRUJOURN[],7,FALSE),"")</f>
        <v/>
      </c>
      <c r="V286" s="65" t="str">
        <f>IFERROR(VLOOKUP(TableHandbook[[#This Row],[UDC]],TableMJRUKORES[],7,FALSE),"")</f>
        <v/>
      </c>
      <c r="W286" s="65" t="str">
        <f>IFERROR(VLOOKUP(TableHandbook[[#This Row],[UDC]],TableMJRULITCU[],7,FALSE),"")</f>
        <v/>
      </c>
      <c r="X286" s="65" t="str">
        <f>IFERROR(VLOOKUP(TableHandbook[[#This Row],[UDC]],TableMJRUNETCM[],7,FALSE),"")</f>
        <v/>
      </c>
      <c r="Y286" s="65" t="str">
        <f>IFERROR(VLOOKUP(TableHandbook[[#This Row],[UDC]],TableMJRUPRWRP[],7,FALSE),"")</f>
        <v>Core</v>
      </c>
      <c r="Z286" s="65" t="str">
        <f>IFERROR(VLOOKUP(TableHandbook[[#This Row],[UDC]],TableMJRUSCSTR[],7,FALSE),"")</f>
        <v/>
      </c>
      <c r="AA286" s="74"/>
      <c r="AB286" s="43" t="str">
        <f>IFERROR(VLOOKUP(TableHandbook[[#This Row],[UDC]],TableMJRUBSLAW[],7,FALSE),"")</f>
        <v/>
      </c>
      <c r="AC286" s="66" t="str">
        <f>IFERROR(VLOOKUP(TableHandbook[[#This Row],[UDC]],TableMJRUECONS[],7,FALSE),"")</f>
        <v/>
      </c>
      <c r="AD286" s="66" t="str">
        <f>IFERROR(VLOOKUP(TableHandbook[[#This Row],[UDC]],TableMJRUFINAR[],7,FALSE),"")</f>
        <v/>
      </c>
      <c r="AE286" s="66" t="str">
        <f>IFERROR(VLOOKUP(TableHandbook[[#This Row],[UDC]],TableMJRUFINCE[],7,FALSE),"")</f>
        <v/>
      </c>
      <c r="AF286" s="66" t="str">
        <f>IFERROR(VLOOKUP(TableHandbook[[#This Row],[UDC]],TableMJRUHRMGM[],7,FALSE),"")</f>
        <v/>
      </c>
      <c r="AG286" s="66" t="str">
        <f>IFERROR(VLOOKUP(TableHandbook[[#This Row],[UDC]],TableMJRUINTBU[],7,FALSE),"")</f>
        <v/>
      </c>
      <c r="AH286" s="66" t="str">
        <f>IFERROR(VLOOKUP(TableHandbook[[#This Row],[UDC]],TableMJRULGSCM[],7,FALSE),"")</f>
        <v/>
      </c>
      <c r="AI286" s="66" t="str">
        <f>IFERROR(VLOOKUP(TableHandbook[[#This Row],[UDC]],TableMJRUMNGMT[],7,FALSE),"")</f>
        <v/>
      </c>
      <c r="AJ286" s="66" t="str">
        <f>IFERROR(VLOOKUP(TableHandbook[[#This Row],[UDC]],TableMJRUMRKTG[],7,FALSE),"")</f>
        <v/>
      </c>
      <c r="AK286" s="66" t="str">
        <f>IFERROR(VLOOKUP(TableHandbook[[#This Row],[UDC]],TableMJRUPRPTY[],7,FALSE),"")</f>
        <v/>
      </c>
      <c r="AL286" s="66" t="str">
        <f>IFERROR(VLOOKUP(TableHandbook[[#This Row],[UDC]],TableMJRUSCRAR[],7,FALSE),"")</f>
        <v/>
      </c>
      <c r="AM286" s="66" t="str">
        <f>IFERROR(VLOOKUP(TableHandbook[[#This Row],[UDC]],TableMJRUTHTRA[],7,FALSE),"")</f>
        <v/>
      </c>
      <c r="AN286" s="66" t="str">
        <f>IFERROR(VLOOKUP(TableHandbook[[#This Row],[UDC]],TableMJRUTRHOS[],7,FALSE),"")</f>
        <v/>
      </c>
    </row>
    <row r="287" spans="1:40" x14ac:dyDescent="0.25">
      <c r="A287" s="8" t="s">
        <v>68</v>
      </c>
      <c r="B287" s="9">
        <v>2</v>
      </c>
      <c r="C287" s="8"/>
      <c r="D287" s="8" t="s">
        <v>837</v>
      </c>
      <c r="E287" s="9">
        <v>25</v>
      </c>
      <c r="F287" s="49" t="s">
        <v>526</v>
      </c>
      <c r="G287" s="82" t="str">
        <f>IFERROR(IF(VLOOKUP(TableHandbook[[#This Row],[UDC]],TableAvailabilities[],2,FALSE)&gt;0,"Y",""),"")</f>
        <v>Y</v>
      </c>
      <c r="H287" s="83" t="str">
        <f>IFERROR(IF(VLOOKUP(TableHandbook[[#This Row],[UDC]],TableAvailabilities[],3,FALSE)&gt;0,"Y",""),"")</f>
        <v/>
      </c>
      <c r="I287" s="84" t="str">
        <f>IFERROR(IF(VLOOKUP(TableHandbook[[#This Row],[UDC]],TableAvailabilities[],4,FALSE)&gt;0,"Y",""),"")</f>
        <v>Y</v>
      </c>
      <c r="J287" s="85" t="str">
        <f>IFERROR(IF(VLOOKUP(TableHandbook[[#This Row],[UDC]],TableAvailabilities[],5,FALSE)&gt;0,"Y",""),"")</f>
        <v/>
      </c>
      <c r="K287" s="168"/>
      <c r="L287" s="160" t="str">
        <f>IFERROR(VLOOKUP(TableHandbook[[#This Row],[UDC]],TableBARTS[],7,FALSE),"")</f>
        <v>Option</v>
      </c>
      <c r="M287" s="65" t="str">
        <f>IFERROR(VLOOKUP(TableHandbook[[#This Row],[UDC]],TableMJRUANTSO[],7,FALSE),"")</f>
        <v/>
      </c>
      <c r="N287" s="47" t="str">
        <f>IFERROR(VLOOKUP(TableHandbook[[#This Row],[UDC]],TableMJRUCHNSE[],7,FALSE),"")</f>
        <v/>
      </c>
      <c r="O287" s="47" t="str">
        <f>IFERROR(VLOOKUP(TableHandbook[[#This Row],[UDC]],TableMJRUCRWRI[],7,FALSE),"")</f>
        <v/>
      </c>
      <c r="P287" s="47" t="str">
        <f>IFERROR(VLOOKUP(TableHandbook[[#This Row],[UDC]],TableMJRUGEOGR[],7,FALSE),"")</f>
        <v/>
      </c>
      <c r="Q287" s="47" t="str">
        <f>IFERROR(VLOOKUP(TableHandbook[[#This Row],[UDC]],TableMJRUHISTR[],7,FALSE),"")</f>
        <v/>
      </c>
      <c r="R287" s="47" t="str">
        <f>IFERROR(VLOOKUP(TableHandbook[[#This Row],[UDC]],TableMJRUINAUC[],7,FALSE),"")</f>
        <v/>
      </c>
      <c r="S287" s="47" t="str">
        <f>IFERROR(VLOOKUP(TableHandbook[[#This Row],[UDC]],TableMJRUINTRL[],7,FALSE),"")</f>
        <v/>
      </c>
      <c r="T287" s="47" t="str">
        <f>IFERROR(VLOOKUP(TableHandbook[[#This Row],[UDC]],TableMJRUJAPAN[],7,FALSE),"")</f>
        <v/>
      </c>
      <c r="U287" s="47" t="str">
        <f>IFERROR(VLOOKUP(TableHandbook[[#This Row],[UDC]],TableMJRUJOURN[],7,FALSE),"")</f>
        <v/>
      </c>
      <c r="V287" s="65" t="str">
        <f>IFERROR(VLOOKUP(TableHandbook[[#This Row],[UDC]],TableMJRUKORES[],7,FALSE),"")</f>
        <v/>
      </c>
      <c r="W287" s="65" t="str">
        <f>IFERROR(VLOOKUP(TableHandbook[[#This Row],[UDC]],TableMJRULITCU[],7,FALSE),"")</f>
        <v/>
      </c>
      <c r="X287" s="65" t="str">
        <f>IFERROR(VLOOKUP(TableHandbook[[#This Row],[UDC]],TableMJRUNETCM[],7,FALSE),"")</f>
        <v/>
      </c>
      <c r="Y287" s="65" t="str">
        <f>IFERROR(VLOOKUP(TableHandbook[[#This Row],[UDC]],TableMJRUPRWRP[],7,FALSE),"")</f>
        <v/>
      </c>
      <c r="Z287" s="65" t="str">
        <f>IFERROR(VLOOKUP(TableHandbook[[#This Row],[UDC]],TableMJRUSCSTR[],7,FALSE),"")</f>
        <v/>
      </c>
      <c r="AA287" s="74"/>
      <c r="AB287" s="43" t="str">
        <f>IFERROR(VLOOKUP(TableHandbook[[#This Row],[UDC]],TableMJRUBSLAW[],7,FALSE),"")</f>
        <v/>
      </c>
      <c r="AC287" s="66" t="str">
        <f>IFERROR(VLOOKUP(TableHandbook[[#This Row],[UDC]],TableMJRUECONS[],7,FALSE),"")</f>
        <v/>
      </c>
      <c r="AD287" s="66" t="str">
        <f>IFERROR(VLOOKUP(TableHandbook[[#This Row],[UDC]],TableMJRUFINAR[],7,FALSE),"")</f>
        <v/>
      </c>
      <c r="AE287" s="66" t="str">
        <f>IFERROR(VLOOKUP(TableHandbook[[#This Row],[UDC]],TableMJRUFINCE[],7,FALSE),"")</f>
        <v/>
      </c>
      <c r="AF287" s="66" t="str">
        <f>IFERROR(VLOOKUP(TableHandbook[[#This Row],[UDC]],TableMJRUHRMGM[],7,FALSE),"")</f>
        <v/>
      </c>
      <c r="AG287" s="66" t="str">
        <f>IFERROR(VLOOKUP(TableHandbook[[#This Row],[UDC]],TableMJRUINTBU[],7,FALSE),"")</f>
        <v/>
      </c>
      <c r="AH287" s="66" t="str">
        <f>IFERROR(VLOOKUP(TableHandbook[[#This Row],[UDC]],TableMJRULGSCM[],7,FALSE),"")</f>
        <v/>
      </c>
      <c r="AI287" s="66" t="str">
        <f>IFERROR(VLOOKUP(TableHandbook[[#This Row],[UDC]],TableMJRUMNGMT[],7,FALSE),"")</f>
        <v/>
      </c>
      <c r="AJ287" s="66" t="str">
        <f>IFERROR(VLOOKUP(TableHandbook[[#This Row],[UDC]],TableMJRUMRKTG[],7,FALSE),"")</f>
        <v/>
      </c>
      <c r="AK287" s="66" t="str">
        <f>IFERROR(VLOOKUP(TableHandbook[[#This Row],[UDC]],TableMJRUPRPTY[],7,FALSE),"")</f>
        <v/>
      </c>
      <c r="AL287" s="66" t="str">
        <f>IFERROR(VLOOKUP(TableHandbook[[#This Row],[UDC]],TableMJRUSCRAR[],7,FALSE),"")</f>
        <v/>
      </c>
      <c r="AM287" s="66" t="str">
        <f>IFERROR(VLOOKUP(TableHandbook[[#This Row],[UDC]],TableMJRUTHTRA[],7,FALSE),"")</f>
        <v/>
      </c>
      <c r="AN287" s="66" t="str">
        <f>IFERROR(VLOOKUP(TableHandbook[[#This Row],[UDC]],TableMJRUTRHOS[],7,FALSE),"")</f>
        <v/>
      </c>
    </row>
    <row r="288" spans="1:40" x14ac:dyDescent="0.25">
      <c r="A288" s="8" t="s">
        <v>431</v>
      </c>
      <c r="B288" s="9">
        <v>1</v>
      </c>
      <c r="C288" s="8"/>
      <c r="D288" s="8" t="s">
        <v>838</v>
      </c>
      <c r="E288" s="9">
        <v>25</v>
      </c>
      <c r="F288" s="49" t="s">
        <v>526</v>
      </c>
      <c r="G288" s="82" t="str">
        <f>IFERROR(IF(VLOOKUP(TableHandbook[[#This Row],[UDC]],TableAvailabilities[],2,FALSE)&gt;0,"Y",""),"")</f>
        <v/>
      </c>
      <c r="H288" s="83" t="str">
        <f>IFERROR(IF(VLOOKUP(TableHandbook[[#This Row],[UDC]],TableAvailabilities[],3,FALSE)&gt;0,"Y",""),"")</f>
        <v/>
      </c>
      <c r="I288" s="84" t="str">
        <f>IFERROR(IF(VLOOKUP(TableHandbook[[#This Row],[UDC]],TableAvailabilities[],4,FALSE)&gt;0,"Y",""),"")</f>
        <v>Y</v>
      </c>
      <c r="J288" s="85" t="str">
        <f>IFERROR(IF(VLOOKUP(TableHandbook[[#This Row],[UDC]],TableAvailabilities[],5,FALSE)&gt;0,"Y",""),"")</f>
        <v/>
      </c>
      <c r="K288" s="168"/>
      <c r="L288" s="160" t="str">
        <f>IFERROR(VLOOKUP(TableHandbook[[#This Row],[UDC]],TableBARTS[],7,FALSE),"")</f>
        <v/>
      </c>
      <c r="M288" s="65" t="str">
        <f>IFERROR(VLOOKUP(TableHandbook[[#This Row],[UDC]],TableMJRUANTSO[],7,FALSE),"")</f>
        <v/>
      </c>
      <c r="N288" s="47" t="str">
        <f>IFERROR(VLOOKUP(TableHandbook[[#This Row],[UDC]],TableMJRUCHNSE[],7,FALSE),"")</f>
        <v/>
      </c>
      <c r="O288" s="47" t="str">
        <f>IFERROR(VLOOKUP(TableHandbook[[#This Row],[UDC]],TableMJRUCRWRI[],7,FALSE),"")</f>
        <v/>
      </c>
      <c r="P288" s="47" t="str">
        <f>IFERROR(VLOOKUP(TableHandbook[[#This Row],[UDC]],TableMJRUGEOGR[],7,FALSE),"")</f>
        <v/>
      </c>
      <c r="Q288" s="47" t="str">
        <f>IFERROR(VLOOKUP(TableHandbook[[#This Row],[UDC]],TableMJRUHISTR[],7,FALSE),"")</f>
        <v/>
      </c>
      <c r="R288" s="47" t="str">
        <f>IFERROR(VLOOKUP(TableHandbook[[#This Row],[UDC]],TableMJRUINAUC[],7,FALSE),"")</f>
        <v/>
      </c>
      <c r="S288" s="47" t="str">
        <f>IFERROR(VLOOKUP(TableHandbook[[#This Row],[UDC]],TableMJRUINTRL[],7,FALSE),"")</f>
        <v/>
      </c>
      <c r="T288" s="47" t="str">
        <f>IFERROR(VLOOKUP(TableHandbook[[#This Row],[UDC]],TableMJRUJAPAN[],7,FALSE),"")</f>
        <v/>
      </c>
      <c r="U288" s="47" t="str">
        <f>IFERROR(VLOOKUP(TableHandbook[[#This Row],[UDC]],TableMJRUJOURN[],7,FALSE),"")</f>
        <v/>
      </c>
      <c r="V288" s="65" t="str">
        <f>IFERROR(VLOOKUP(TableHandbook[[#This Row],[UDC]],TableMJRUKORES[],7,FALSE),"")</f>
        <v/>
      </c>
      <c r="W288" s="65" t="str">
        <f>IFERROR(VLOOKUP(TableHandbook[[#This Row],[UDC]],TableMJRULITCU[],7,FALSE),"")</f>
        <v/>
      </c>
      <c r="X288" s="65" t="str">
        <f>IFERROR(VLOOKUP(TableHandbook[[#This Row],[UDC]],TableMJRUNETCM[],7,FALSE),"")</f>
        <v/>
      </c>
      <c r="Y288" s="65" t="str">
        <f>IFERROR(VLOOKUP(TableHandbook[[#This Row],[UDC]],TableMJRUPRWRP[],7,FALSE),"")</f>
        <v/>
      </c>
      <c r="Z288" s="65" t="str">
        <f>IFERROR(VLOOKUP(TableHandbook[[#This Row],[UDC]],TableMJRUSCSTR[],7,FALSE),"")</f>
        <v/>
      </c>
      <c r="AA288" s="74"/>
      <c r="AB288" s="43" t="str">
        <f>IFERROR(VLOOKUP(TableHandbook[[#This Row],[UDC]],TableMJRUBSLAW[],7,FALSE),"")</f>
        <v/>
      </c>
      <c r="AC288" s="66" t="str">
        <f>IFERROR(VLOOKUP(TableHandbook[[#This Row],[UDC]],TableMJRUECONS[],7,FALSE),"")</f>
        <v/>
      </c>
      <c r="AD288" s="66" t="str">
        <f>IFERROR(VLOOKUP(TableHandbook[[#This Row],[UDC]],TableMJRUFINAR[],7,FALSE),"")</f>
        <v/>
      </c>
      <c r="AE288" s="66" t="str">
        <f>IFERROR(VLOOKUP(TableHandbook[[#This Row],[UDC]],TableMJRUFINCE[],7,FALSE),"")</f>
        <v/>
      </c>
      <c r="AF288" s="66" t="str">
        <f>IFERROR(VLOOKUP(TableHandbook[[#This Row],[UDC]],TableMJRUHRMGM[],7,FALSE),"")</f>
        <v/>
      </c>
      <c r="AG288" s="66" t="str">
        <f>IFERROR(VLOOKUP(TableHandbook[[#This Row],[UDC]],TableMJRUINTBU[],7,FALSE),"")</f>
        <v/>
      </c>
      <c r="AH288" s="66" t="str">
        <f>IFERROR(VLOOKUP(TableHandbook[[#This Row],[UDC]],TableMJRULGSCM[],7,FALSE),"")</f>
        <v/>
      </c>
      <c r="AI288" s="66" t="str">
        <f>IFERROR(VLOOKUP(TableHandbook[[#This Row],[UDC]],TableMJRUMNGMT[],7,FALSE),"")</f>
        <v/>
      </c>
      <c r="AJ288" s="66" t="str">
        <f>IFERROR(VLOOKUP(TableHandbook[[#This Row],[UDC]],TableMJRUMRKTG[],7,FALSE),"")</f>
        <v/>
      </c>
      <c r="AK288" s="66" t="str">
        <f>IFERROR(VLOOKUP(TableHandbook[[#This Row],[UDC]],TableMJRUPRPTY[],7,FALSE),"")</f>
        <v/>
      </c>
      <c r="AL288" s="66" t="str">
        <f>IFERROR(VLOOKUP(TableHandbook[[#This Row],[UDC]],TableMJRUSCRAR[],7,FALSE),"")</f>
        <v>Core</v>
      </c>
      <c r="AM288" s="66" t="str">
        <f>IFERROR(VLOOKUP(TableHandbook[[#This Row],[UDC]],TableMJRUTHTRA[],7,FALSE),"")</f>
        <v/>
      </c>
      <c r="AN288" s="66" t="str">
        <f>IFERROR(VLOOKUP(TableHandbook[[#This Row],[UDC]],TableMJRUTRHOS[],7,FALSE),"")</f>
        <v/>
      </c>
    </row>
    <row r="289" spans="1:40" x14ac:dyDescent="0.25">
      <c r="A289" s="8" t="s">
        <v>335</v>
      </c>
      <c r="B289" s="9">
        <v>1</v>
      </c>
      <c r="C289" s="8"/>
      <c r="D289" s="8" t="s">
        <v>839</v>
      </c>
      <c r="E289" s="9">
        <v>25</v>
      </c>
      <c r="F289" s="49" t="s">
        <v>526</v>
      </c>
      <c r="G289" s="82" t="str">
        <f>IFERROR(IF(VLOOKUP(TableHandbook[[#This Row],[UDC]],TableAvailabilities[],2,FALSE)&gt;0,"Y",""),"")</f>
        <v/>
      </c>
      <c r="H289" s="83" t="str">
        <f>IFERROR(IF(VLOOKUP(TableHandbook[[#This Row],[UDC]],TableAvailabilities[],3,FALSE)&gt;0,"Y",""),"")</f>
        <v/>
      </c>
      <c r="I289" s="84" t="str">
        <f>IFERROR(IF(VLOOKUP(TableHandbook[[#This Row],[UDC]],TableAvailabilities[],4,FALSE)&gt;0,"Y",""),"")</f>
        <v>Y</v>
      </c>
      <c r="J289" s="85" t="str">
        <f>IFERROR(IF(VLOOKUP(TableHandbook[[#This Row],[UDC]],TableAvailabilities[],5,FALSE)&gt;0,"Y",""),"")</f>
        <v>Y</v>
      </c>
      <c r="K289" s="168"/>
      <c r="L289" s="160" t="str">
        <f>IFERROR(VLOOKUP(TableHandbook[[#This Row],[UDC]],TableBARTS[],7,FALSE),"")</f>
        <v/>
      </c>
      <c r="M289" s="65" t="str">
        <f>IFERROR(VLOOKUP(TableHandbook[[#This Row],[UDC]],TableMJRUANTSO[],7,FALSE),"")</f>
        <v/>
      </c>
      <c r="N289" s="47" t="str">
        <f>IFERROR(VLOOKUP(TableHandbook[[#This Row],[UDC]],TableMJRUCHNSE[],7,FALSE),"")</f>
        <v/>
      </c>
      <c r="O289" s="47" t="str">
        <f>IFERROR(VLOOKUP(TableHandbook[[#This Row],[UDC]],TableMJRUCRWRI[],7,FALSE),"")</f>
        <v/>
      </c>
      <c r="P289" s="47" t="str">
        <f>IFERROR(VLOOKUP(TableHandbook[[#This Row],[UDC]],TableMJRUGEOGR[],7,FALSE),"")</f>
        <v/>
      </c>
      <c r="Q289" s="47" t="str">
        <f>IFERROR(VLOOKUP(TableHandbook[[#This Row],[UDC]],TableMJRUHISTR[],7,FALSE),"")</f>
        <v/>
      </c>
      <c r="R289" s="47" t="str">
        <f>IFERROR(VLOOKUP(TableHandbook[[#This Row],[UDC]],TableMJRUINAUC[],7,FALSE),"")</f>
        <v/>
      </c>
      <c r="S289" s="47" t="str">
        <f>IFERROR(VLOOKUP(TableHandbook[[#This Row],[UDC]],TableMJRUINTRL[],7,FALSE),"")</f>
        <v/>
      </c>
      <c r="T289" s="47" t="str">
        <f>IFERROR(VLOOKUP(TableHandbook[[#This Row],[UDC]],TableMJRUJAPAN[],7,FALSE),"")</f>
        <v/>
      </c>
      <c r="U289" s="47" t="str">
        <f>IFERROR(VLOOKUP(TableHandbook[[#This Row],[UDC]],TableMJRUJOURN[],7,FALSE),"")</f>
        <v/>
      </c>
      <c r="V289" s="65" t="str">
        <f>IFERROR(VLOOKUP(TableHandbook[[#This Row],[UDC]],TableMJRUKORES[],7,FALSE),"")</f>
        <v/>
      </c>
      <c r="W289" s="65" t="str">
        <f>IFERROR(VLOOKUP(TableHandbook[[#This Row],[UDC]],TableMJRULITCU[],7,FALSE),"")</f>
        <v>Option</v>
      </c>
      <c r="X289" s="65" t="str">
        <f>IFERROR(VLOOKUP(TableHandbook[[#This Row],[UDC]],TableMJRUNETCM[],7,FALSE),"")</f>
        <v/>
      </c>
      <c r="Y289" s="65" t="str">
        <f>IFERROR(VLOOKUP(TableHandbook[[#This Row],[UDC]],TableMJRUPRWRP[],7,FALSE),"")</f>
        <v/>
      </c>
      <c r="Z289" s="65" t="str">
        <f>IFERROR(VLOOKUP(TableHandbook[[#This Row],[UDC]],TableMJRUSCSTR[],7,FALSE),"")</f>
        <v/>
      </c>
      <c r="AA289" s="74"/>
      <c r="AB289" s="43" t="str">
        <f>IFERROR(VLOOKUP(TableHandbook[[#This Row],[UDC]],TableMJRUBSLAW[],7,FALSE),"")</f>
        <v/>
      </c>
      <c r="AC289" s="66" t="str">
        <f>IFERROR(VLOOKUP(TableHandbook[[#This Row],[UDC]],TableMJRUECONS[],7,FALSE),"")</f>
        <v/>
      </c>
      <c r="AD289" s="66" t="str">
        <f>IFERROR(VLOOKUP(TableHandbook[[#This Row],[UDC]],TableMJRUFINAR[],7,FALSE),"")</f>
        <v/>
      </c>
      <c r="AE289" s="66" t="str">
        <f>IFERROR(VLOOKUP(TableHandbook[[#This Row],[UDC]],TableMJRUFINCE[],7,FALSE),"")</f>
        <v/>
      </c>
      <c r="AF289" s="66" t="str">
        <f>IFERROR(VLOOKUP(TableHandbook[[#This Row],[UDC]],TableMJRUHRMGM[],7,FALSE),"")</f>
        <v/>
      </c>
      <c r="AG289" s="66" t="str">
        <f>IFERROR(VLOOKUP(TableHandbook[[#This Row],[UDC]],TableMJRUINTBU[],7,FALSE),"")</f>
        <v/>
      </c>
      <c r="AH289" s="66" t="str">
        <f>IFERROR(VLOOKUP(TableHandbook[[#This Row],[UDC]],TableMJRULGSCM[],7,FALSE),"")</f>
        <v/>
      </c>
      <c r="AI289" s="66" t="str">
        <f>IFERROR(VLOOKUP(TableHandbook[[#This Row],[UDC]],TableMJRUMNGMT[],7,FALSE),"")</f>
        <v/>
      </c>
      <c r="AJ289" s="66" t="str">
        <f>IFERROR(VLOOKUP(TableHandbook[[#This Row],[UDC]],TableMJRUMRKTG[],7,FALSE),"")</f>
        <v/>
      </c>
      <c r="AK289" s="66" t="str">
        <f>IFERROR(VLOOKUP(TableHandbook[[#This Row],[UDC]],TableMJRUPRPTY[],7,FALSE),"")</f>
        <v/>
      </c>
      <c r="AL289" s="66" t="str">
        <f>IFERROR(VLOOKUP(TableHandbook[[#This Row],[UDC]],TableMJRUSCRAR[],7,FALSE),"")</f>
        <v>Core</v>
      </c>
      <c r="AM289" s="66" t="str">
        <f>IFERROR(VLOOKUP(TableHandbook[[#This Row],[UDC]],TableMJRUTHTRA[],7,FALSE),"")</f>
        <v/>
      </c>
      <c r="AN289" s="66" t="str">
        <f>IFERROR(VLOOKUP(TableHandbook[[#This Row],[UDC]],TableMJRUTRHOS[],7,FALSE),"")</f>
        <v/>
      </c>
    </row>
    <row r="290" spans="1:40" x14ac:dyDescent="0.25">
      <c r="A290" s="8" t="s">
        <v>407</v>
      </c>
      <c r="B290" s="9">
        <v>1</v>
      </c>
      <c r="C290" s="8"/>
      <c r="D290" s="8" t="s">
        <v>840</v>
      </c>
      <c r="E290" s="9">
        <v>25</v>
      </c>
      <c r="F290" s="49" t="s">
        <v>526</v>
      </c>
      <c r="G290" s="82" t="str">
        <f>IFERROR(IF(VLOOKUP(TableHandbook[[#This Row],[UDC]],TableAvailabilities[],2,FALSE)&gt;0,"Y",""),"")</f>
        <v>Y</v>
      </c>
      <c r="H290" s="83" t="str">
        <f>IFERROR(IF(VLOOKUP(TableHandbook[[#This Row],[UDC]],TableAvailabilities[],3,FALSE)&gt;0,"Y",""),"")</f>
        <v/>
      </c>
      <c r="I290" s="84" t="str">
        <f>IFERROR(IF(VLOOKUP(TableHandbook[[#This Row],[UDC]],TableAvailabilities[],4,FALSE)&gt;0,"Y",""),"")</f>
        <v/>
      </c>
      <c r="J290" s="85" t="str">
        <f>IFERROR(IF(VLOOKUP(TableHandbook[[#This Row],[UDC]],TableAvailabilities[],5,FALSE)&gt;0,"Y",""),"")</f>
        <v/>
      </c>
      <c r="K290" s="168"/>
      <c r="L290" s="160" t="str">
        <f>IFERROR(VLOOKUP(TableHandbook[[#This Row],[UDC]],TableBARTS[],7,FALSE),"")</f>
        <v/>
      </c>
      <c r="M290" s="65" t="str">
        <f>IFERROR(VLOOKUP(TableHandbook[[#This Row],[UDC]],TableMJRUANTSO[],7,FALSE),"")</f>
        <v/>
      </c>
      <c r="N290" s="47" t="str">
        <f>IFERROR(VLOOKUP(TableHandbook[[#This Row],[UDC]],TableMJRUCHNSE[],7,FALSE),"")</f>
        <v/>
      </c>
      <c r="O290" s="47" t="str">
        <f>IFERROR(VLOOKUP(TableHandbook[[#This Row],[UDC]],TableMJRUCRWRI[],7,FALSE),"")</f>
        <v/>
      </c>
      <c r="P290" s="47" t="str">
        <f>IFERROR(VLOOKUP(TableHandbook[[#This Row],[UDC]],TableMJRUGEOGR[],7,FALSE),"")</f>
        <v/>
      </c>
      <c r="Q290" s="47" t="str">
        <f>IFERROR(VLOOKUP(TableHandbook[[#This Row],[UDC]],TableMJRUHISTR[],7,FALSE),"")</f>
        <v/>
      </c>
      <c r="R290" s="47" t="str">
        <f>IFERROR(VLOOKUP(TableHandbook[[#This Row],[UDC]],TableMJRUINAUC[],7,FALSE),"")</f>
        <v/>
      </c>
      <c r="S290" s="47" t="str">
        <f>IFERROR(VLOOKUP(TableHandbook[[#This Row],[UDC]],TableMJRUINTRL[],7,FALSE),"")</f>
        <v/>
      </c>
      <c r="T290" s="47" t="str">
        <f>IFERROR(VLOOKUP(TableHandbook[[#This Row],[UDC]],TableMJRUJAPAN[],7,FALSE),"")</f>
        <v/>
      </c>
      <c r="U290" s="47" t="str">
        <f>IFERROR(VLOOKUP(TableHandbook[[#This Row],[UDC]],TableMJRUJOURN[],7,FALSE),"")</f>
        <v/>
      </c>
      <c r="V290" s="65" t="str">
        <f>IFERROR(VLOOKUP(TableHandbook[[#This Row],[UDC]],TableMJRUKORES[],7,FALSE),"")</f>
        <v/>
      </c>
      <c r="W290" s="65" t="str">
        <f>IFERROR(VLOOKUP(TableHandbook[[#This Row],[UDC]],TableMJRULITCU[],7,FALSE),"")</f>
        <v/>
      </c>
      <c r="X290" s="65" t="str">
        <f>IFERROR(VLOOKUP(TableHandbook[[#This Row],[UDC]],TableMJRUNETCM[],7,FALSE),"")</f>
        <v/>
      </c>
      <c r="Y290" s="65" t="str">
        <f>IFERROR(VLOOKUP(TableHandbook[[#This Row],[UDC]],TableMJRUPRWRP[],7,FALSE),"")</f>
        <v/>
      </c>
      <c r="Z290" s="65" t="str">
        <f>IFERROR(VLOOKUP(TableHandbook[[#This Row],[UDC]],TableMJRUSCSTR[],7,FALSE),"")</f>
        <v/>
      </c>
      <c r="AA290" s="74"/>
      <c r="AB290" s="43" t="str">
        <f>IFERROR(VLOOKUP(TableHandbook[[#This Row],[UDC]],TableMJRUBSLAW[],7,FALSE),"")</f>
        <v/>
      </c>
      <c r="AC290" s="66" t="str">
        <f>IFERROR(VLOOKUP(TableHandbook[[#This Row],[UDC]],TableMJRUECONS[],7,FALSE),"")</f>
        <v/>
      </c>
      <c r="AD290" s="66" t="str">
        <f>IFERROR(VLOOKUP(TableHandbook[[#This Row],[UDC]],TableMJRUFINAR[],7,FALSE),"")</f>
        <v/>
      </c>
      <c r="AE290" s="66" t="str">
        <f>IFERROR(VLOOKUP(TableHandbook[[#This Row],[UDC]],TableMJRUFINCE[],7,FALSE),"")</f>
        <v/>
      </c>
      <c r="AF290" s="66" t="str">
        <f>IFERROR(VLOOKUP(TableHandbook[[#This Row],[UDC]],TableMJRUHRMGM[],7,FALSE),"")</f>
        <v/>
      </c>
      <c r="AG290" s="66" t="str">
        <f>IFERROR(VLOOKUP(TableHandbook[[#This Row],[UDC]],TableMJRUINTBU[],7,FALSE),"")</f>
        <v/>
      </c>
      <c r="AH290" s="66" t="str">
        <f>IFERROR(VLOOKUP(TableHandbook[[#This Row],[UDC]],TableMJRULGSCM[],7,FALSE),"")</f>
        <v/>
      </c>
      <c r="AI290" s="66" t="str">
        <f>IFERROR(VLOOKUP(TableHandbook[[#This Row],[UDC]],TableMJRUMNGMT[],7,FALSE),"")</f>
        <v/>
      </c>
      <c r="AJ290" s="66" t="str">
        <f>IFERROR(VLOOKUP(TableHandbook[[#This Row],[UDC]],TableMJRUMRKTG[],7,FALSE),"")</f>
        <v/>
      </c>
      <c r="AK290" s="66" t="str">
        <f>IFERROR(VLOOKUP(TableHandbook[[#This Row],[UDC]],TableMJRUPRPTY[],7,FALSE),"")</f>
        <v/>
      </c>
      <c r="AL290" s="66" t="str">
        <f>IFERROR(VLOOKUP(TableHandbook[[#This Row],[UDC]],TableMJRUSCRAR[],7,FALSE),"")</f>
        <v>Core</v>
      </c>
      <c r="AM290" s="66" t="str">
        <f>IFERROR(VLOOKUP(TableHandbook[[#This Row],[UDC]],TableMJRUTHTRA[],7,FALSE),"")</f>
        <v/>
      </c>
      <c r="AN290" s="66" t="str">
        <f>IFERROR(VLOOKUP(TableHandbook[[#This Row],[UDC]],TableMJRUTRHOS[],7,FALSE),"")</f>
        <v/>
      </c>
    </row>
    <row r="291" spans="1:40" x14ac:dyDescent="0.25">
      <c r="A291" s="8" t="s">
        <v>390</v>
      </c>
      <c r="B291" s="9"/>
      <c r="C291" s="8"/>
      <c r="D291" s="8" t="s">
        <v>841</v>
      </c>
      <c r="E291" s="9"/>
      <c r="F291" s="49" t="s">
        <v>277</v>
      </c>
      <c r="G291" s="82" t="str">
        <f>IFERROR(IF(VLOOKUP(TableHandbook[[#This Row],[UDC]],TableAvailabilities[],2,FALSE)&gt;0,"Y",""),"")</f>
        <v/>
      </c>
      <c r="H291" s="83" t="str">
        <f>IFERROR(IF(VLOOKUP(TableHandbook[[#This Row],[UDC]],TableAvailabilities[],3,FALSE)&gt;0,"Y",""),"")</f>
        <v/>
      </c>
      <c r="I291" s="84" t="str">
        <f>IFERROR(IF(VLOOKUP(TableHandbook[[#This Row],[UDC]],TableAvailabilities[],4,FALSE)&gt;0,"Y",""),"")</f>
        <v/>
      </c>
      <c r="J291" s="85" t="str">
        <f>IFERROR(IF(VLOOKUP(TableHandbook[[#This Row],[UDC]],TableAvailabilities[],5,FALSE)&gt;0,"Y",""),"")</f>
        <v/>
      </c>
      <c r="K291" s="168"/>
      <c r="L291" s="160" t="str">
        <f>IFERROR(VLOOKUP(TableHandbook[[#This Row],[UDC]],TableBARTS[],7,FALSE),"")</f>
        <v/>
      </c>
      <c r="M291" s="65" t="str">
        <f>IFERROR(VLOOKUP(TableHandbook[[#This Row],[UDC]],TableMJRUANTSO[],7,FALSE),"")</f>
        <v/>
      </c>
      <c r="N291" s="47" t="str">
        <f>IFERROR(VLOOKUP(TableHandbook[[#This Row],[UDC]],TableMJRUCHNSE[],7,FALSE),"")</f>
        <v/>
      </c>
      <c r="O291" s="47" t="str">
        <f>IFERROR(VLOOKUP(TableHandbook[[#This Row],[UDC]],TableMJRUCRWRI[],7,FALSE),"")</f>
        <v/>
      </c>
      <c r="P291" s="47" t="str">
        <f>IFERROR(VLOOKUP(TableHandbook[[#This Row],[UDC]],TableMJRUGEOGR[],7,FALSE),"")</f>
        <v/>
      </c>
      <c r="Q291" s="47" t="str">
        <f>IFERROR(VLOOKUP(TableHandbook[[#This Row],[UDC]],TableMJRUHISTR[],7,FALSE),"")</f>
        <v/>
      </c>
      <c r="R291" s="47" t="str">
        <f>IFERROR(VLOOKUP(TableHandbook[[#This Row],[UDC]],TableMJRUINAUC[],7,FALSE),"")</f>
        <v/>
      </c>
      <c r="S291" s="47" t="str">
        <f>IFERROR(VLOOKUP(TableHandbook[[#This Row],[UDC]],TableMJRUINTRL[],7,FALSE),"")</f>
        <v/>
      </c>
      <c r="T291" s="47" t="str">
        <f>IFERROR(VLOOKUP(TableHandbook[[#This Row],[UDC]],TableMJRUJAPAN[],7,FALSE),"")</f>
        <v/>
      </c>
      <c r="U291" s="47" t="str">
        <f>IFERROR(VLOOKUP(TableHandbook[[#This Row],[UDC]],TableMJRUJOURN[],7,FALSE),"")</f>
        <v/>
      </c>
      <c r="V291" s="65" t="str">
        <f>IFERROR(VLOOKUP(TableHandbook[[#This Row],[UDC]],TableMJRUKORES[],7,FALSE),"")</f>
        <v/>
      </c>
      <c r="W291" s="65" t="str">
        <f>IFERROR(VLOOKUP(TableHandbook[[#This Row],[UDC]],TableMJRULITCU[],7,FALSE),"")</f>
        <v/>
      </c>
      <c r="X291" s="65" t="str">
        <f>IFERROR(VLOOKUP(TableHandbook[[#This Row],[UDC]],TableMJRUNETCM[],7,FALSE),"")</f>
        <v/>
      </c>
      <c r="Y291" s="65" t="str">
        <f>IFERROR(VLOOKUP(TableHandbook[[#This Row],[UDC]],TableMJRUPRWRP[],7,FALSE),"")</f>
        <v/>
      </c>
      <c r="Z291" s="65" t="str">
        <f>IFERROR(VLOOKUP(TableHandbook[[#This Row],[UDC]],TableMJRUSCSTR[],7,FALSE),"")</f>
        <v/>
      </c>
      <c r="AA291" s="74"/>
      <c r="AB291" s="43" t="str">
        <f>IFERROR(VLOOKUP(TableHandbook[[#This Row],[UDC]],TableMJRUBSLAW[],7,FALSE),"")</f>
        <v/>
      </c>
      <c r="AC291" s="66" t="str">
        <f>IFERROR(VLOOKUP(TableHandbook[[#This Row],[UDC]],TableMJRUECONS[],7,FALSE),"")</f>
        <v/>
      </c>
      <c r="AD291" s="66" t="str">
        <f>IFERROR(VLOOKUP(TableHandbook[[#This Row],[UDC]],TableMJRUFINAR[],7,FALSE),"")</f>
        <v/>
      </c>
      <c r="AE291" s="66" t="str">
        <f>IFERROR(VLOOKUP(TableHandbook[[#This Row],[UDC]],TableMJRUFINCE[],7,FALSE),"")</f>
        <v/>
      </c>
      <c r="AF291" s="66" t="str">
        <f>IFERROR(VLOOKUP(TableHandbook[[#This Row],[UDC]],TableMJRUHRMGM[],7,FALSE),"")</f>
        <v/>
      </c>
      <c r="AG291" s="66" t="str">
        <f>IFERROR(VLOOKUP(TableHandbook[[#This Row],[UDC]],TableMJRUINTBU[],7,FALSE),"")</f>
        <v/>
      </c>
      <c r="AH291" s="66" t="str">
        <f>IFERROR(VLOOKUP(TableHandbook[[#This Row],[UDC]],TableMJRULGSCM[],7,FALSE),"")</f>
        <v/>
      </c>
      <c r="AI291" s="66" t="str">
        <f>IFERROR(VLOOKUP(TableHandbook[[#This Row],[UDC]],TableMJRUMNGMT[],7,FALSE),"")</f>
        <v/>
      </c>
      <c r="AJ291" s="66" t="str">
        <f>IFERROR(VLOOKUP(TableHandbook[[#This Row],[UDC]],TableMJRUMRKTG[],7,FALSE),"")</f>
        <v/>
      </c>
      <c r="AK291" s="66" t="str">
        <f>IFERROR(VLOOKUP(TableHandbook[[#This Row],[UDC]],TableMJRUPRPTY[],7,FALSE),"")</f>
        <v/>
      </c>
      <c r="AL291" s="66" t="str">
        <f>IFERROR(VLOOKUP(TableHandbook[[#This Row],[UDC]],TableMJRUSCRAR[],7,FALSE),"")</f>
        <v/>
      </c>
      <c r="AM291" s="66" t="str">
        <f>IFERROR(VLOOKUP(TableHandbook[[#This Row],[UDC]],TableMJRUTHTRA[],7,FALSE),"")</f>
        <v/>
      </c>
      <c r="AN291" s="66" t="str">
        <f>IFERROR(VLOOKUP(TableHandbook[[#This Row],[UDC]],TableMJRUTRHOS[],7,FALSE),"")</f>
        <v/>
      </c>
    </row>
    <row r="292" spans="1:40" x14ac:dyDescent="0.25">
      <c r="A292" s="8" t="s">
        <v>69</v>
      </c>
      <c r="B292" s="9">
        <v>2</v>
      </c>
      <c r="C292" s="8"/>
      <c r="D292" s="8" t="s">
        <v>842</v>
      </c>
      <c r="E292" s="9">
        <v>25</v>
      </c>
      <c r="F292" s="49" t="s">
        <v>526</v>
      </c>
      <c r="G292" s="82" t="str">
        <f>IFERROR(IF(VLOOKUP(TableHandbook[[#This Row],[UDC]],TableAvailabilities[],2,FALSE)&gt;0,"Y",""),"")</f>
        <v>Y</v>
      </c>
      <c r="H292" s="83" t="str">
        <f>IFERROR(IF(VLOOKUP(TableHandbook[[#This Row],[UDC]],TableAvailabilities[],3,FALSE)&gt;0,"Y",""),"")</f>
        <v/>
      </c>
      <c r="I292" s="84" t="str">
        <f>IFERROR(IF(VLOOKUP(TableHandbook[[#This Row],[UDC]],TableAvailabilities[],4,FALSE)&gt;0,"Y",""),"")</f>
        <v>Y</v>
      </c>
      <c r="J292" s="85" t="str">
        <f>IFERROR(IF(VLOOKUP(TableHandbook[[#This Row],[UDC]],TableAvailabilities[],5,FALSE)&gt;0,"Y",""),"")</f>
        <v/>
      </c>
      <c r="K292" s="168"/>
      <c r="L292" s="160" t="str">
        <f>IFERROR(VLOOKUP(TableHandbook[[#This Row],[UDC]],TableBARTS[],7,FALSE),"")</f>
        <v>Option</v>
      </c>
      <c r="M292" s="65" t="str">
        <f>IFERROR(VLOOKUP(TableHandbook[[#This Row],[UDC]],TableMJRUANTSO[],7,FALSE),"")</f>
        <v/>
      </c>
      <c r="N292" s="47" t="str">
        <f>IFERROR(VLOOKUP(TableHandbook[[#This Row],[UDC]],TableMJRUCHNSE[],7,FALSE),"")</f>
        <v/>
      </c>
      <c r="O292" s="47" t="str">
        <f>IFERROR(VLOOKUP(TableHandbook[[#This Row],[UDC]],TableMJRUCRWRI[],7,FALSE),"")</f>
        <v/>
      </c>
      <c r="P292" s="47" t="str">
        <f>IFERROR(VLOOKUP(TableHandbook[[#This Row],[UDC]],TableMJRUGEOGR[],7,FALSE),"")</f>
        <v/>
      </c>
      <c r="Q292" s="47" t="str">
        <f>IFERROR(VLOOKUP(TableHandbook[[#This Row],[UDC]],TableMJRUHISTR[],7,FALSE),"")</f>
        <v/>
      </c>
      <c r="R292" s="47" t="str">
        <f>IFERROR(VLOOKUP(TableHandbook[[#This Row],[UDC]],TableMJRUINAUC[],7,FALSE),"")</f>
        <v/>
      </c>
      <c r="S292" s="47" t="str">
        <f>IFERROR(VLOOKUP(TableHandbook[[#This Row],[UDC]],TableMJRUINTRL[],7,FALSE),"")</f>
        <v/>
      </c>
      <c r="T292" s="47" t="str">
        <f>IFERROR(VLOOKUP(TableHandbook[[#This Row],[UDC]],TableMJRUJAPAN[],7,FALSE),"")</f>
        <v/>
      </c>
      <c r="U292" s="47" t="str">
        <f>IFERROR(VLOOKUP(TableHandbook[[#This Row],[UDC]],TableMJRUJOURN[],7,FALSE),"")</f>
        <v/>
      </c>
      <c r="V292" s="65" t="str">
        <f>IFERROR(VLOOKUP(TableHandbook[[#This Row],[UDC]],TableMJRUKORES[],7,FALSE),"")</f>
        <v/>
      </c>
      <c r="W292" s="65" t="str">
        <f>IFERROR(VLOOKUP(TableHandbook[[#This Row],[UDC]],TableMJRULITCU[],7,FALSE),"")</f>
        <v/>
      </c>
      <c r="X292" s="65" t="str">
        <f>IFERROR(VLOOKUP(TableHandbook[[#This Row],[UDC]],TableMJRUNETCM[],7,FALSE),"")</f>
        <v/>
      </c>
      <c r="Y292" s="65" t="str">
        <f>IFERROR(VLOOKUP(TableHandbook[[#This Row],[UDC]],TableMJRUPRWRP[],7,FALSE),"")</f>
        <v/>
      </c>
      <c r="Z292" s="65" t="str">
        <f>IFERROR(VLOOKUP(TableHandbook[[#This Row],[UDC]],TableMJRUSCSTR[],7,FALSE),"")</f>
        <v/>
      </c>
      <c r="AA292" s="74"/>
      <c r="AB292" s="43" t="str">
        <f>IFERROR(VLOOKUP(TableHandbook[[#This Row],[UDC]],TableMJRUBSLAW[],7,FALSE),"")</f>
        <v/>
      </c>
      <c r="AC292" s="66" t="str">
        <f>IFERROR(VLOOKUP(TableHandbook[[#This Row],[UDC]],TableMJRUECONS[],7,FALSE),"")</f>
        <v/>
      </c>
      <c r="AD292" s="66" t="str">
        <f>IFERROR(VLOOKUP(TableHandbook[[#This Row],[UDC]],TableMJRUFINAR[],7,FALSE),"")</f>
        <v/>
      </c>
      <c r="AE292" s="66" t="str">
        <f>IFERROR(VLOOKUP(TableHandbook[[#This Row],[UDC]],TableMJRUFINCE[],7,FALSE),"")</f>
        <v/>
      </c>
      <c r="AF292" s="66" t="str">
        <f>IFERROR(VLOOKUP(TableHandbook[[#This Row],[UDC]],TableMJRUHRMGM[],7,FALSE),"")</f>
        <v/>
      </c>
      <c r="AG292" s="66" t="str">
        <f>IFERROR(VLOOKUP(TableHandbook[[#This Row],[UDC]],TableMJRUINTBU[],7,FALSE),"")</f>
        <v/>
      </c>
      <c r="AH292" s="66" t="str">
        <f>IFERROR(VLOOKUP(TableHandbook[[#This Row],[UDC]],TableMJRULGSCM[],7,FALSE),"")</f>
        <v/>
      </c>
      <c r="AI292" s="66" t="str">
        <f>IFERROR(VLOOKUP(TableHandbook[[#This Row],[UDC]],TableMJRUMNGMT[],7,FALSE),"")</f>
        <v/>
      </c>
      <c r="AJ292" s="66" t="str">
        <f>IFERROR(VLOOKUP(TableHandbook[[#This Row],[UDC]],TableMJRUMRKTG[],7,FALSE),"")</f>
        <v/>
      </c>
      <c r="AK292" s="66" t="str">
        <f>IFERROR(VLOOKUP(TableHandbook[[#This Row],[UDC]],TableMJRUPRPTY[],7,FALSE),"")</f>
        <v/>
      </c>
      <c r="AL292" s="66" t="str">
        <f>IFERROR(VLOOKUP(TableHandbook[[#This Row],[UDC]],TableMJRUSCRAR[],7,FALSE),"")</f>
        <v/>
      </c>
      <c r="AM292" s="66" t="str">
        <f>IFERROR(VLOOKUP(TableHandbook[[#This Row],[UDC]],TableMJRUTHTRA[],7,FALSE),"")</f>
        <v/>
      </c>
      <c r="AN292" s="66" t="str">
        <f>IFERROR(VLOOKUP(TableHandbook[[#This Row],[UDC]],TableMJRUTRHOS[],7,FALSE),"")</f>
        <v/>
      </c>
    </row>
    <row r="293" spans="1:40" x14ac:dyDescent="0.25">
      <c r="A293" s="8" t="s">
        <v>469</v>
      </c>
      <c r="B293" s="9">
        <v>3</v>
      </c>
      <c r="C293" s="8"/>
      <c r="D293" s="8" t="s">
        <v>843</v>
      </c>
      <c r="E293" s="9">
        <v>25</v>
      </c>
      <c r="F293" s="49" t="s">
        <v>526</v>
      </c>
      <c r="G293" s="82" t="str">
        <f>IFERROR(IF(VLOOKUP(TableHandbook[[#This Row],[UDC]],TableAvailabilities[],2,FALSE)&gt;0,"Y",""),"")</f>
        <v>Y</v>
      </c>
      <c r="H293" s="83" t="str">
        <f>IFERROR(IF(VLOOKUP(TableHandbook[[#This Row],[UDC]],TableAvailabilities[],3,FALSE)&gt;0,"Y",""),"")</f>
        <v/>
      </c>
      <c r="I293" s="84" t="str">
        <f>IFERROR(IF(VLOOKUP(TableHandbook[[#This Row],[UDC]],TableAvailabilities[],4,FALSE)&gt;0,"Y",""),"")</f>
        <v/>
      </c>
      <c r="J293" s="85" t="str">
        <f>IFERROR(IF(VLOOKUP(TableHandbook[[#This Row],[UDC]],TableAvailabilities[],5,FALSE)&gt;0,"Y",""),"")</f>
        <v/>
      </c>
      <c r="K293" s="168"/>
      <c r="L293" s="160" t="str">
        <f>IFERROR(VLOOKUP(TableHandbook[[#This Row],[UDC]],TableBARTS[],7,FALSE),"")</f>
        <v/>
      </c>
      <c r="M293" s="65" t="str">
        <f>IFERROR(VLOOKUP(TableHandbook[[#This Row],[UDC]],TableMJRUANTSO[],7,FALSE),"")</f>
        <v/>
      </c>
      <c r="N293" s="47" t="str">
        <f>IFERROR(VLOOKUP(TableHandbook[[#This Row],[UDC]],TableMJRUCHNSE[],7,FALSE),"")</f>
        <v/>
      </c>
      <c r="O293" s="47" t="str">
        <f>IFERROR(VLOOKUP(TableHandbook[[#This Row],[UDC]],TableMJRUCRWRI[],7,FALSE),"")</f>
        <v/>
      </c>
      <c r="P293" s="47" t="str">
        <f>IFERROR(VLOOKUP(TableHandbook[[#This Row],[UDC]],TableMJRUGEOGR[],7,FALSE),"")</f>
        <v/>
      </c>
      <c r="Q293" s="47" t="str">
        <f>IFERROR(VLOOKUP(TableHandbook[[#This Row],[UDC]],TableMJRUHISTR[],7,FALSE),"")</f>
        <v/>
      </c>
      <c r="R293" s="47" t="str">
        <f>IFERROR(VLOOKUP(TableHandbook[[#This Row],[UDC]],TableMJRUINAUC[],7,FALSE),"")</f>
        <v/>
      </c>
      <c r="S293" s="47" t="str">
        <f>IFERROR(VLOOKUP(TableHandbook[[#This Row],[UDC]],TableMJRUINTRL[],7,FALSE),"")</f>
        <v/>
      </c>
      <c r="T293" s="47" t="str">
        <f>IFERROR(VLOOKUP(TableHandbook[[#This Row],[UDC]],TableMJRUJAPAN[],7,FALSE),"")</f>
        <v/>
      </c>
      <c r="U293" s="47" t="str">
        <f>IFERROR(VLOOKUP(TableHandbook[[#This Row],[UDC]],TableMJRUJOURN[],7,FALSE),"")</f>
        <v/>
      </c>
      <c r="V293" s="65" t="str">
        <f>IFERROR(VLOOKUP(TableHandbook[[#This Row],[UDC]],TableMJRUKORES[],7,FALSE),"")</f>
        <v/>
      </c>
      <c r="W293" s="65" t="str">
        <f>IFERROR(VLOOKUP(TableHandbook[[#This Row],[UDC]],TableMJRULITCU[],7,FALSE),"")</f>
        <v/>
      </c>
      <c r="X293" s="65" t="str">
        <f>IFERROR(VLOOKUP(TableHandbook[[#This Row],[UDC]],TableMJRUNETCM[],7,FALSE),"")</f>
        <v/>
      </c>
      <c r="Y293" s="65" t="str">
        <f>IFERROR(VLOOKUP(TableHandbook[[#This Row],[UDC]],TableMJRUPRWRP[],7,FALSE),"")</f>
        <v/>
      </c>
      <c r="Z293" s="65" t="str">
        <f>IFERROR(VLOOKUP(TableHandbook[[#This Row],[UDC]],TableMJRUSCSTR[],7,FALSE),"")</f>
        <v/>
      </c>
      <c r="AA293" s="74"/>
      <c r="AB293" s="43" t="str">
        <f>IFERROR(VLOOKUP(TableHandbook[[#This Row],[UDC]],TableMJRUBSLAW[],7,FALSE),"")</f>
        <v/>
      </c>
      <c r="AC293" s="66" t="str">
        <f>IFERROR(VLOOKUP(TableHandbook[[#This Row],[UDC]],TableMJRUECONS[],7,FALSE),"")</f>
        <v/>
      </c>
      <c r="AD293" s="66" t="str">
        <f>IFERROR(VLOOKUP(TableHandbook[[#This Row],[UDC]],TableMJRUFINAR[],7,FALSE),"")</f>
        <v/>
      </c>
      <c r="AE293" s="66" t="str">
        <f>IFERROR(VLOOKUP(TableHandbook[[#This Row],[UDC]],TableMJRUFINCE[],7,FALSE),"")</f>
        <v/>
      </c>
      <c r="AF293" s="66" t="str">
        <f>IFERROR(VLOOKUP(TableHandbook[[#This Row],[UDC]],TableMJRUHRMGM[],7,FALSE),"")</f>
        <v/>
      </c>
      <c r="AG293" s="66" t="str">
        <f>IFERROR(VLOOKUP(TableHandbook[[#This Row],[UDC]],TableMJRUINTBU[],7,FALSE),"")</f>
        <v/>
      </c>
      <c r="AH293" s="66" t="str">
        <f>IFERROR(VLOOKUP(TableHandbook[[#This Row],[UDC]],TableMJRULGSCM[],7,FALSE),"")</f>
        <v/>
      </c>
      <c r="AI293" s="66" t="str">
        <f>IFERROR(VLOOKUP(TableHandbook[[#This Row],[UDC]],TableMJRUMNGMT[],7,FALSE),"")</f>
        <v/>
      </c>
      <c r="AJ293" s="66" t="str">
        <f>IFERROR(VLOOKUP(TableHandbook[[#This Row],[UDC]],TableMJRUMRKTG[],7,FALSE),"")</f>
        <v/>
      </c>
      <c r="AK293" s="66" t="str">
        <f>IFERROR(VLOOKUP(TableHandbook[[#This Row],[UDC]],TableMJRUPRPTY[],7,FALSE),"")</f>
        <v/>
      </c>
      <c r="AL293" s="66" t="str">
        <f>IFERROR(VLOOKUP(TableHandbook[[#This Row],[UDC]],TableMJRUSCRAR[],7,FALSE),"")</f>
        <v>Option</v>
      </c>
      <c r="AM293" s="66" t="str">
        <f>IFERROR(VLOOKUP(TableHandbook[[#This Row],[UDC]],TableMJRUTHTRA[],7,FALSE),"")</f>
        <v/>
      </c>
      <c r="AN293" s="66" t="str">
        <f>IFERROR(VLOOKUP(TableHandbook[[#This Row],[UDC]],TableMJRUTRHOS[],7,FALSE),"")</f>
        <v/>
      </c>
    </row>
    <row r="294" spans="1:40" x14ac:dyDescent="0.25">
      <c r="A294" s="8" t="s">
        <v>430</v>
      </c>
      <c r="B294" s="9">
        <v>2</v>
      </c>
      <c r="C294" s="8"/>
      <c r="D294" s="8" t="s">
        <v>844</v>
      </c>
      <c r="E294" s="9">
        <v>25</v>
      </c>
      <c r="F294" s="49" t="s">
        <v>681</v>
      </c>
      <c r="G294" s="82" t="str">
        <f>IFERROR(IF(VLOOKUP(TableHandbook[[#This Row],[UDC]],TableAvailabilities[],2,FALSE)&gt;0,"Y",""),"")</f>
        <v>Y</v>
      </c>
      <c r="H294" s="83" t="str">
        <f>IFERROR(IF(VLOOKUP(TableHandbook[[#This Row],[UDC]],TableAvailabilities[],3,FALSE)&gt;0,"Y",""),"")</f>
        <v/>
      </c>
      <c r="I294" s="84" t="str">
        <f>IFERROR(IF(VLOOKUP(TableHandbook[[#This Row],[UDC]],TableAvailabilities[],4,FALSE)&gt;0,"Y",""),"")</f>
        <v/>
      </c>
      <c r="J294" s="85" t="str">
        <f>IFERROR(IF(VLOOKUP(TableHandbook[[#This Row],[UDC]],TableAvailabilities[],5,FALSE)&gt;0,"Y",""),"")</f>
        <v/>
      </c>
      <c r="K294" s="168"/>
      <c r="L294" s="160" t="str">
        <f>IFERROR(VLOOKUP(TableHandbook[[#This Row],[UDC]],TableBARTS[],7,FALSE),"")</f>
        <v/>
      </c>
      <c r="M294" s="65" t="str">
        <f>IFERROR(VLOOKUP(TableHandbook[[#This Row],[UDC]],TableMJRUANTSO[],7,FALSE),"")</f>
        <v/>
      </c>
      <c r="N294" s="47" t="str">
        <f>IFERROR(VLOOKUP(TableHandbook[[#This Row],[UDC]],TableMJRUCHNSE[],7,FALSE),"")</f>
        <v/>
      </c>
      <c r="O294" s="47" t="str">
        <f>IFERROR(VLOOKUP(TableHandbook[[#This Row],[UDC]],TableMJRUCRWRI[],7,FALSE),"")</f>
        <v/>
      </c>
      <c r="P294" s="47" t="str">
        <f>IFERROR(VLOOKUP(TableHandbook[[#This Row],[UDC]],TableMJRUGEOGR[],7,FALSE),"")</f>
        <v/>
      </c>
      <c r="Q294" s="47" t="str">
        <f>IFERROR(VLOOKUP(TableHandbook[[#This Row],[UDC]],TableMJRUHISTR[],7,FALSE),"")</f>
        <v/>
      </c>
      <c r="R294" s="47" t="str">
        <f>IFERROR(VLOOKUP(TableHandbook[[#This Row],[UDC]],TableMJRUINAUC[],7,FALSE),"")</f>
        <v/>
      </c>
      <c r="S294" s="47" t="str">
        <f>IFERROR(VLOOKUP(TableHandbook[[#This Row],[UDC]],TableMJRUINTRL[],7,FALSE),"")</f>
        <v/>
      </c>
      <c r="T294" s="47" t="str">
        <f>IFERROR(VLOOKUP(TableHandbook[[#This Row],[UDC]],TableMJRUJAPAN[],7,FALSE),"")</f>
        <v/>
      </c>
      <c r="U294" s="47" t="str">
        <f>IFERROR(VLOOKUP(TableHandbook[[#This Row],[UDC]],TableMJRUJOURN[],7,FALSE),"")</f>
        <v/>
      </c>
      <c r="V294" s="65" t="str">
        <f>IFERROR(VLOOKUP(TableHandbook[[#This Row],[UDC]],TableMJRUKORES[],7,FALSE),"")</f>
        <v/>
      </c>
      <c r="W294" s="65" t="str">
        <f>IFERROR(VLOOKUP(TableHandbook[[#This Row],[UDC]],TableMJRULITCU[],7,FALSE),"")</f>
        <v/>
      </c>
      <c r="X294" s="65" t="str">
        <f>IFERROR(VLOOKUP(TableHandbook[[#This Row],[UDC]],TableMJRUNETCM[],7,FALSE),"")</f>
        <v/>
      </c>
      <c r="Y294" s="65" t="str">
        <f>IFERROR(VLOOKUP(TableHandbook[[#This Row],[UDC]],TableMJRUPRWRP[],7,FALSE),"")</f>
        <v/>
      </c>
      <c r="Z294" s="65" t="str">
        <f>IFERROR(VLOOKUP(TableHandbook[[#This Row],[UDC]],TableMJRUSCSTR[],7,FALSE),"")</f>
        <v/>
      </c>
      <c r="AA294" s="74"/>
      <c r="AB294" s="43" t="str">
        <f>IFERROR(VLOOKUP(TableHandbook[[#This Row],[UDC]],TableMJRUBSLAW[],7,FALSE),"")</f>
        <v/>
      </c>
      <c r="AC294" s="66" t="str">
        <f>IFERROR(VLOOKUP(TableHandbook[[#This Row],[UDC]],TableMJRUECONS[],7,FALSE),"")</f>
        <v/>
      </c>
      <c r="AD294" s="66" t="str">
        <f>IFERROR(VLOOKUP(TableHandbook[[#This Row],[UDC]],TableMJRUFINAR[],7,FALSE),"")</f>
        <v/>
      </c>
      <c r="AE294" s="66" t="str">
        <f>IFERROR(VLOOKUP(TableHandbook[[#This Row],[UDC]],TableMJRUFINCE[],7,FALSE),"")</f>
        <v/>
      </c>
      <c r="AF294" s="66" t="str">
        <f>IFERROR(VLOOKUP(TableHandbook[[#This Row],[UDC]],TableMJRUHRMGM[],7,FALSE),"")</f>
        <v/>
      </c>
      <c r="AG294" s="66" t="str">
        <f>IFERROR(VLOOKUP(TableHandbook[[#This Row],[UDC]],TableMJRUINTBU[],7,FALSE),"")</f>
        <v/>
      </c>
      <c r="AH294" s="66" t="str">
        <f>IFERROR(VLOOKUP(TableHandbook[[#This Row],[UDC]],TableMJRULGSCM[],7,FALSE),"")</f>
        <v/>
      </c>
      <c r="AI294" s="66" t="str">
        <f>IFERROR(VLOOKUP(TableHandbook[[#This Row],[UDC]],TableMJRUMNGMT[],7,FALSE),"")</f>
        <v/>
      </c>
      <c r="AJ294" s="66" t="str">
        <f>IFERROR(VLOOKUP(TableHandbook[[#This Row],[UDC]],TableMJRUMRKTG[],7,FALSE),"")</f>
        <v/>
      </c>
      <c r="AK294" s="66" t="str">
        <f>IFERROR(VLOOKUP(TableHandbook[[#This Row],[UDC]],TableMJRUPRPTY[],7,FALSE),"")</f>
        <v/>
      </c>
      <c r="AL294" s="66" t="str">
        <f>IFERROR(VLOOKUP(TableHandbook[[#This Row],[UDC]],TableMJRUSCRAR[],7,FALSE),"")</f>
        <v>Core</v>
      </c>
      <c r="AM294" s="66" t="str">
        <f>IFERROR(VLOOKUP(TableHandbook[[#This Row],[UDC]],TableMJRUTHTRA[],7,FALSE),"")</f>
        <v/>
      </c>
      <c r="AN294" s="66" t="str">
        <f>IFERROR(VLOOKUP(TableHandbook[[#This Row],[UDC]],TableMJRUTRHOS[],7,FALSE),"")</f>
        <v/>
      </c>
    </row>
    <row r="295" spans="1:40" x14ac:dyDescent="0.25">
      <c r="A295" s="8" t="s">
        <v>408</v>
      </c>
      <c r="B295" s="9">
        <v>1</v>
      </c>
      <c r="C295" s="8"/>
      <c r="D295" s="8" t="s">
        <v>845</v>
      </c>
      <c r="E295" s="9">
        <v>25</v>
      </c>
      <c r="F295" s="49" t="s">
        <v>681</v>
      </c>
      <c r="G295" s="82" t="str">
        <f>IFERROR(IF(VLOOKUP(TableHandbook[[#This Row],[UDC]],TableAvailabilities[],2,FALSE)&gt;0,"Y",""),"")</f>
        <v/>
      </c>
      <c r="H295" s="83" t="str">
        <f>IFERROR(IF(VLOOKUP(TableHandbook[[#This Row],[UDC]],TableAvailabilities[],3,FALSE)&gt;0,"Y",""),"")</f>
        <v/>
      </c>
      <c r="I295" s="84" t="str">
        <f>IFERROR(IF(VLOOKUP(TableHandbook[[#This Row],[UDC]],TableAvailabilities[],4,FALSE)&gt;0,"Y",""),"")</f>
        <v>Y</v>
      </c>
      <c r="J295" s="85" t="str">
        <f>IFERROR(IF(VLOOKUP(TableHandbook[[#This Row],[UDC]],TableAvailabilities[],5,FALSE)&gt;0,"Y",""),"")</f>
        <v/>
      </c>
      <c r="K295" s="168"/>
      <c r="L295" s="160" t="str">
        <f>IFERROR(VLOOKUP(TableHandbook[[#This Row],[UDC]],TableBARTS[],7,FALSE),"")</f>
        <v/>
      </c>
      <c r="M295" s="65" t="str">
        <f>IFERROR(VLOOKUP(TableHandbook[[#This Row],[UDC]],TableMJRUANTSO[],7,FALSE),"")</f>
        <v/>
      </c>
      <c r="N295" s="47" t="str">
        <f>IFERROR(VLOOKUP(TableHandbook[[#This Row],[UDC]],TableMJRUCHNSE[],7,FALSE),"")</f>
        <v/>
      </c>
      <c r="O295" s="47" t="str">
        <f>IFERROR(VLOOKUP(TableHandbook[[#This Row],[UDC]],TableMJRUCRWRI[],7,FALSE),"")</f>
        <v/>
      </c>
      <c r="P295" s="47" t="str">
        <f>IFERROR(VLOOKUP(TableHandbook[[#This Row],[UDC]],TableMJRUGEOGR[],7,FALSE),"")</f>
        <v/>
      </c>
      <c r="Q295" s="47" t="str">
        <f>IFERROR(VLOOKUP(TableHandbook[[#This Row],[UDC]],TableMJRUHISTR[],7,FALSE),"")</f>
        <v/>
      </c>
      <c r="R295" s="47" t="str">
        <f>IFERROR(VLOOKUP(TableHandbook[[#This Row],[UDC]],TableMJRUINAUC[],7,FALSE),"")</f>
        <v/>
      </c>
      <c r="S295" s="47" t="str">
        <f>IFERROR(VLOOKUP(TableHandbook[[#This Row],[UDC]],TableMJRUINTRL[],7,FALSE),"")</f>
        <v/>
      </c>
      <c r="T295" s="47" t="str">
        <f>IFERROR(VLOOKUP(TableHandbook[[#This Row],[UDC]],TableMJRUJAPAN[],7,FALSE),"")</f>
        <v/>
      </c>
      <c r="U295" s="47" t="str">
        <f>IFERROR(VLOOKUP(TableHandbook[[#This Row],[UDC]],TableMJRUJOURN[],7,FALSE),"")</f>
        <v/>
      </c>
      <c r="V295" s="65" t="str">
        <f>IFERROR(VLOOKUP(TableHandbook[[#This Row],[UDC]],TableMJRUKORES[],7,FALSE),"")</f>
        <v/>
      </c>
      <c r="W295" s="65" t="str">
        <f>IFERROR(VLOOKUP(TableHandbook[[#This Row],[UDC]],TableMJRULITCU[],7,FALSE),"")</f>
        <v/>
      </c>
      <c r="X295" s="65" t="str">
        <f>IFERROR(VLOOKUP(TableHandbook[[#This Row],[UDC]],TableMJRUNETCM[],7,FALSE),"")</f>
        <v/>
      </c>
      <c r="Y295" s="65" t="str">
        <f>IFERROR(VLOOKUP(TableHandbook[[#This Row],[UDC]],TableMJRUPRWRP[],7,FALSE),"")</f>
        <v/>
      </c>
      <c r="Z295" s="65" t="str">
        <f>IFERROR(VLOOKUP(TableHandbook[[#This Row],[UDC]],TableMJRUSCSTR[],7,FALSE),"")</f>
        <v/>
      </c>
      <c r="AA295" s="74"/>
      <c r="AB295" s="43" t="str">
        <f>IFERROR(VLOOKUP(TableHandbook[[#This Row],[UDC]],TableMJRUBSLAW[],7,FALSE),"")</f>
        <v/>
      </c>
      <c r="AC295" s="66" t="str">
        <f>IFERROR(VLOOKUP(TableHandbook[[#This Row],[UDC]],TableMJRUECONS[],7,FALSE),"")</f>
        <v/>
      </c>
      <c r="AD295" s="66" t="str">
        <f>IFERROR(VLOOKUP(TableHandbook[[#This Row],[UDC]],TableMJRUFINAR[],7,FALSE),"")</f>
        <v/>
      </c>
      <c r="AE295" s="66" t="str">
        <f>IFERROR(VLOOKUP(TableHandbook[[#This Row],[UDC]],TableMJRUFINCE[],7,FALSE),"")</f>
        <v/>
      </c>
      <c r="AF295" s="66" t="str">
        <f>IFERROR(VLOOKUP(TableHandbook[[#This Row],[UDC]],TableMJRUHRMGM[],7,FALSE),"")</f>
        <v/>
      </c>
      <c r="AG295" s="66" t="str">
        <f>IFERROR(VLOOKUP(TableHandbook[[#This Row],[UDC]],TableMJRUINTBU[],7,FALSE),"")</f>
        <v/>
      </c>
      <c r="AH295" s="66" t="str">
        <f>IFERROR(VLOOKUP(TableHandbook[[#This Row],[UDC]],TableMJRULGSCM[],7,FALSE),"")</f>
        <v/>
      </c>
      <c r="AI295" s="66" t="str">
        <f>IFERROR(VLOOKUP(TableHandbook[[#This Row],[UDC]],TableMJRUMNGMT[],7,FALSE),"")</f>
        <v/>
      </c>
      <c r="AJ295" s="66" t="str">
        <f>IFERROR(VLOOKUP(TableHandbook[[#This Row],[UDC]],TableMJRUMRKTG[],7,FALSE),"")</f>
        <v/>
      </c>
      <c r="AK295" s="66" t="str">
        <f>IFERROR(VLOOKUP(TableHandbook[[#This Row],[UDC]],TableMJRUPRPTY[],7,FALSE),"")</f>
        <v/>
      </c>
      <c r="AL295" s="66" t="str">
        <f>IFERROR(VLOOKUP(TableHandbook[[#This Row],[UDC]],TableMJRUSCRAR[],7,FALSE),"")</f>
        <v>Core</v>
      </c>
      <c r="AM295" s="66" t="str">
        <f>IFERROR(VLOOKUP(TableHandbook[[#This Row],[UDC]],TableMJRUTHTRA[],7,FALSE),"")</f>
        <v/>
      </c>
      <c r="AN295" s="66" t="str">
        <f>IFERROR(VLOOKUP(TableHandbook[[#This Row],[UDC]],TableMJRUTRHOS[],7,FALSE),"")</f>
        <v/>
      </c>
    </row>
    <row r="296" spans="1:40" x14ac:dyDescent="0.25">
      <c r="A296" s="8" t="s">
        <v>481</v>
      </c>
      <c r="B296" s="9">
        <v>2</v>
      </c>
      <c r="C296" s="8"/>
      <c r="D296" s="8" t="s">
        <v>846</v>
      </c>
      <c r="E296" s="9">
        <v>25</v>
      </c>
      <c r="F296" s="49" t="s">
        <v>847</v>
      </c>
      <c r="G296" s="82" t="str">
        <f>IFERROR(IF(VLOOKUP(TableHandbook[[#This Row],[UDC]],TableAvailabilities[],2,FALSE)&gt;0,"Y",""),"")</f>
        <v>Y</v>
      </c>
      <c r="H296" s="83" t="str">
        <f>IFERROR(IF(VLOOKUP(TableHandbook[[#This Row],[UDC]],TableAvailabilities[],3,FALSE)&gt;0,"Y",""),"")</f>
        <v/>
      </c>
      <c r="I296" s="84" t="str">
        <f>IFERROR(IF(VLOOKUP(TableHandbook[[#This Row],[UDC]],TableAvailabilities[],4,FALSE)&gt;0,"Y",""),"")</f>
        <v/>
      </c>
      <c r="J296" s="85" t="str">
        <f>IFERROR(IF(VLOOKUP(TableHandbook[[#This Row],[UDC]],TableAvailabilities[],5,FALSE)&gt;0,"Y",""),"")</f>
        <v/>
      </c>
      <c r="K296" s="168"/>
      <c r="L296" s="160" t="str">
        <f>IFERROR(VLOOKUP(TableHandbook[[#This Row],[UDC]],TableBARTS[],7,FALSE),"")</f>
        <v/>
      </c>
      <c r="M296" s="65" t="str">
        <f>IFERROR(VLOOKUP(TableHandbook[[#This Row],[UDC]],TableMJRUANTSO[],7,FALSE),"")</f>
        <v/>
      </c>
      <c r="N296" s="47" t="str">
        <f>IFERROR(VLOOKUP(TableHandbook[[#This Row],[UDC]],TableMJRUCHNSE[],7,FALSE),"")</f>
        <v/>
      </c>
      <c r="O296" s="47" t="str">
        <f>IFERROR(VLOOKUP(TableHandbook[[#This Row],[UDC]],TableMJRUCRWRI[],7,FALSE),"")</f>
        <v/>
      </c>
      <c r="P296" s="47" t="str">
        <f>IFERROR(VLOOKUP(TableHandbook[[#This Row],[UDC]],TableMJRUGEOGR[],7,FALSE),"")</f>
        <v/>
      </c>
      <c r="Q296" s="47" t="str">
        <f>IFERROR(VLOOKUP(TableHandbook[[#This Row],[UDC]],TableMJRUHISTR[],7,FALSE),"")</f>
        <v/>
      </c>
      <c r="R296" s="47" t="str">
        <f>IFERROR(VLOOKUP(TableHandbook[[#This Row],[UDC]],TableMJRUINAUC[],7,FALSE),"")</f>
        <v/>
      </c>
      <c r="S296" s="47" t="str">
        <f>IFERROR(VLOOKUP(TableHandbook[[#This Row],[UDC]],TableMJRUINTRL[],7,FALSE),"")</f>
        <v/>
      </c>
      <c r="T296" s="47" t="str">
        <f>IFERROR(VLOOKUP(TableHandbook[[#This Row],[UDC]],TableMJRUJAPAN[],7,FALSE),"")</f>
        <v/>
      </c>
      <c r="U296" s="47" t="str">
        <f>IFERROR(VLOOKUP(TableHandbook[[#This Row],[UDC]],TableMJRUJOURN[],7,FALSE),"")</f>
        <v/>
      </c>
      <c r="V296" s="65" t="str">
        <f>IFERROR(VLOOKUP(TableHandbook[[#This Row],[UDC]],TableMJRUKORES[],7,FALSE),"")</f>
        <v/>
      </c>
      <c r="W296" s="65" t="str">
        <f>IFERROR(VLOOKUP(TableHandbook[[#This Row],[UDC]],TableMJRULITCU[],7,FALSE),"")</f>
        <v/>
      </c>
      <c r="X296" s="65" t="str">
        <f>IFERROR(VLOOKUP(TableHandbook[[#This Row],[UDC]],TableMJRUNETCM[],7,FALSE),"")</f>
        <v/>
      </c>
      <c r="Y296" s="65" t="str">
        <f>IFERROR(VLOOKUP(TableHandbook[[#This Row],[UDC]],TableMJRUPRWRP[],7,FALSE),"")</f>
        <v/>
      </c>
      <c r="Z296" s="65" t="str">
        <f>IFERROR(VLOOKUP(TableHandbook[[#This Row],[UDC]],TableMJRUSCSTR[],7,FALSE),"")</f>
        <v/>
      </c>
      <c r="AA296" s="74"/>
      <c r="AB296" s="43" t="str">
        <f>IFERROR(VLOOKUP(TableHandbook[[#This Row],[UDC]],TableMJRUBSLAW[],7,FALSE),"")</f>
        <v/>
      </c>
      <c r="AC296" s="66" t="str">
        <f>IFERROR(VLOOKUP(TableHandbook[[#This Row],[UDC]],TableMJRUECONS[],7,FALSE),"")</f>
        <v/>
      </c>
      <c r="AD296" s="66" t="str">
        <f>IFERROR(VLOOKUP(TableHandbook[[#This Row],[UDC]],TableMJRUFINAR[],7,FALSE),"")</f>
        <v/>
      </c>
      <c r="AE296" s="66" t="str">
        <f>IFERROR(VLOOKUP(TableHandbook[[#This Row],[UDC]],TableMJRUFINCE[],7,FALSE),"")</f>
        <v/>
      </c>
      <c r="AF296" s="66" t="str">
        <f>IFERROR(VLOOKUP(TableHandbook[[#This Row],[UDC]],TableMJRUHRMGM[],7,FALSE),"")</f>
        <v/>
      </c>
      <c r="AG296" s="66" t="str">
        <f>IFERROR(VLOOKUP(TableHandbook[[#This Row],[UDC]],TableMJRUINTBU[],7,FALSE),"")</f>
        <v/>
      </c>
      <c r="AH296" s="66" t="str">
        <f>IFERROR(VLOOKUP(TableHandbook[[#This Row],[UDC]],TableMJRULGSCM[],7,FALSE),"")</f>
        <v/>
      </c>
      <c r="AI296" s="66" t="str">
        <f>IFERROR(VLOOKUP(TableHandbook[[#This Row],[UDC]],TableMJRUMNGMT[],7,FALSE),"")</f>
        <v/>
      </c>
      <c r="AJ296" s="66" t="str">
        <f>IFERROR(VLOOKUP(TableHandbook[[#This Row],[UDC]],TableMJRUMRKTG[],7,FALSE),"")</f>
        <v/>
      </c>
      <c r="AK296" s="66" t="str">
        <f>IFERROR(VLOOKUP(TableHandbook[[#This Row],[UDC]],TableMJRUPRPTY[],7,FALSE),"")</f>
        <v/>
      </c>
      <c r="AL296" s="66" t="str">
        <f>IFERROR(VLOOKUP(TableHandbook[[#This Row],[UDC]],TableMJRUSCRAR[],7,FALSE),"")</f>
        <v>Option</v>
      </c>
      <c r="AM296" s="66" t="str">
        <f>IFERROR(VLOOKUP(TableHandbook[[#This Row],[UDC]],TableMJRUTHTRA[],7,FALSE),"")</f>
        <v/>
      </c>
      <c r="AN296" s="66" t="str">
        <f>IFERROR(VLOOKUP(TableHandbook[[#This Row],[UDC]],TableMJRUTRHOS[],7,FALSE),"")</f>
        <v/>
      </c>
    </row>
    <row r="297" spans="1:40" x14ac:dyDescent="0.25">
      <c r="A297" s="8" t="s">
        <v>455</v>
      </c>
      <c r="B297" s="9">
        <v>5</v>
      </c>
      <c r="C297" s="8"/>
      <c r="D297" s="8" t="s">
        <v>848</v>
      </c>
      <c r="E297" s="9">
        <v>25</v>
      </c>
      <c r="F297" s="49" t="s">
        <v>849</v>
      </c>
      <c r="G297" s="82" t="str">
        <f>IFERROR(IF(VLOOKUP(TableHandbook[[#This Row],[UDC]],TableAvailabilities[],2,FALSE)&gt;0,"Y",""),"")</f>
        <v>Y</v>
      </c>
      <c r="H297" s="83" t="str">
        <f>IFERROR(IF(VLOOKUP(TableHandbook[[#This Row],[UDC]],TableAvailabilities[],3,FALSE)&gt;0,"Y",""),"")</f>
        <v/>
      </c>
      <c r="I297" s="84" t="str">
        <f>IFERROR(IF(VLOOKUP(TableHandbook[[#This Row],[UDC]],TableAvailabilities[],4,FALSE)&gt;0,"Y",""),"")</f>
        <v/>
      </c>
      <c r="J297" s="85" t="str">
        <f>IFERROR(IF(VLOOKUP(TableHandbook[[#This Row],[UDC]],TableAvailabilities[],5,FALSE)&gt;0,"Y",""),"")</f>
        <v/>
      </c>
      <c r="K297" s="168"/>
      <c r="L297" s="160" t="str">
        <f>IFERROR(VLOOKUP(TableHandbook[[#This Row],[UDC]],TableBARTS[],7,FALSE),"")</f>
        <v/>
      </c>
      <c r="M297" s="65" t="str">
        <f>IFERROR(VLOOKUP(TableHandbook[[#This Row],[UDC]],TableMJRUANTSO[],7,FALSE),"")</f>
        <v/>
      </c>
      <c r="N297" s="47" t="str">
        <f>IFERROR(VLOOKUP(TableHandbook[[#This Row],[UDC]],TableMJRUCHNSE[],7,FALSE),"")</f>
        <v/>
      </c>
      <c r="O297" s="47" t="str">
        <f>IFERROR(VLOOKUP(TableHandbook[[#This Row],[UDC]],TableMJRUCRWRI[],7,FALSE),"")</f>
        <v/>
      </c>
      <c r="P297" s="47" t="str">
        <f>IFERROR(VLOOKUP(TableHandbook[[#This Row],[UDC]],TableMJRUGEOGR[],7,FALSE),"")</f>
        <v/>
      </c>
      <c r="Q297" s="47" t="str">
        <f>IFERROR(VLOOKUP(TableHandbook[[#This Row],[UDC]],TableMJRUHISTR[],7,FALSE),"")</f>
        <v/>
      </c>
      <c r="R297" s="47" t="str">
        <f>IFERROR(VLOOKUP(TableHandbook[[#This Row],[UDC]],TableMJRUINAUC[],7,FALSE),"")</f>
        <v/>
      </c>
      <c r="S297" s="47" t="str">
        <f>IFERROR(VLOOKUP(TableHandbook[[#This Row],[UDC]],TableMJRUINTRL[],7,FALSE),"")</f>
        <v/>
      </c>
      <c r="T297" s="47" t="str">
        <f>IFERROR(VLOOKUP(TableHandbook[[#This Row],[UDC]],TableMJRUJAPAN[],7,FALSE),"")</f>
        <v/>
      </c>
      <c r="U297" s="47" t="str">
        <f>IFERROR(VLOOKUP(TableHandbook[[#This Row],[UDC]],TableMJRUJOURN[],7,FALSE),"")</f>
        <v/>
      </c>
      <c r="V297" s="65" t="str">
        <f>IFERROR(VLOOKUP(TableHandbook[[#This Row],[UDC]],TableMJRUKORES[],7,FALSE),"")</f>
        <v/>
      </c>
      <c r="W297" s="65" t="str">
        <f>IFERROR(VLOOKUP(TableHandbook[[#This Row],[UDC]],TableMJRULITCU[],7,FALSE),"")</f>
        <v/>
      </c>
      <c r="X297" s="65" t="str">
        <f>IFERROR(VLOOKUP(TableHandbook[[#This Row],[UDC]],TableMJRUNETCM[],7,FALSE),"")</f>
        <v/>
      </c>
      <c r="Y297" s="65" t="str">
        <f>IFERROR(VLOOKUP(TableHandbook[[#This Row],[UDC]],TableMJRUPRWRP[],7,FALSE),"")</f>
        <v/>
      </c>
      <c r="Z297" s="65" t="str">
        <f>IFERROR(VLOOKUP(TableHandbook[[#This Row],[UDC]],TableMJRUSCSTR[],7,FALSE),"")</f>
        <v/>
      </c>
      <c r="AA297" s="74"/>
      <c r="AB297" s="43" t="str">
        <f>IFERROR(VLOOKUP(TableHandbook[[#This Row],[UDC]],TableMJRUBSLAW[],7,FALSE),"")</f>
        <v/>
      </c>
      <c r="AC297" s="66" t="str">
        <f>IFERROR(VLOOKUP(TableHandbook[[#This Row],[UDC]],TableMJRUECONS[],7,FALSE),"")</f>
        <v/>
      </c>
      <c r="AD297" s="66" t="str">
        <f>IFERROR(VLOOKUP(TableHandbook[[#This Row],[UDC]],TableMJRUFINAR[],7,FALSE),"")</f>
        <v/>
      </c>
      <c r="AE297" s="66" t="str">
        <f>IFERROR(VLOOKUP(TableHandbook[[#This Row],[UDC]],TableMJRUFINCE[],7,FALSE),"")</f>
        <v/>
      </c>
      <c r="AF297" s="66" t="str">
        <f>IFERROR(VLOOKUP(TableHandbook[[#This Row],[UDC]],TableMJRUHRMGM[],7,FALSE),"")</f>
        <v/>
      </c>
      <c r="AG297" s="66" t="str">
        <f>IFERROR(VLOOKUP(TableHandbook[[#This Row],[UDC]],TableMJRUINTBU[],7,FALSE),"")</f>
        <v/>
      </c>
      <c r="AH297" s="66" t="str">
        <f>IFERROR(VLOOKUP(TableHandbook[[#This Row],[UDC]],TableMJRULGSCM[],7,FALSE),"")</f>
        <v/>
      </c>
      <c r="AI297" s="66" t="str">
        <f>IFERROR(VLOOKUP(TableHandbook[[#This Row],[UDC]],TableMJRUMNGMT[],7,FALSE),"")</f>
        <v/>
      </c>
      <c r="AJ297" s="66" t="str">
        <f>IFERROR(VLOOKUP(TableHandbook[[#This Row],[UDC]],TableMJRUMRKTG[],7,FALSE),"")</f>
        <v/>
      </c>
      <c r="AK297" s="66" t="str">
        <f>IFERROR(VLOOKUP(TableHandbook[[#This Row],[UDC]],TableMJRUPRPTY[],7,FALSE),"")</f>
        <v/>
      </c>
      <c r="AL297" s="66" t="str">
        <f>IFERROR(VLOOKUP(TableHandbook[[#This Row],[UDC]],TableMJRUSCRAR[],7,FALSE),"")</f>
        <v>AltCore</v>
      </c>
      <c r="AM297" s="66" t="str">
        <f>IFERROR(VLOOKUP(TableHandbook[[#This Row],[UDC]],TableMJRUTHTRA[],7,FALSE),"")</f>
        <v/>
      </c>
      <c r="AN297" s="66" t="str">
        <f>IFERROR(VLOOKUP(TableHandbook[[#This Row],[UDC]],TableMJRUTRHOS[],7,FALSE),"")</f>
        <v/>
      </c>
    </row>
    <row r="298" spans="1:40" ht="26.25" x14ac:dyDescent="0.25">
      <c r="A298" s="6" t="s">
        <v>850</v>
      </c>
      <c r="B298" s="107">
        <v>1</v>
      </c>
      <c r="C298" s="6"/>
      <c r="D298" s="6" t="s">
        <v>851</v>
      </c>
      <c r="E298" s="9">
        <v>25</v>
      </c>
      <c r="F298" s="49" t="s">
        <v>852</v>
      </c>
      <c r="G298" s="82" t="str">
        <f>IFERROR(IF(VLOOKUP(TableHandbook[[#This Row],[UDC]],TableAvailabilities[],2,FALSE)&gt;0,"Y",""),"")</f>
        <v>Y</v>
      </c>
      <c r="H298" s="83" t="str">
        <f>IFERROR(IF(VLOOKUP(TableHandbook[[#This Row],[UDC]],TableAvailabilities[],3,FALSE)&gt;0,"Y",""),"")</f>
        <v/>
      </c>
      <c r="I298" s="84" t="str">
        <f>IFERROR(IF(VLOOKUP(TableHandbook[[#This Row],[UDC]],TableAvailabilities[],4,FALSE)&gt;0,"Y",""),"")</f>
        <v/>
      </c>
      <c r="J298" s="85" t="str">
        <f>IFERROR(IF(VLOOKUP(TableHandbook[[#This Row],[UDC]],TableAvailabilities[],5,FALSE)&gt;0,"Y",""),"")</f>
        <v/>
      </c>
      <c r="K298" s="189" t="s">
        <v>853</v>
      </c>
      <c r="L298" s="160" t="str">
        <f>IFERROR(VLOOKUP(TableHandbook[[#This Row],[UDC]],TableBARTS[],7,FALSE),"")</f>
        <v/>
      </c>
      <c r="M298" s="65" t="str">
        <f>IFERROR(VLOOKUP(TableHandbook[[#This Row],[UDC]],TableMJRUANTSO[],7,FALSE),"")</f>
        <v/>
      </c>
      <c r="N298" s="47" t="str">
        <f>IFERROR(VLOOKUP(TableHandbook[[#This Row],[UDC]],TableMJRUCHNSE[],7,FALSE),"")</f>
        <v/>
      </c>
      <c r="O298" s="47" t="str">
        <f>IFERROR(VLOOKUP(TableHandbook[[#This Row],[UDC]],TableMJRUCRWRI[],7,FALSE),"")</f>
        <v/>
      </c>
      <c r="P298" s="47" t="str">
        <f>IFERROR(VLOOKUP(TableHandbook[[#This Row],[UDC]],TableMJRUGEOGR[],7,FALSE),"")</f>
        <v/>
      </c>
      <c r="Q298" s="47" t="str">
        <f>IFERROR(VLOOKUP(TableHandbook[[#This Row],[UDC]],TableMJRUHISTR[],7,FALSE),"")</f>
        <v/>
      </c>
      <c r="R298" s="47" t="str">
        <f>IFERROR(VLOOKUP(TableHandbook[[#This Row],[UDC]],TableMJRUINAUC[],7,FALSE),"")</f>
        <v/>
      </c>
      <c r="S298" s="47" t="str">
        <f>IFERROR(VLOOKUP(TableHandbook[[#This Row],[UDC]],TableMJRUINTRL[],7,FALSE),"")</f>
        <v/>
      </c>
      <c r="T298" s="47" t="str">
        <f>IFERROR(VLOOKUP(TableHandbook[[#This Row],[UDC]],TableMJRUJAPAN[],7,FALSE),"")</f>
        <v/>
      </c>
      <c r="U298" s="47" t="str">
        <f>IFERROR(VLOOKUP(TableHandbook[[#This Row],[UDC]],TableMJRUJOURN[],7,FALSE),"")</f>
        <v/>
      </c>
      <c r="V298" s="65" t="str">
        <f>IFERROR(VLOOKUP(TableHandbook[[#This Row],[UDC]],TableMJRUKORES[],7,FALSE),"")</f>
        <v/>
      </c>
      <c r="W298" s="65" t="str">
        <f>IFERROR(VLOOKUP(TableHandbook[[#This Row],[UDC]],TableMJRULITCU[],7,FALSE),"")</f>
        <v/>
      </c>
      <c r="X298" s="65" t="str">
        <f>IFERROR(VLOOKUP(TableHandbook[[#This Row],[UDC]],TableMJRUNETCM[],7,FALSE),"")</f>
        <v/>
      </c>
      <c r="Y298" s="65" t="str">
        <f>IFERROR(VLOOKUP(TableHandbook[[#This Row],[UDC]],TableMJRUPRWRP[],7,FALSE),"")</f>
        <v/>
      </c>
      <c r="Z298" s="65" t="str">
        <f>IFERROR(VLOOKUP(TableHandbook[[#This Row],[UDC]],TableMJRUSCSTR[],7,FALSE),"")</f>
        <v/>
      </c>
      <c r="AA298" s="74"/>
      <c r="AB298" s="43" t="str">
        <f>IFERROR(VLOOKUP(TableHandbook[[#This Row],[UDC]],TableMJRUBSLAW[],7,FALSE),"")</f>
        <v/>
      </c>
      <c r="AC298" s="66" t="str">
        <f>IFERROR(VLOOKUP(TableHandbook[[#This Row],[UDC]],TableMJRUECONS[],7,FALSE),"")</f>
        <v/>
      </c>
      <c r="AD298" s="66" t="str">
        <f>IFERROR(VLOOKUP(TableHandbook[[#This Row],[UDC]],TableMJRUFINAR[],7,FALSE),"")</f>
        <v/>
      </c>
      <c r="AE298" s="66" t="str">
        <f>IFERROR(VLOOKUP(TableHandbook[[#This Row],[UDC]],TableMJRUFINCE[],7,FALSE),"")</f>
        <v/>
      </c>
      <c r="AF298" s="66" t="str">
        <f>IFERROR(VLOOKUP(TableHandbook[[#This Row],[UDC]],TableMJRUHRMGM[],7,FALSE),"")</f>
        <v/>
      </c>
      <c r="AG298" s="66" t="str">
        <f>IFERROR(VLOOKUP(TableHandbook[[#This Row],[UDC]],TableMJRUINTBU[],7,FALSE),"")</f>
        <v/>
      </c>
      <c r="AH298" s="66" t="str">
        <f>IFERROR(VLOOKUP(TableHandbook[[#This Row],[UDC]],TableMJRULGSCM[],7,FALSE),"")</f>
        <v/>
      </c>
      <c r="AI298" s="66" t="str">
        <f>IFERROR(VLOOKUP(TableHandbook[[#This Row],[UDC]],TableMJRUMNGMT[],7,FALSE),"")</f>
        <v/>
      </c>
      <c r="AJ298" s="66" t="str">
        <f>IFERROR(VLOOKUP(TableHandbook[[#This Row],[UDC]],TableMJRUMRKTG[],7,FALSE),"")</f>
        <v/>
      </c>
      <c r="AK298" s="66" t="str">
        <f>IFERROR(VLOOKUP(TableHandbook[[#This Row],[UDC]],TableMJRUPRPTY[],7,FALSE),"")</f>
        <v/>
      </c>
      <c r="AL298" s="66" t="str">
        <f>IFERROR(VLOOKUP(TableHandbook[[#This Row],[UDC]],TableMJRUSCRAR[],7,FALSE),"")</f>
        <v>AltCore</v>
      </c>
      <c r="AM298" s="66" t="str">
        <f>IFERROR(VLOOKUP(TableHandbook[[#This Row],[UDC]],TableMJRUTHTRA[],7,FALSE),"")</f>
        <v/>
      </c>
      <c r="AN298" s="66" t="str">
        <f>IFERROR(VLOOKUP(TableHandbook[[#This Row],[UDC]],TableMJRUTRHOS[],7,FALSE),"")</f>
        <v/>
      </c>
    </row>
    <row r="299" spans="1:40" x14ac:dyDescent="0.25">
      <c r="A299" s="6" t="s">
        <v>488</v>
      </c>
      <c r="B299" s="107">
        <v>1</v>
      </c>
      <c r="C299" s="6"/>
      <c r="D299" s="6" t="s">
        <v>854</v>
      </c>
      <c r="E299" s="9">
        <v>25</v>
      </c>
      <c r="F299" s="49" t="s">
        <v>69</v>
      </c>
      <c r="G299" s="67" t="str">
        <f>IFERROR(IF(VLOOKUP(TableHandbook[[#This Row],[UDC]],TableAvailabilities[],2,FALSE)&gt;0,"Y",""),"")</f>
        <v>Y</v>
      </c>
      <c r="H299" s="68" t="str">
        <f>IFERROR(IF(VLOOKUP(TableHandbook[[#This Row],[UDC]],TableAvailabilities[],3,FALSE)&gt;0,"Y",""),"")</f>
        <v/>
      </c>
      <c r="I299" s="69" t="str">
        <f>IFERROR(IF(VLOOKUP(TableHandbook[[#This Row],[UDC]],TableAvailabilities[],4,FALSE)&gt;0,"Y",""),"")</f>
        <v>Y</v>
      </c>
      <c r="J299" s="70" t="str">
        <f>IFERROR(IF(VLOOKUP(TableHandbook[[#This Row],[UDC]],TableAvailabilities[],5,FALSE)&gt;0,"Y",""),"")</f>
        <v/>
      </c>
      <c r="K299" s="188" t="s">
        <v>855</v>
      </c>
      <c r="L299" s="160" t="str">
        <f>IFERROR(VLOOKUP(TableHandbook[[#This Row],[UDC]],TableBARTS[],7,FALSE),"")</f>
        <v/>
      </c>
      <c r="M299" s="65" t="str">
        <f>IFERROR(VLOOKUP(TableHandbook[[#This Row],[UDC]],TableMJRUANTSO[],7,FALSE),"")</f>
        <v/>
      </c>
      <c r="N299" s="47" t="str">
        <f>IFERROR(VLOOKUP(TableHandbook[[#This Row],[UDC]],TableMJRUCHNSE[],7,FALSE),"")</f>
        <v/>
      </c>
      <c r="O299" s="47" t="str">
        <f>IFERROR(VLOOKUP(TableHandbook[[#This Row],[UDC]],TableMJRUCRWRI[],7,FALSE),"")</f>
        <v/>
      </c>
      <c r="P299" s="47" t="str">
        <f>IFERROR(VLOOKUP(TableHandbook[[#This Row],[UDC]],TableMJRUGEOGR[],7,FALSE),"")</f>
        <v/>
      </c>
      <c r="Q299" s="47" t="str">
        <f>IFERROR(VLOOKUP(TableHandbook[[#This Row],[UDC]],TableMJRUHISTR[],7,FALSE),"")</f>
        <v/>
      </c>
      <c r="R299" s="47" t="str">
        <f>IFERROR(VLOOKUP(TableHandbook[[#This Row],[UDC]],TableMJRUINAUC[],7,FALSE),"")</f>
        <v/>
      </c>
      <c r="S299" s="47" t="str">
        <f>IFERROR(VLOOKUP(TableHandbook[[#This Row],[UDC]],TableMJRUINTRL[],7,FALSE),"")</f>
        <v/>
      </c>
      <c r="T299" s="47" t="str">
        <f>IFERROR(VLOOKUP(TableHandbook[[#This Row],[UDC]],TableMJRUJAPAN[],7,FALSE),"")</f>
        <v/>
      </c>
      <c r="U299" s="47" t="str">
        <f>IFERROR(VLOOKUP(TableHandbook[[#This Row],[UDC]],TableMJRUJOURN[],7,FALSE),"")</f>
        <v/>
      </c>
      <c r="V299" s="65" t="str">
        <f>IFERROR(VLOOKUP(TableHandbook[[#This Row],[UDC]],TableMJRUKORES[],7,FALSE),"")</f>
        <v/>
      </c>
      <c r="W299" s="65" t="str">
        <f>IFERROR(VLOOKUP(TableHandbook[[#This Row],[UDC]],TableMJRULITCU[],7,FALSE),"")</f>
        <v/>
      </c>
      <c r="X299" s="65" t="str">
        <f>IFERROR(VLOOKUP(TableHandbook[[#This Row],[UDC]],TableMJRUNETCM[],7,FALSE),"")</f>
        <v/>
      </c>
      <c r="Y299" s="65" t="str">
        <f>IFERROR(VLOOKUP(TableHandbook[[#This Row],[UDC]],TableMJRUPRWRP[],7,FALSE),"")</f>
        <v/>
      </c>
      <c r="Z299" s="65" t="str">
        <f>IFERROR(VLOOKUP(TableHandbook[[#This Row],[UDC]],TableMJRUSCSTR[],7,FALSE),"")</f>
        <v/>
      </c>
      <c r="AA299" s="74"/>
      <c r="AB299" s="43" t="str">
        <f>IFERROR(VLOOKUP(TableHandbook[[#This Row],[UDC]],TableMJRUBSLAW[],7,FALSE),"")</f>
        <v/>
      </c>
      <c r="AC299" s="66" t="str">
        <f>IFERROR(VLOOKUP(TableHandbook[[#This Row],[UDC]],TableMJRUECONS[],7,FALSE),"")</f>
        <v/>
      </c>
      <c r="AD299" s="66" t="str">
        <f>IFERROR(VLOOKUP(TableHandbook[[#This Row],[UDC]],TableMJRUFINAR[],7,FALSE),"")</f>
        <v/>
      </c>
      <c r="AE299" s="66" t="str">
        <f>IFERROR(VLOOKUP(TableHandbook[[#This Row],[UDC]],TableMJRUFINCE[],7,FALSE),"")</f>
        <v/>
      </c>
      <c r="AF299" s="66" t="str">
        <f>IFERROR(VLOOKUP(TableHandbook[[#This Row],[UDC]],TableMJRUHRMGM[],7,FALSE),"")</f>
        <v/>
      </c>
      <c r="AG299" s="66" t="str">
        <f>IFERROR(VLOOKUP(TableHandbook[[#This Row],[UDC]],TableMJRUINTBU[],7,FALSE),"")</f>
        <v/>
      </c>
      <c r="AH299" s="66" t="str">
        <f>IFERROR(VLOOKUP(TableHandbook[[#This Row],[UDC]],TableMJRULGSCM[],7,FALSE),"")</f>
        <v/>
      </c>
      <c r="AI299" s="66" t="str">
        <f>IFERROR(VLOOKUP(TableHandbook[[#This Row],[UDC]],TableMJRUMNGMT[],7,FALSE),"")</f>
        <v/>
      </c>
      <c r="AJ299" s="66" t="str">
        <f>IFERROR(VLOOKUP(TableHandbook[[#This Row],[UDC]],TableMJRUMRKTG[],7,FALSE),"")</f>
        <v/>
      </c>
      <c r="AK299" s="66" t="str">
        <f>IFERROR(VLOOKUP(TableHandbook[[#This Row],[UDC]],TableMJRUPRPTY[],7,FALSE),"")</f>
        <v/>
      </c>
      <c r="AL299" s="66" t="str">
        <f>IFERROR(VLOOKUP(TableHandbook[[#This Row],[UDC]],TableMJRUSCRAR[],7,FALSE),"")</f>
        <v>Option</v>
      </c>
      <c r="AM299" s="66" t="str">
        <f>IFERROR(VLOOKUP(TableHandbook[[#This Row],[UDC]],TableMJRUTHTRA[],7,FALSE),"")</f>
        <v/>
      </c>
      <c r="AN299" s="66" t="str">
        <f>IFERROR(VLOOKUP(TableHandbook[[#This Row],[UDC]],TableMJRUTRHOS[],7,FALSE),"")</f>
        <v/>
      </c>
    </row>
    <row r="300" spans="1:40" x14ac:dyDescent="0.25">
      <c r="A300" s="8" t="s">
        <v>70</v>
      </c>
      <c r="B300" s="9">
        <v>1</v>
      </c>
      <c r="C300" s="8"/>
      <c r="D300" s="8" t="s">
        <v>856</v>
      </c>
      <c r="E300" s="9">
        <v>25</v>
      </c>
      <c r="F300" s="49" t="s">
        <v>526</v>
      </c>
      <c r="G300" s="82" t="str">
        <f>IFERROR(IF(VLOOKUP(TableHandbook[[#This Row],[UDC]],TableAvailabilities[],2,FALSE)&gt;0,"Y",""),"")</f>
        <v>Y</v>
      </c>
      <c r="H300" s="83" t="str">
        <f>IFERROR(IF(VLOOKUP(TableHandbook[[#This Row],[UDC]],TableAvailabilities[],3,FALSE)&gt;0,"Y",""),"")</f>
        <v>Y</v>
      </c>
      <c r="I300" s="84" t="str">
        <f>IFERROR(IF(VLOOKUP(TableHandbook[[#This Row],[UDC]],TableAvailabilities[],4,FALSE)&gt;0,"Y",""),"")</f>
        <v/>
      </c>
      <c r="J300" s="85" t="str">
        <f>IFERROR(IF(VLOOKUP(TableHandbook[[#This Row],[UDC]],TableAvailabilities[],5,FALSE)&gt;0,"Y",""),"")</f>
        <v/>
      </c>
      <c r="K300" s="168"/>
      <c r="L300" s="160" t="str">
        <f>IFERROR(VLOOKUP(TableHandbook[[#This Row],[UDC]],TableBARTS[],7,FALSE),"")</f>
        <v>Option</v>
      </c>
      <c r="M300" s="65" t="str">
        <f>IFERROR(VLOOKUP(TableHandbook[[#This Row],[UDC]],TableMJRUANTSO[],7,FALSE),"")</f>
        <v/>
      </c>
      <c r="N300" s="65" t="str">
        <f>IFERROR(VLOOKUP(TableHandbook[[#This Row],[UDC]],TableMJRUCHNSE[],7,FALSE),"")</f>
        <v/>
      </c>
      <c r="O300" s="65" t="str">
        <f>IFERROR(VLOOKUP(TableHandbook[[#This Row],[UDC]],TableMJRUCRWRI[],7,FALSE),"")</f>
        <v/>
      </c>
      <c r="P300" s="65" t="str">
        <f>IFERROR(VLOOKUP(TableHandbook[[#This Row],[UDC]],TableMJRUGEOGR[],7,FALSE),"")</f>
        <v/>
      </c>
      <c r="Q300" s="65" t="str">
        <f>IFERROR(VLOOKUP(TableHandbook[[#This Row],[UDC]],TableMJRUHISTR[],7,FALSE),"")</f>
        <v/>
      </c>
      <c r="R300" s="65" t="str">
        <f>IFERROR(VLOOKUP(TableHandbook[[#This Row],[UDC]],TableMJRUINAUC[],7,FALSE),"")</f>
        <v/>
      </c>
      <c r="S300" s="65" t="str">
        <f>IFERROR(VLOOKUP(TableHandbook[[#This Row],[UDC]],TableMJRUINTRL[],7,FALSE),"")</f>
        <v/>
      </c>
      <c r="T300" s="65" t="str">
        <f>IFERROR(VLOOKUP(TableHandbook[[#This Row],[UDC]],TableMJRUJAPAN[],7,FALSE),"")</f>
        <v/>
      </c>
      <c r="U300" s="65" t="str">
        <f>IFERROR(VLOOKUP(TableHandbook[[#This Row],[UDC]],TableMJRUJOURN[],7,FALSE),"")</f>
        <v/>
      </c>
      <c r="V300" s="65" t="str">
        <f>IFERROR(VLOOKUP(TableHandbook[[#This Row],[UDC]],TableMJRUKORES[],7,FALSE),"")</f>
        <v/>
      </c>
      <c r="W300" s="65" t="str">
        <f>IFERROR(VLOOKUP(TableHandbook[[#This Row],[UDC]],TableMJRULITCU[],7,FALSE),"")</f>
        <v/>
      </c>
      <c r="X300" s="65" t="str">
        <f>IFERROR(VLOOKUP(TableHandbook[[#This Row],[UDC]],TableMJRUNETCM[],7,FALSE),"")</f>
        <v/>
      </c>
      <c r="Y300" s="65" t="str">
        <f>IFERROR(VLOOKUP(TableHandbook[[#This Row],[UDC]],TableMJRUPRWRP[],7,FALSE),"")</f>
        <v/>
      </c>
      <c r="Z300" s="65" t="str">
        <f>IFERROR(VLOOKUP(TableHandbook[[#This Row],[UDC]],TableMJRUSCSTR[],7,FALSE),"")</f>
        <v/>
      </c>
      <c r="AA300" s="74"/>
      <c r="AB300" s="43" t="str">
        <f>IFERROR(VLOOKUP(TableHandbook[[#This Row],[UDC]],TableMJRUBSLAW[],7,FALSE),"")</f>
        <v/>
      </c>
      <c r="AC300" s="66" t="str">
        <f>IFERROR(VLOOKUP(TableHandbook[[#This Row],[UDC]],TableMJRUECONS[],7,FALSE),"")</f>
        <v/>
      </c>
      <c r="AD300" s="66" t="str">
        <f>IFERROR(VLOOKUP(TableHandbook[[#This Row],[UDC]],TableMJRUFINAR[],7,FALSE),"")</f>
        <v/>
      </c>
      <c r="AE300" s="66" t="str">
        <f>IFERROR(VLOOKUP(TableHandbook[[#This Row],[UDC]],TableMJRUFINCE[],7,FALSE),"")</f>
        <v/>
      </c>
      <c r="AF300" s="66" t="str">
        <f>IFERROR(VLOOKUP(TableHandbook[[#This Row],[UDC]],TableMJRUHRMGM[],7,FALSE),"")</f>
        <v/>
      </c>
      <c r="AG300" s="66" t="str">
        <f>IFERROR(VLOOKUP(TableHandbook[[#This Row],[UDC]],TableMJRUINTBU[],7,FALSE),"")</f>
        <v/>
      </c>
      <c r="AH300" s="66" t="str">
        <f>IFERROR(VLOOKUP(TableHandbook[[#This Row],[UDC]],TableMJRULGSCM[],7,FALSE),"")</f>
        <v/>
      </c>
      <c r="AI300" s="66" t="str">
        <f>IFERROR(VLOOKUP(TableHandbook[[#This Row],[UDC]],TableMJRUMNGMT[],7,FALSE),"")</f>
        <v/>
      </c>
      <c r="AJ300" s="66" t="str">
        <f>IFERROR(VLOOKUP(TableHandbook[[#This Row],[UDC]],TableMJRUMRKTG[],7,FALSE),"")</f>
        <v/>
      </c>
      <c r="AK300" s="66" t="str">
        <f>IFERROR(VLOOKUP(TableHandbook[[#This Row],[UDC]],TableMJRUPRPTY[],7,FALSE),"")</f>
        <v/>
      </c>
      <c r="AL300" s="66" t="str">
        <f>IFERROR(VLOOKUP(TableHandbook[[#This Row],[UDC]],TableMJRUSCRAR[],7,FALSE),"")</f>
        <v/>
      </c>
      <c r="AM300" s="66" t="str">
        <f>IFERROR(VLOOKUP(TableHandbook[[#This Row],[UDC]],TableMJRUTHTRA[],7,FALSE),"")</f>
        <v/>
      </c>
      <c r="AN300" s="66" t="str">
        <f>IFERROR(VLOOKUP(TableHandbook[[#This Row],[UDC]],TableMJRUTRHOS[],7,FALSE),"")</f>
        <v/>
      </c>
    </row>
    <row r="301" spans="1:40" x14ac:dyDescent="0.25">
      <c r="A301" s="8" t="s">
        <v>71</v>
      </c>
      <c r="B301" s="9">
        <v>1</v>
      </c>
      <c r="C301" s="8"/>
      <c r="D301" s="8" t="s">
        <v>857</v>
      </c>
      <c r="E301" s="9">
        <v>25</v>
      </c>
      <c r="F301" s="49" t="s">
        <v>526</v>
      </c>
      <c r="G301" s="82" t="str">
        <f>IFERROR(IF(VLOOKUP(TableHandbook[[#This Row],[UDC]],TableAvailabilities[],2,FALSE)&gt;0,"Y",""),"")</f>
        <v/>
      </c>
      <c r="H301" s="83" t="str">
        <f>IFERROR(IF(VLOOKUP(TableHandbook[[#This Row],[UDC]],TableAvailabilities[],3,FALSE)&gt;0,"Y",""),"")</f>
        <v/>
      </c>
      <c r="I301" s="84" t="str">
        <f>IFERROR(IF(VLOOKUP(TableHandbook[[#This Row],[UDC]],TableAvailabilities[],4,FALSE)&gt;0,"Y",""),"")</f>
        <v>Y</v>
      </c>
      <c r="J301" s="85" t="str">
        <f>IFERROR(IF(VLOOKUP(TableHandbook[[#This Row],[UDC]],TableAvailabilities[],5,FALSE)&gt;0,"Y",""),"")</f>
        <v>Y</v>
      </c>
      <c r="K301" s="168"/>
      <c r="L301" s="160" t="str">
        <f>IFERROR(VLOOKUP(TableHandbook[[#This Row],[UDC]],TableBARTS[],7,FALSE),"")</f>
        <v>Option</v>
      </c>
      <c r="M301" s="65" t="str">
        <f>IFERROR(VLOOKUP(TableHandbook[[#This Row],[UDC]],TableMJRUANTSO[],7,FALSE),"")</f>
        <v/>
      </c>
      <c r="N301" s="47" t="str">
        <f>IFERROR(VLOOKUP(TableHandbook[[#This Row],[UDC]],TableMJRUCHNSE[],7,FALSE),"")</f>
        <v/>
      </c>
      <c r="O301" s="47" t="str">
        <f>IFERROR(VLOOKUP(TableHandbook[[#This Row],[UDC]],TableMJRUCRWRI[],7,FALSE),"")</f>
        <v/>
      </c>
      <c r="P301" s="47" t="str">
        <f>IFERROR(VLOOKUP(TableHandbook[[#This Row],[UDC]],TableMJRUGEOGR[],7,FALSE),"")</f>
        <v/>
      </c>
      <c r="Q301" s="47" t="str">
        <f>IFERROR(VLOOKUP(TableHandbook[[#This Row],[UDC]],TableMJRUHISTR[],7,FALSE),"")</f>
        <v/>
      </c>
      <c r="R301" s="47" t="str">
        <f>IFERROR(VLOOKUP(TableHandbook[[#This Row],[UDC]],TableMJRUINAUC[],7,FALSE),"")</f>
        <v/>
      </c>
      <c r="S301" s="47" t="str">
        <f>IFERROR(VLOOKUP(TableHandbook[[#This Row],[UDC]],TableMJRUINTRL[],7,FALSE),"")</f>
        <v/>
      </c>
      <c r="T301" s="47" t="str">
        <f>IFERROR(VLOOKUP(TableHandbook[[#This Row],[UDC]],TableMJRUJAPAN[],7,FALSE),"")</f>
        <v/>
      </c>
      <c r="U301" s="47" t="str">
        <f>IFERROR(VLOOKUP(TableHandbook[[#This Row],[UDC]],TableMJRUJOURN[],7,FALSE),"")</f>
        <v/>
      </c>
      <c r="V301" s="65" t="str">
        <f>IFERROR(VLOOKUP(TableHandbook[[#This Row],[UDC]],TableMJRUKORES[],7,FALSE),"")</f>
        <v/>
      </c>
      <c r="W301" s="65" t="str">
        <f>IFERROR(VLOOKUP(TableHandbook[[#This Row],[UDC]],TableMJRULITCU[],7,FALSE),"")</f>
        <v/>
      </c>
      <c r="X301" s="65" t="str">
        <f>IFERROR(VLOOKUP(TableHandbook[[#This Row],[UDC]],TableMJRUNETCM[],7,FALSE),"")</f>
        <v/>
      </c>
      <c r="Y301" s="65" t="str">
        <f>IFERROR(VLOOKUP(TableHandbook[[#This Row],[UDC]],TableMJRUPRWRP[],7,FALSE),"")</f>
        <v/>
      </c>
      <c r="Z301" s="65" t="str">
        <f>IFERROR(VLOOKUP(TableHandbook[[#This Row],[UDC]],TableMJRUSCSTR[],7,FALSE),"")</f>
        <v/>
      </c>
      <c r="AA301" s="74"/>
      <c r="AB301" s="43" t="str">
        <f>IFERROR(VLOOKUP(TableHandbook[[#This Row],[UDC]],TableMJRUBSLAW[],7,FALSE),"")</f>
        <v/>
      </c>
      <c r="AC301" s="66" t="str">
        <f>IFERROR(VLOOKUP(TableHandbook[[#This Row],[UDC]],TableMJRUECONS[],7,FALSE),"")</f>
        <v/>
      </c>
      <c r="AD301" s="66" t="str">
        <f>IFERROR(VLOOKUP(TableHandbook[[#This Row],[UDC]],TableMJRUFINAR[],7,FALSE),"")</f>
        <v/>
      </c>
      <c r="AE301" s="66" t="str">
        <f>IFERROR(VLOOKUP(TableHandbook[[#This Row],[UDC]],TableMJRUFINCE[],7,FALSE),"")</f>
        <v/>
      </c>
      <c r="AF301" s="66" t="str">
        <f>IFERROR(VLOOKUP(TableHandbook[[#This Row],[UDC]],TableMJRUHRMGM[],7,FALSE),"")</f>
        <v/>
      </c>
      <c r="AG301" s="66" t="str">
        <f>IFERROR(VLOOKUP(TableHandbook[[#This Row],[UDC]],TableMJRUINTBU[],7,FALSE),"")</f>
        <v/>
      </c>
      <c r="AH301" s="66" t="str">
        <f>IFERROR(VLOOKUP(TableHandbook[[#This Row],[UDC]],TableMJRULGSCM[],7,FALSE),"")</f>
        <v/>
      </c>
      <c r="AI301" s="66" t="str">
        <f>IFERROR(VLOOKUP(TableHandbook[[#This Row],[UDC]],TableMJRUMNGMT[],7,FALSE),"")</f>
        <v/>
      </c>
      <c r="AJ301" s="66" t="str">
        <f>IFERROR(VLOOKUP(TableHandbook[[#This Row],[UDC]],TableMJRUMRKTG[],7,FALSE),"")</f>
        <v/>
      </c>
      <c r="AK301" s="66" t="str">
        <f>IFERROR(VLOOKUP(TableHandbook[[#This Row],[UDC]],TableMJRUPRPTY[],7,FALSE),"")</f>
        <v/>
      </c>
      <c r="AL301" s="66" t="str">
        <f>IFERROR(VLOOKUP(TableHandbook[[#This Row],[UDC]],TableMJRUSCRAR[],7,FALSE),"")</f>
        <v/>
      </c>
      <c r="AM301" s="66" t="str">
        <f>IFERROR(VLOOKUP(TableHandbook[[#This Row],[UDC]],TableMJRUTHTRA[],7,FALSE),"")</f>
        <v/>
      </c>
      <c r="AN301" s="66" t="str">
        <f>IFERROR(VLOOKUP(TableHandbook[[#This Row],[UDC]],TableMJRUTRHOS[],7,FALSE),"")</f>
        <v/>
      </c>
    </row>
    <row r="302" spans="1:40" x14ac:dyDescent="0.25">
      <c r="A302" s="8" t="s">
        <v>217</v>
      </c>
      <c r="B302" s="9">
        <v>1</v>
      </c>
      <c r="C302" s="8"/>
      <c r="D302" s="8" t="s">
        <v>858</v>
      </c>
      <c r="E302" s="9">
        <v>25</v>
      </c>
      <c r="F302" s="49" t="s">
        <v>526</v>
      </c>
      <c r="G302" s="67" t="str">
        <f>IFERROR(IF(VLOOKUP(TableHandbook[[#This Row],[UDC]],TableAvailabilities[],2,FALSE)&gt;0,"Y",""),"")</f>
        <v/>
      </c>
      <c r="H302" s="68" t="str">
        <f>IFERROR(IF(VLOOKUP(TableHandbook[[#This Row],[UDC]],TableAvailabilities[],3,FALSE)&gt;0,"Y",""),"")</f>
        <v/>
      </c>
      <c r="I302" s="69" t="str">
        <f>IFERROR(IF(VLOOKUP(TableHandbook[[#This Row],[UDC]],TableAvailabilities[],4,FALSE)&gt;0,"Y",""),"")</f>
        <v>Y</v>
      </c>
      <c r="J302" s="70" t="str">
        <f>IFERROR(IF(VLOOKUP(TableHandbook[[#This Row],[UDC]],TableAvailabilities[],5,FALSE)&gt;0,"Y",""),"")</f>
        <v>Y</v>
      </c>
      <c r="K302" s="164"/>
      <c r="L302" s="160" t="str">
        <f>IFERROR(VLOOKUP(TableHandbook[[#This Row],[UDC]],TableBARTS[],7,FALSE),"")</f>
        <v/>
      </c>
      <c r="M302" s="65" t="str">
        <f>IFERROR(VLOOKUP(TableHandbook[[#This Row],[UDC]],TableMJRUANTSO[],7,FALSE),"")</f>
        <v/>
      </c>
      <c r="N302" s="47" t="str">
        <f>IFERROR(VLOOKUP(TableHandbook[[#This Row],[UDC]],TableMJRUCHNSE[],7,FALSE),"")</f>
        <v/>
      </c>
      <c r="O302" s="47" t="str">
        <f>IFERROR(VLOOKUP(TableHandbook[[#This Row],[UDC]],TableMJRUCRWRI[],7,FALSE),"")</f>
        <v/>
      </c>
      <c r="P302" s="47" t="str">
        <f>IFERROR(VLOOKUP(TableHandbook[[#This Row],[UDC]],TableMJRUGEOGR[],7,FALSE),"")</f>
        <v/>
      </c>
      <c r="Q302" s="47" t="str">
        <f>IFERROR(VLOOKUP(TableHandbook[[#This Row],[UDC]],TableMJRUHISTR[],7,FALSE),"")</f>
        <v/>
      </c>
      <c r="R302" s="47" t="str">
        <f>IFERROR(VLOOKUP(TableHandbook[[#This Row],[UDC]],TableMJRUINAUC[],7,FALSE),"")</f>
        <v/>
      </c>
      <c r="S302" s="47" t="str">
        <f>IFERROR(VLOOKUP(TableHandbook[[#This Row],[UDC]],TableMJRUINTRL[],7,FALSE),"")</f>
        <v/>
      </c>
      <c r="T302" s="47" t="str">
        <f>IFERROR(VLOOKUP(TableHandbook[[#This Row],[UDC]],TableMJRUJAPAN[],7,FALSE),"")</f>
        <v/>
      </c>
      <c r="U302" s="47" t="str">
        <f>IFERROR(VLOOKUP(TableHandbook[[#This Row],[UDC]],TableMJRUJOURN[],7,FALSE),"")</f>
        <v/>
      </c>
      <c r="V302" s="65" t="str">
        <f>IFERROR(VLOOKUP(TableHandbook[[#This Row],[UDC]],TableMJRUKORES[],7,FALSE),"")</f>
        <v/>
      </c>
      <c r="W302" s="65" t="str">
        <f>IFERROR(VLOOKUP(TableHandbook[[#This Row],[UDC]],TableMJRULITCU[],7,FALSE),"")</f>
        <v/>
      </c>
      <c r="X302" s="65" t="str">
        <f>IFERROR(VLOOKUP(TableHandbook[[#This Row],[UDC]],TableMJRUNETCM[],7,FALSE),"")</f>
        <v/>
      </c>
      <c r="Y302" s="65" t="str">
        <f>IFERROR(VLOOKUP(TableHandbook[[#This Row],[UDC]],TableMJRUPRWRP[],7,FALSE),"")</f>
        <v/>
      </c>
      <c r="Z302" s="65" t="str">
        <f>IFERROR(VLOOKUP(TableHandbook[[#This Row],[UDC]],TableMJRUSCSTR[],7,FALSE),"")</f>
        <v>Core</v>
      </c>
      <c r="AA302" s="74"/>
      <c r="AB302" s="43" t="str">
        <f>IFERROR(VLOOKUP(TableHandbook[[#This Row],[UDC]],TableMJRUBSLAW[],7,FALSE),"")</f>
        <v/>
      </c>
      <c r="AC302" s="66" t="str">
        <f>IFERROR(VLOOKUP(TableHandbook[[#This Row],[UDC]],TableMJRUECONS[],7,FALSE),"")</f>
        <v/>
      </c>
      <c r="AD302" s="66" t="str">
        <f>IFERROR(VLOOKUP(TableHandbook[[#This Row],[UDC]],TableMJRUFINAR[],7,FALSE),"")</f>
        <v/>
      </c>
      <c r="AE302" s="66" t="str">
        <f>IFERROR(VLOOKUP(TableHandbook[[#This Row],[UDC]],TableMJRUFINCE[],7,FALSE),"")</f>
        <v/>
      </c>
      <c r="AF302" s="66" t="str">
        <f>IFERROR(VLOOKUP(TableHandbook[[#This Row],[UDC]],TableMJRUHRMGM[],7,FALSE),"")</f>
        <v/>
      </c>
      <c r="AG302" s="66" t="str">
        <f>IFERROR(VLOOKUP(TableHandbook[[#This Row],[UDC]],TableMJRUINTBU[],7,FALSE),"")</f>
        <v/>
      </c>
      <c r="AH302" s="66" t="str">
        <f>IFERROR(VLOOKUP(TableHandbook[[#This Row],[UDC]],TableMJRULGSCM[],7,FALSE),"")</f>
        <v/>
      </c>
      <c r="AI302" s="66" t="str">
        <f>IFERROR(VLOOKUP(TableHandbook[[#This Row],[UDC]],TableMJRUMNGMT[],7,FALSE),"")</f>
        <v/>
      </c>
      <c r="AJ302" s="66" t="str">
        <f>IFERROR(VLOOKUP(TableHandbook[[#This Row],[UDC]],TableMJRUMRKTG[],7,FALSE),"")</f>
        <v/>
      </c>
      <c r="AK302" s="66" t="str">
        <f>IFERROR(VLOOKUP(TableHandbook[[#This Row],[UDC]],TableMJRUPRPTY[],7,FALSE),"")</f>
        <v/>
      </c>
      <c r="AL302" s="66" t="str">
        <f>IFERROR(VLOOKUP(TableHandbook[[#This Row],[UDC]],TableMJRUSCRAR[],7,FALSE),"")</f>
        <v/>
      </c>
      <c r="AM302" s="66" t="str">
        <f>IFERROR(VLOOKUP(TableHandbook[[#This Row],[UDC]],TableMJRUTHTRA[],7,FALSE),"")</f>
        <v/>
      </c>
      <c r="AN302" s="66" t="str">
        <f>IFERROR(VLOOKUP(TableHandbook[[#This Row],[UDC]],TableMJRUTRHOS[],7,FALSE),"")</f>
        <v/>
      </c>
    </row>
    <row r="303" spans="1:40" x14ac:dyDescent="0.25">
      <c r="A303" s="8" t="s">
        <v>216</v>
      </c>
      <c r="B303" s="9">
        <v>1</v>
      </c>
      <c r="C303" s="8"/>
      <c r="D303" s="8" t="s">
        <v>859</v>
      </c>
      <c r="E303" s="9">
        <v>25</v>
      </c>
      <c r="F303" s="49" t="s">
        <v>526</v>
      </c>
      <c r="G303" s="67" t="str">
        <f>IFERROR(IF(VLOOKUP(TableHandbook[[#This Row],[UDC]],TableAvailabilities[],2,FALSE)&gt;0,"Y",""),"")</f>
        <v>Y</v>
      </c>
      <c r="H303" s="68" t="str">
        <f>IFERROR(IF(VLOOKUP(TableHandbook[[#This Row],[UDC]],TableAvailabilities[],3,FALSE)&gt;0,"Y",""),"")</f>
        <v>Y</v>
      </c>
      <c r="I303" s="69" t="str">
        <f>IFERROR(IF(VLOOKUP(TableHandbook[[#This Row],[UDC]],TableAvailabilities[],4,FALSE)&gt;0,"Y",""),"")</f>
        <v/>
      </c>
      <c r="J303" s="70" t="str">
        <f>IFERROR(IF(VLOOKUP(TableHandbook[[#This Row],[UDC]],TableAvailabilities[],5,FALSE)&gt;0,"Y",""),"")</f>
        <v/>
      </c>
      <c r="K303" s="164"/>
      <c r="L303" s="160" t="str">
        <f>IFERROR(VLOOKUP(TableHandbook[[#This Row],[UDC]],TableBARTS[],7,FALSE),"")</f>
        <v/>
      </c>
      <c r="M303" s="65" t="str">
        <f>IFERROR(VLOOKUP(TableHandbook[[#This Row],[UDC]],TableMJRUANTSO[],7,FALSE),"")</f>
        <v/>
      </c>
      <c r="N303" s="65" t="str">
        <f>IFERROR(VLOOKUP(TableHandbook[[#This Row],[UDC]],TableMJRUCHNSE[],7,FALSE),"")</f>
        <v/>
      </c>
      <c r="O303" s="65" t="str">
        <f>IFERROR(VLOOKUP(TableHandbook[[#This Row],[UDC]],TableMJRUCRWRI[],7,FALSE),"")</f>
        <v/>
      </c>
      <c r="P303" s="65" t="str">
        <f>IFERROR(VLOOKUP(TableHandbook[[#This Row],[UDC]],TableMJRUGEOGR[],7,FALSE),"")</f>
        <v/>
      </c>
      <c r="Q303" s="65" t="str">
        <f>IFERROR(VLOOKUP(TableHandbook[[#This Row],[UDC]],TableMJRUHISTR[],7,FALSE),"")</f>
        <v/>
      </c>
      <c r="R303" s="65" t="str">
        <f>IFERROR(VLOOKUP(TableHandbook[[#This Row],[UDC]],TableMJRUINAUC[],7,FALSE),"")</f>
        <v/>
      </c>
      <c r="S303" s="65" t="str">
        <f>IFERROR(VLOOKUP(TableHandbook[[#This Row],[UDC]],TableMJRUINTRL[],7,FALSE),"")</f>
        <v/>
      </c>
      <c r="T303" s="65" t="str">
        <f>IFERROR(VLOOKUP(TableHandbook[[#This Row],[UDC]],TableMJRUJAPAN[],7,FALSE),"")</f>
        <v/>
      </c>
      <c r="U303" s="65" t="str">
        <f>IFERROR(VLOOKUP(TableHandbook[[#This Row],[UDC]],TableMJRUJOURN[],7,FALSE),"")</f>
        <v/>
      </c>
      <c r="V303" s="65" t="str">
        <f>IFERROR(VLOOKUP(TableHandbook[[#This Row],[UDC]],TableMJRUKORES[],7,FALSE),"")</f>
        <v/>
      </c>
      <c r="W303" s="65" t="str">
        <f>IFERROR(VLOOKUP(TableHandbook[[#This Row],[UDC]],TableMJRULITCU[],7,FALSE),"")</f>
        <v/>
      </c>
      <c r="X303" s="65" t="str">
        <f>IFERROR(VLOOKUP(TableHandbook[[#This Row],[UDC]],TableMJRUNETCM[],7,FALSE),"")</f>
        <v/>
      </c>
      <c r="Y303" s="65" t="str">
        <f>IFERROR(VLOOKUP(TableHandbook[[#This Row],[UDC]],TableMJRUPRWRP[],7,FALSE),"")</f>
        <v/>
      </c>
      <c r="Z303" s="65" t="str">
        <f>IFERROR(VLOOKUP(TableHandbook[[#This Row],[UDC]],TableMJRUSCSTR[],7,FALSE),"")</f>
        <v>Core</v>
      </c>
      <c r="AA303" s="74"/>
      <c r="AB303" s="43" t="str">
        <f>IFERROR(VLOOKUP(TableHandbook[[#This Row],[UDC]],TableMJRUBSLAW[],7,FALSE),"")</f>
        <v/>
      </c>
      <c r="AC303" s="66" t="str">
        <f>IFERROR(VLOOKUP(TableHandbook[[#This Row],[UDC]],TableMJRUECONS[],7,FALSE),"")</f>
        <v/>
      </c>
      <c r="AD303" s="66" t="str">
        <f>IFERROR(VLOOKUP(TableHandbook[[#This Row],[UDC]],TableMJRUFINAR[],7,FALSE),"")</f>
        <v/>
      </c>
      <c r="AE303" s="66" t="str">
        <f>IFERROR(VLOOKUP(TableHandbook[[#This Row],[UDC]],TableMJRUFINCE[],7,FALSE),"")</f>
        <v/>
      </c>
      <c r="AF303" s="66" t="str">
        <f>IFERROR(VLOOKUP(TableHandbook[[#This Row],[UDC]],TableMJRUHRMGM[],7,FALSE),"")</f>
        <v/>
      </c>
      <c r="AG303" s="66" t="str">
        <f>IFERROR(VLOOKUP(TableHandbook[[#This Row],[UDC]],TableMJRUINTBU[],7,FALSE),"")</f>
        <v/>
      </c>
      <c r="AH303" s="66" t="str">
        <f>IFERROR(VLOOKUP(TableHandbook[[#This Row],[UDC]],TableMJRULGSCM[],7,FALSE),"")</f>
        <v/>
      </c>
      <c r="AI303" s="66" t="str">
        <f>IFERROR(VLOOKUP(TableHandbook[[#This Row],[UDC]],TableMJRUMNGMT[],7,FALSE),"")</f>
        <v/>
      </c>
      <c r="AJ303" s="66" t="str">
        <f>IFERROR(VLOOKUP(TableHandbook[[#This Row],[UDC]],TableMJRUMRKTG[],7,FALSE),"")</f>
        <v/>
      </c>
      <c r="AK303" s="66" t="str">
        <f>IFERROR(VLOOKUP(TableHandbook[[#This Row],[UDC]],TableMJRUPRPTY[],7,FALSE),"")</f>
        <v/>
      </c>
      <c r="AL303" s="66" t="str">
        <f>IFERROR(VLOOKUP(TableHandbook[[#This Row],[UDC]],TableMJRUSCRAR[],7,FALSE),"")</f>
        <v/>
      </c>
      <c r="AM303" s="66" t="str">
        <f>IFERROR(VLOOKUP(TableHandbook[[#This Row],[UDC]],TableMJRUTHTRA[],7,FALSE),"")</f>
        <v/>
      </c>
      <c r="AN303" s="66" t="str">
        <f>IFERROR(VLOOKUP(TableHandbook[[#This Row],[UDC]],TableMJRUTRHOS[],7,FALSE),"")</f>
        <v/>
      </c>
    </row>
    <row r="304" spans="1:40" x14ac:dyDescent="0.25">
      <c r="A304" s="8" t="s">
        <v>240</v>
      </c>
      <c r="B304" s="9">
        <v>1</v>
      </c>
      <c r="C304" s="8"/>
      <c r="D304" s="8" t="s">
        <v>860</v>
      </c>
      <c r="E304" s="9">
        <v>25</v>
      </c>
      <c r="F304" s="49" t="s">
        <v>526</v>
      </c>
      <c r="G304" s="67" t="str">
        <f>IFERROR(IF(VLOOKUP(TableHandbook[[#This Row],[UDC]],TableAvailabilities[],2,FALSE)&gt;0,"Y",""),"")</f>
        <v>Y</v>
      </c>
      <c r="H304" s="68" t="str">
        <f>IFERROR(IF(VLOOKUP(TableHandbook[[#This Row],[UDC]],TableAvailabilities[],3,FALSE)&gt;0,"Y",""),"")</f>
        <v>Y</v>
      </c>
      <c r="I304" s="69" t="str">
        <f>IFERROR(IF(VLOOKUP(TableHandbook[[#This Row],[UDC]],TableAvailabilities[],4,FALSE)&gt;0,"Y",""),"")</f>
        <v/>
      </c>
      <c r="J304" s="70" t="str">
        <f>IFERROR(IF(VLOOKUP(TableHandbook[[#This Row],[UDC]],TableAvailabilities[],5,FALSE)&gt;0,"Y",""),"")</f>
        <v/>
      </c>
      <c r="K304" s="164"/>
      <c r="L304" s="160" t="str">
        <f>IFERROR(VLOOKUP(TableHandbook[[#This Row],[UDC]],TableBARTS[],7,FALSE),"")</f>
        <v/>
      </c>
      <c r="M304" s="65" t="str">
        <f>IFERROR(VLOOKUP(TableHandbook[[#This Row],[UDC]],TableMJRUANTSO[],7,FALSE),"")</f>
        <v/>
      </c>
      <c r="N304" s="65" t="str">
        <f>IFERROR(VLOOKUP(TableHandbook[[#This Row],[UDC]],TableMJRUCHNSE[],7,FALSE),"")</f>
        <v/>
      </c>
      <c r="O304" s="65" t="str">
        <f>IFERROR(VLOOKUP(TableHandbook[[#This Row],[UDC]],TableMJRUCRWRI[],7,FALSE),"")</f>
        <v/>
      </c>
      <c r="P304" s="65" t="str">
        <f>IFERROR(VLOOKUP(TableHandbook[[#This Row],[UDC]],TableMJRUGEOGR[],7,FALSE),"")</f>
        <v/>
      </c>
      <c r="Q304" s="65" t="str">
        <f>IFERROR(VLOOKUP(TableHandbook[[#This Row],[UDC]],TableMJRUHISTR[],7,FALSE),"")</f>
        <v/>
      </c>
      <c r="R304" s="65" t="str">
        <f>IFERROR(VLOOKUP(TableHandbook[[#This Row],[UDC]],TableMJRUINAUC[],7,FALSE),"")</f>
        <v/>
      </c>
      <c r="S304" s="65" t="str">
        <f>IFERROR(VLOOKUP(TableHandbook[[#This Row],[UDC]],TableMJRUINTRL[],7,FALSE),"")</f>
        <v/>
      </c>
      <c r="T304" s="65" t="str">
        <f>IFERROR(VLOOKUP(TableHandbook[[#This Row],[UDC]],TableMJRUJAPAN[],7,FALSE),"")</f>
        <v/>
      </c>
      <c r="U304" s="65" t="str">
        <f>IFERROR(VLOOKUP(TableHandbook[[#This Row],[UDC]],TableMJRUJOURN[],7,FALSE),"")</f>
        <v/>
      </c>
      <c r="V304" s="65" t="str">
        <f>IFERROR(VLOOKUP(TableHandbook[[#This Row],[UDC]],TableMJRUKORES[],7,FALSE),"")</f>
        <v/>
      </c>
      <c r="W304" s="65" t="str">
        <f>IFERROR(VLOOKUP(TableHandbook[[#This Row],[UDC]],TableMJRULITCU[],7,FALSE),"")</f>
        <v/>
      </c>
      <c r="X304" s="65" t="str">
        <f>IFERROR(VLOOKUP(TableHandbook[[#This Row],[UDC]],TableMJRUNETCM[],7,FALSE),"")</f>
        <v/>
      </c>
      <c r="Y304" s="65" t="str">
        <f>IFERROR(VLOOKUP(TableHandbook[[#This Row],[UDC]],TableMJRUPRWRP[],7,FALSE),"")</f>
        <v/>
      </c>
      <c r="Z304" s="65" t="str">
        <f>IFERROR(VLOOKUP(TableHandbook[[#This Row],[UDC]],TableMJRUSCSTR[],7,FALSE),"")</f>
        <v>Core</v>
      </c>
      <c r="AA304" s="74"/>
      <c r="AB304" s="43" t="str">
        <f>IFERROR(VLOOKUP(TableHandbook[[#This Row],[UDC]],TableMJRUBSLAW[],7,FALSE),"")</f>
        <v/>
      </c>
      <c r="AC304" s="66" t="str">
        <f>IFERROR(VLOOKUP(TableHandbook[[#This Row],[UDC]],TableMJRUECONS[],7,FALSE),"")</f>
        <v/>
      </c>
      <c r="AD304" s="66" t="str">
        <f>IFERROR(VLOOKUP(TableHandbook[[#This Row],[UDC]],TableMJRUFINAR[],7,FALSE),"")</f>
        <v/>
      </c>
      <c r="AE304" s="66" t="str">
        <f>IFERROR(VLOOKUP(TableHandbook[[#This Row],[UDC]],TableMJRUFINCE[],7,FALSE),"")</f>
        <v/>
      </c>
      <c r="AF304" s="66" t="str">
        <f>IFERROR(VLOOKUP(TableHandbook[[#This Row],[UDC]],TableMJRUHRMGM[],7,FALSE),"")</f>
        <v/>
      </c>
      <c r="AG304" s="66" t="str">
        <f>IFERROR(VLOOKUP(TableHandbook[[#This Row],[UDC]],TableMJRUINTBU[],7,FALSE),"")</f>
        <v/>
      </c>
      <c r="AH304" s="66" t="str">
        <f>IFERROR(VLOOKUP(TableHandbook[[#This Row],[UDC]],TableMJRULGSCM[],7,FALSE),"")</f>
        <v/>
      </c>
      <c r="AI304" s="66" t="str">
        <f>IFERROR(VLOOKUP(TableHandbook[[#This Row],[UDC]],TableMJRUMNGMT[],7,FALSE),"")</f>
        <v/>
      </c>
      <c r="AJ304" s="66" t="str">
        <f>IFERROR(VLOOKUP(TableHandbook[[#This Row],[UDC]],TableMJRUMRKTG[],7,FALSE),"")</f>
        <v/>
      </c>
      <c r="AK304" s="66" t="str">
        <f>IFERROR(VLOOKUP(TableHandbook[[#This Row],[UDC]],TableMJRUPRPTY[],7,FALSE),"")</f>
        <v/>
      </c>
      <c r="AL304" s="66" t="str">
        <f>IFERROR(VLOOKUP(TableHandbook[[#This Row],[UDC]],TableMJRUSCRAR[],7,FALSE),"")</f>
        <v/>
      </c>
      <c r="AM304" s="66" t="str">
        <f>IFERROR(VLOOKUP(TableHandbook[[#This Row],[UDC]],TableMJRUTHTRA[],7,FALSE),"")</f>
        <v/>
      </c>
      <c r="AN304" s="66" t="str">
        <f>IFERROR(VLOOKUP(TableHandbook[[#This Row],[UDC]],TableMJRUTRHOS[],7,FALSE),"")</f>
        <v/>
      </c>
    </row>
    <row r="305" spans="1:40" x14ac:dyDescent="0.25">
      <c r="A305" s="8" t="s">
        <v>241</v>
      </c>
      <c r="B305" s="9">
        <v>1</v>
      </c>
      <c r="C305" s="8"/>
      <c r="D305" s="8" t="s">
        <v>861</v>
      </c>
      <c r="E305" s="9">
        <v>25</v>
      </c>
      <c r="F305" s="49" t="s">
        <v>526</v>
      </c>
      <c r="G305" s="82" t="str">
        <f>IFERROR(IF(VLOOKUP(TableHandbook[[#This Row],[UDC]],TableAvailabilities[],2,FALSE)&gt;0,"Y",""),"")</f>
        <v/>
      </c>
      <c r="H305" s="83" t="str">
        <f>IFERROR(IF(VLOOKUP(TableHandbook[[#This Row],[UDC]],TableAvailabilities[],3,FALSE)&gt;0,"Y",""),"")</f>
        <v/>
      </c>
      <c r="I305" s="84" t="str">
        <f>IFERROR(IF(VLOOKUP(TableHandbook[[#This Row],[UDC]],TableAvailabilities[],4,FALSE)&gt;0,"Y",""),"")</f>
        <v>Y</v>
      </c>
      <c r="J305" s="85" t="str">
        <f>IFERROR(IF(VLOOKUP(TableHandbook[[#This Row],[UDC]],TableAvailabilities[],5,FALSE)&gt;0,"Y",""),"")</f>
        <v>Y</v>
      </c>
      <c r="K305" s="164"/>
      <c r="L305" s="160" t="str">
        <f>IFERROR(VLOOKUP(TableHandbook[[#This Row],[UDC]],TableBARTS[],7,FALSE),"")</f>
        <v/>
      </c>
      <c r="M305" s="65" t="str">
        <f>IFERROR(VLOOKUP(TableHandbook[[#This Row],[UDC]],TableMJRUANTSO[],7,FALSE),"")</f>
        <v/>
      </c>
      <c r="N305" s="65" t="str">
        <f>IFERROR(VLOOKUP(TableHandbook[[#This Row],[UDC]],TableMJRUCHNSE[],7,FALSE),"")</f>
        <v/>
      </c>
      <c r="O305" s="65" t="str">
        <f>IFERROR(VLOOKUP(TableHandbook[[#This Row],[UDC]],TableMJRUCRWRI[],7,FALSE),"")</f>
        <v/>
      </c>
      <c r="P305" s="65" t="str">
        <f>IFERROR(VLOOKUP(TableHandbook[[#This Row],[UDC]],TableMJRUGEOGR[],7,FALSE),"")</f>
        <v/>
      </c>
      <c r="Q305" s="65" t="str">
        <f>IFERROR(VLOOKUP(TableHandbook[[#This Row],[UDC]],TableMJRUHISTR[],7,FALSE),"")</f>
        <v/>
      </c>
      <c r="R305" s="65" t="str">
        <f>IFERROR(VLOOKUP(TableHandbook[[#This Row],[UDC]],TableMJRUINAUC[],7,FALSE),"")</f>
        <v/>
      </c>
      <c r="S305" s="65" t="str">
        <f>IFERROR(VLOOKUP(TableHandbook[[#This Row],[UDC]],TableMJRUINTRL[],7,FALSE),"")</f>
        <v/>
      </c>
      <c r="T305" s="65" t="str">
        <f>IFERROR(VLOOKUP(TableHandbook[[#This Row],[UDC]],TableMJRUJAPAN[],7,FALSE),"")</f>
        <v/>
      </c>
      <c r="U305" s="65" t="str">
        <f>IFERROR(VLOOKUP(TableHandbook[[#This Row],[UDC]],TableMJRUJOURN[],7,FALSE),"")</f>
        <v/>
      </c>
      <c r="V305" s="65" t="str">
        <f>IFERROR(VLOOKUP(TableHandbook[[#This Row],[UDC]],TableMJRUKORES[],7,FALSE),"")</f>
        <v/>
      </c>
      <c r="W305" s="65" t="str">
        <f>IFERROR(VLOOKUP(TableHandbook[[#This Row],[UDC]],TableMJRULITCU[],7,FALSE),"")</f>
        <v/>
      </c>
      <c r="X305" s="65" t="str">
        <f>IFERROR(VLOOKUP(TableHandbook[[#This Row],[UDC]],TableMJRUNETCM[],7,FALSE),"")</f>
        <v/>
      </c>
      <c r="Y305" s="65" t="str">
        <f>IFERROR(VLOOKUP(TableHandbook[[#This Row],[UDC]],TableMJRUPRWRP[],7,FALSE),"")</f>
        <v/>
      </c>
      <c r="Z305" s="65" t="str">
        <f>IFERROR(VLOOKUP(TableHandbook[[#This Row],[UDC]],TableMJRUSCSTR[],7,FALSE),"")</f>
        <v>Core</v>
      </c>
      <c r="AA305" s="74"/>
      <c r="AB305" s="43" t="str">
        <f>IFERROR(VLOOKUP(TableHandbook[[#This Row],[UDC]],TableMJRUBSLAW[],7,FALSE),"")</f>
        <v/>
      </c>
      <c r="AC305" s="66" t="str">
        <f>IFERROR(VLOOKUP(TableHandbook[[#This Row],[UDC]],TableMJRUECONS[],7,FALSE),"")</f>
        <v/>
      </c>
      <c r="AD305" s="66" t="str">
        <f>IFERROR(VLOOKUP(TableHandbook[[#This Row],[UDC]],TableMJRUFINAR[],7,FALSE),"")</f>
        <v/>
      </c>
      <c r="AE305" s="66" t="str">
        <f>IFERROR(VLOOKUP(TableHandbook[[#This Row],[UDC]],TableMJRUFINCE[],7,FALSE),"")</f>
        <v/>
      </c>
      <c r="AF305" s="66" t="str">
        <f>IFERROR(VLOOKUP(TableHandbook[[#This Row],[UDC]],TableMJRUHRMGM[],7,FALSE),"")</f>
        <v/>
      </c>
      <c r="AG305" s="66" t="str">
        <f>IFERROR(VLOOKUP(TableHandbook[[#This Row],[UDC]],TableMJRUINTBU[],7,FALSE),"")</f>
        <v/>
      </c>
      <c r="AH305" s="66" t="str">
        <f>IFERROR(VLOOKUP(TableHandbook[[#This Row],[UDC]],TableMJRULGSCM[],7,FALSE),"")</f>
        <v/>
      </c>
      <c r="AI305" s="66" t="str">
        <f>IFERROR(VLOOKUP(TableHandbook[[#This Row],[UDC]],TableMJRUMNGMT[],7,FALSE),"")</f>
        <v/>
      </c>
      <c r="AJ305" s="66" t="str">
        <f>IFERROR(VLOOKUP(TableHandbook[[#This Row],[UDC]],TableMJRUMRKTG[],7,FALSE),"")</f>
        <v/>
      </c>
      <c r="AK305" s="66" t="str">
        <f>IFERROR(VLOOKUP(TableHandbook[[#This Row],[UDC]],TableMJRUPRPTY[],7,FALSE),"")</f>
        <v/>
      </c>
      <c r="AL305" s="66" t="str">
        <f>IFERROR(VLOOKUP(TableHandbook[[#This Row],[UDC]],TableMJRUSCRAR[],7,FALSE),"")</f>
        <v/>
      </c>
      <c r="AM305" s="66" t="str">
        <f>IFERROR(VLOOKUP(TableHandbook[[#This Row],[UDC]],TableMJRUTHTRA[],7,FALSE),"")</f>
        <v/>
      </c>
      <c r="AN305" s="66" t="str">
        <f>IFERROR(VLOOKUP(TableHandbook[[#This Row],[UDC]],TableMJRUTRHOS[],7,FALSE),"")</f>
        <v/>
      </c>
    </row>
    <row r="306" spans="1:40" x14ac:dyDescent="0.25">
      <c r="A306" s="6" t="s">
        <v>270</v>
      </c>
      <c r="B306" s="107">
        <v>1</v>
      </c>
      <c r="C306" s="6"/>
      <c r="D306" s="6" t="s">
        <v>862</v>
      </c>
      <c r="E306" s="9">
        <v>25</v>
      </c>
      <c r="F306" s="49" t="s">
        <v>526</v>
      </c>
      <c r="G306" s="82" t="str">
        <f>IFERROR(IF(VLOOKUP(TableHandbook[[#This Row],[UDC]],TableAvailabilities[],2,FALSE)&gt;0,"Y",""),"")</f>
        <v>Y</v>
      </c>
      <c r="H306" s="83" t="str">
        <f>IFERROR(IF(VLOOKUP(TableHandbook[[#This Row],[UDC]],TableAvailabilities[],3,FALSE)&gt;0,"Y",""),"")</f>
        <v>Y</v>
      </c>
      <c r="I306" s="84" t="str">
        <f>IFERROR(IF(VLOOKUP(TableHandbook[[#This Row],[UDC]],TableAvailabilities[],4,FALSE)&gt;0,"Y",""),"")</f>
        <v/>
      </c>
      <c r="J306" s="85" t="str">
        <f>IFERROR(IF(VLOOKUP(TableHandbook[[#This Row],[UDC]],TableAvailabilities[],5,FALSE)&gt;0,"Y",""),"")</f>
        <v/>
      </c>
      <c r="K306" s="164"/>
      <c r="L306" s="160" t="str">
        <f>IFERROR(VLOOKUP(TableHandbook[[#This Row],[UDC]],TableBARTS[],7,FALSE),"")</f>
        <v/>
      </c>
      <c r="M306" s="65" t="str">
        <f>IFERROR(VLOOKUP(TableHandbook[[#This Row],[UDC]],TableMJRUANTSO[],7,FALSE),"")</f>
        <v/>
      </c>
      <c r="N306" s="47" t="str">
        <f>IFERROR(VLOOKUP(TableHandbook[[#This Row],[UDC]],TableMJRUCHNSE[],7,FALSE),"")</f>
        <v/>
      </c>
      <c r="O306" s="47" t="str">
        <f>IFERROR(VLOOKUP(TableHandbook[[#This Row],[UDC]],TableMJRUCRWRI[],7,FALSE),"")</f>
        <v/>
      </c>
      <c r="P306" s="47" t="str">
        <f>IFERROR(VLOOKUP(TableHandbook[[#This Row],[UDC]],TableMJRUGEOGR[],7,FALSE),"")</f>
        <v/>
      </c>
      <c r="Q306" s="47" t="str">
        <f>IFERROR(VLOOKUP(TableHandbook[[#This Row],[UDC]],TableMJRUHISTR[],7,FALSE),"")</f>
        <v/>
      </c>
      <c r="R306" s="47" t="str">
        <f>IFERROR(VLOOKUP(TableHandbook[[#This Row],[UDC]],TableMJRUINAUC[],7,FALSE),"")</f>
        <v/>
      </c>
      <c r="S306" s="47" t="str">
        <f>IFERROR(VLOOKUP(TableHandbook[[#This Row],[UDC]],TableMJRUINTRL[],7,FALSE),"")</f>
        <v/>
      </c>
      <c r="T306" s="47" t="str">
        <f>IFERROR(VLOOKUP(TableHandbook[[#This Row],[UDC]],TableMJRUJAPAN[],7,FALSE),"")</f>
        <v/>
      </c>
      <c r="U306" s="47" t="str">
        <f>IFERROR(VLOOKUP(TableHandbook[[#This Row],[UDC]],TableMJRUJOURN[],7,FALSE),"")</f>
        <v/>
      </c>
      <c r="V306" s="65" t="str">
        <f>IFERROR(VLOOKUP(TableHandbook[[#This Row],[UDC]],TableMJRUKORES[],7,FALSE),"")</f>
        <v/>
      </c>
      <c r="W306" s="65" t="str">
        <f>IFERROR(VLOOKUP(TableHandbook[[#This Row],[UDC]],TableMJRULITCU[],7,FALSE),"")</f>
        <v/>
      </c>
      <c r="X306" s="65" t="str">
        <f>IFERROR(VLOOKUP(TableHandbook[[#This Row],[UDC]],TableMJRUNETCM[],7,FALSE),"")</f>
        <v/>
      </c>
      <c r="Y306" s="65" t="str">
        <f>IFERROR(VLOOKUP(TableHandbook[[#This Row],[UDC]],TableMJRUPRWRP[],7,FALSE),"")</f>
        <v/>
      </c>
      <c r="Z306" s="65" t="str">
        <f>IFERROR(VLOOKUP(TableHandbook[[#This Row],[UDC]],TableMJRUSCSTR[],7,FALSE),"")</f>
        <v>Core</v>
      </c>
      <c r="AA306" s="74"/>
      <c r="AB306" s="43" t="str">
        <f>IFERROR(VLOOKUP(TableHandbook[[#This Row],[UDC]],TableMJRUBSLAW[],7,FALSE),"")</f>
        <v/>
      </c>
      <c r="AC306" s="66" t="str">
        <f>IFERROR(VLOOKUP(TableHandbook[[#This Row],[UDC]],TableMJRUECONS[],7,FALSE),"")</f>
        <v/>
      </c>
      <c r="AD306" s="66" t="str">
        <f>IFERROR(VLOOKUP(TableHandbook[[#This Row],[UDC]],TableMJRUFINAR[],7,FALSE),"")</f>
        <v/>
      </c>
      <c r="AE306" s="66" t="str">
        <f>IFERROR(VLOOKUP(TableHandbook[[#This Row],[UDC]],TableMJRUFINCE[],7,FALSE),"")</f>
        <v/>
      </c>
      <c r="AF306" s="66" t="str">
        <f>IFERROR(VLOOKUP(TableHandbook[[#This Row],[UDC]],TableMJRUHRMGM[],7,FALSE),"")</f>
        <v/>
      </c>
      <c r="AG306" s="66" t="str">
        <f>IFERROR(VLOOKUP(TableHandbook[[#This Row],[UDC]],TableMJRUINTBU[],7,FALSE),"")</f>
        <v/>
      </c>
      <c r="AH306" s="66" t="str">
        <f>IFERROR(VLOOKUP(TableHandbook[[#This Row],[UDC]],TableMJRULGSCM[],7,FALSE),"")</f>
        <v/>
      </c>
      <c r="AI306" s="66" t="str">
        <f>IFERROR(VLOOKUP(TableHandbook[[#This Row],[UDC]],TableMJRUMNGMT[],7,FALSE),"")</f>
        <v/>
      </c>
      <c r="AJ306" s="66" t="str">
        <f>IFERROR(VLOOKUP(TableHandbook[[#This Row],[UDC]],TableMJRUMRKTG[],7,FALSE),"")</f>
        <v/>
      </c>
      <c r="AK306" s="66" t="str">
        <f>IFERROR(VLOOKUP(TableHandbook[[#This Row],[UDC]],TableMJRUPRPTY[],7,FALSE),"")</f>
        <v/>
      </c>
      <c r="AL306" s="66" t="str">
        <f>IFERROR(VLOOKUP(TableHandbook[[#This Row],[UDC]],TableMJRUSCRAR[],7,FALSE),"")</f>
        <v/>
      </c>
      <c r="AM306" s="66" t="str">
        <f>IFERROR(VLOOKUP(TableHandbook[[#This Row],[UDC]],TableMJRUTHTRA[],7,FALSE),"")</f>
        <v/>
      </c>
      <c r="AN306" s="66" t="str">
        <f>IFERROR(VLOOKUP(TableHandbook[[#This Row],[UDC]],TableMJRUTRHOS[],7,FALSE),"")</f>
        <v/>
      </c>
    </row>
    <row r="307" spans="1:40" x14ac:dyDescent="0.25">
      <c r="A307" s="6" t="s">
        <v>293</v>
      </c>
      <c r="B307" s="107">
        <v>1</v>
      </c>
      <c r="C307" s="6"/>
      <c r="D307" s="6" t="s">
        <v>863</v>
      </c>
      <c r="E307" s="9">
        <v>25</v>
      </c>
      <c r="F307" s="49" t="s">
        <v>526</v>
      </c>
      <c r="G307" s="82" t="str">
        <f>IFERROR(IF(VLOOKUP(TableHandbook[[#This Row],[UDC]],TableAvailabilities[],2,FALSE)&gt;0,"Y",""),"")</f>
        <v>Y</v>
      </c>
      <c r="H307" s="83" t="str">
        <f>IFERROR(IF(VLOOKUP(TableHandbook[[#This Row],[UDC]],TableAvailabilities[],3,FALSE)&gt;0,"Y",""),"")</f>
        <v>Y</v>
      </c>
      <c r="I307" s="84" t="str">
        <f>IFERROR(IF(VLOOKUP(TableHandbook[[#This Row],[UDC]],TableAvailabilities[],4,FALSE)&gt;0,"Y",""),"")</f>
        <v/>
      </c>
      <c r="J307" s="85" t="str">
        <f>IFERROR(IF(VLOOKUP(TableHandbook[[#This Row],[UDC]],TableAvailabilities[],5,FALSE)&gt;0,"Y",""),"")</f>
        <v/>
      </c>
      <c r="K307" s="164"/>
      <c r="L307" s="160" t="str">
        <f>IFERROR(VLOOKUP(TableHandbook[[#This Row],[UDC]],TableBARTS[],7,FALSE),"")</f>
        <v/>
      </c>
      <c r="M307" s="65" t="str">
        <f>IFERROR(VLOOKUP(TableHandbook[[#This Row],[UDC]],TableMJRUANTSO[],7,FALSE),"")</f>
        <v/>
      </c>
      <c r="N307" s="47" t="str">
        <f>IFERROR(VLOOKUP(TableHandbook[[#This Row],[UDC]],TableMJRUCHNSE[],7,FALSE),"")</f>
        <v/>
      </c>
      <c r="O307" s="47" t="str">
        <f>IFERROR(VLOOKUP(TableHandbook[[#This Row],[UDC]],TableMJRUCRWRI[],7,FALSE),"")</f>
        <v/>
      </c>
      <c r="P307" s="47" t="str">
        <f>IFERROR(VLOOKUP(TableHandbook[[#This Row],[UDC]],TableMJRUGEOGR[],7,FALSE),"")</f>
        <v/>
      </c>
      <c r="Q307" s="47" t="str">
        <f>IFERROR(VLOOKUP(TableHandbook[[#This Row],[UDC]],TableMJRUHISTR[],7,FALSE),"")</f>
        <v/>
      </c>
      <c r="R307" s="47" t="str">
        <f>IFERROR(VLOOKUP(TableHandbook[[#This Row],[UDC]],TableMJRUINAUC[],7,FALSE),"")</f>
        <v/>
      </c>
      <c r="S307" s="47" t="str">
        <f>IFERROR(VLOOKUP(TableHandbook[[#This Row],[UDC]],TableMJRUINTRL[],7,FALSE),"")</f>
        <v/>
      </c>
      <c r="T307" s="47" t="str">
        <f>IFERROR(VLOOKUP(TableHandbook[[#This Row],[UDC]],TableMJRUJAPAN[],7,FALSE),"")</f>
        <v/>
      </c>
      <c r="U307" s="47" t="str">
        <f>IFERROR(VLOOKUP(TableHandbook[[#This Row],[UDC]],TableMJRUJOURN[],7,FALSE),"")</f>
        <v/>
      </c>
      <c r="V307" s="65" t="str">
        <f>IFERROR(VLOOKUP(TableHandbook[[#This Row],[UDC]],TableMJRUKORES[],7,FALSE),"")</f>
        <v/>
      </c>
      <c r="W307" s="65" t="str">
        <f>IFERROR(VLOOKUP(TableHandbook[[#This Row],[UDC]],TableMJRULITCU[],7,FALSE),"")</f>
        <v/>
      </c>
      <c r="X307" s="65" t="str">
        <f>IFERROR(VLOOKUP(TableHandbook[[#This Row],[UDC]],TableMJRUNETCM[],7,FALSE),"")</f>
        <v/>
      </c>
      <c r="Y307" s="65" t="str">
        <f>IFERROR(VLOOKUP(TableHandbook[[#This Row],[UDC]],TableMJRUPRWRP[],7,FALSE),"")</f>
        <v/>
      </c>
      <c r="Z307" s="65" t="str">
        <f>IFERROR(VLOOKUP(TableHandbook[[#This Row],[UDC]],TableMJRUSCSTR[],7,FALSE),"")</f>
        <v>Core</v>
      </c>
      <c r="AA307" s="74"/>
      <c r="AB307" s="43" t="str">
        <f>IFERROR(VLOOKUP(TableHandbook[[#This Row],[UDC]],TableMJRUBSLAW[],7,FALSE),"")</f>
        <v/>
      </c>
      <c r="AC307" s="66" t="str">
        <f>IFERROR(VLOOKUP(TableHandbook[[#This Row],[UDC]],TableMJRUECONS[],7,FALSE),"")</f>
        <v/>
      </c>
      <c r="AD307" s="66" t="str">
        <f>IFERROR(VLOOKUP(TableHandbook[[#This Row],[UDC]],TableMJRUFINAR[],7,FALSE),"")</f>
        <v/>
      </c>
      <c r="AE307" s="66" t="str">
        <f>IFERROR(VLOOKUP(TableHandbook[[#This Row],[UDC]],TableMJRUFINCE[],7,FALSE),"")</f>
        <v/>
      </c>
      <c r="AF307" s="66" t="str">
        <f>IFERROR(VLOOKUP(TableHandbook[[#This Row],[UDC]],TableMJRUHRMGM[],7,FALSE),"")</f>
        <v/>
      </c>
      <c r="AG307" s="66" t="str">
        <f>IFERROR(VLOOKUP(TableHandbook[[#This Row],[UDC]],TableMJRUINTBU[],7,FALSE),"")</f>
        <v/>
      </c>
      <c r="AH307" s="66" t="str">
        <f>IFERROR(VLOOKUP(TableHandbook[[#This Row],[UDC]],TableMJRULGSCM[],7,FALSE),"")</f>
        <v/>
      </c>
      <c r="AI307" s="66" t="str">
        <f>IFERROR(VLOOKUP(TableHandbook[[#This Row],[UDC]],TableMJRUMNGMT[],7,FALSE),"")</f>
        <v/>
      </c>
      <c r="AJ307" s="66" t="str">
        <f>IFERROR(VLOOKUP(TableHandbook[[#This Row],[UDC]],TableMJRUMRKTG[],7,FALSE),"")</f>
        <v/>
      </c>
      <c r="AK307" s="66" t="str">
        <f>IFERROR(VLOOKUP(TableHandbook[[#This Row],[UDC]],TableMJRUPRPTY[],7,FALSE),"")</f>
        <v/>
      </c>
      <c r="AL307" s="66" t="str">
        <f>IFERROR(VLOOKUP(TableHandbook[[#This Row],[UDC]],TableMJRUSCRAR[],7,FALSE),"")</f>
        <v/>
      </c>
      <c r="AM307" s="66" t="str">
        <f>IFERROR(VLOOKUP(TableHandbook[[#This Row],[UDC]],TableMJRUTHTRA[],7,FALSE),"")</f>
        <v/>
      </c>
      <c r="AN307" s="66" t="str">
        <f>IFERROR(VLOOKUP(TableHandbook[[#This Row],[UDC]],TableMJRUTRHOS[],7,FALSE),"")</f>
        <v/>
      </c>
    </row>
    <row r="308" spans="1:40" x14ac:dyDescent="0.25">
      <c r="A308" s="6" t="s">
        <v>271</v>
      </c>
      <c r="B308" s="107">
        <v>1</v>
      </c>
      <c r="C308" s="6"/>
      <c r="D308" s="6" t="s">
        <v>864</v>
      </c>
      <c r="E308" s="9">
        <v>25</v>
      </c>
      <c r="F308" s="49" t="s">
        <v>526</v>
      </c>
      <c r="G308" s="67" t="str">
        <f>IFERROR(IF(VLOOKUP(TableHandbook[[#This Row],[UDC]],TableAvailabilities[],2,FALSE)&gt;0,"Y",""),"")</f>
        <v/>
      </c>
      <c r="H308" s="68" t="str">
        <f>IFERROR(IF(VLOOKUP(TableHandbook[[#This Row],[UDC]],TableAvailabilities[],3,FALSE)&gt;0,"Y",""),"")</f>
        <v/>
      </c>
      <c r="I308" s="69" t="str">
        <f>IFERROR(IF(VLOOKUP(TableHandbook[[#This Row],[UDC]],TableAvailabilities[],4,FALSE)&gt;0,"Y",""),"")</f>
        <v>Y</v>
      </c>
      <c r="J308" s="70" t="str">
        <f>IFERROR(IF(VLOOKUP(TableHandbook[[#This Row],[UDC]],TableAvailabilities[],5,FALSE)&gt;0,"Y",""),"")</f>
        <v>Y</v>
      </c>
      <c r="K308" s="164"/>
      <c r="L308" s="160" t="str">
        <f>IFERROR(VLOOKUP(TableHandbook[[#This Row],[UDC]],TableBARTS[],7,FALSE),"")</f>
        <v/>
      </c>
      <c r="M308" s="65" t="str">
        <f>IFERROR(VLOOKUP(TableHandbook[[#This Row],[UDC]],TableMJRUANTSO[],7,FALSE),"")</f>
        <v/>
      </c>
      <c r="N308" s="47" t="str">
        <f>IFERROR(VLOOKUP(TableHandbook[[#This Row],[UDC]],TableMJRUCHNSE[],7,FALSE),"")</f>
        <v/>
      </c>
      <c r="O308" s="47" t="str">
        <f>IFERROR(VLOOKUP(TableHandbook[[#This Row],[UDC]],TableMJRUCRWRI[],7,FALSE),"")</f>
        <v/>
      </c>
      <c r="P308" s="47" t="str">
        <f>IFERROR(VLOOKUP(TableHandbook[[#This Row],[UDC]],TableMJRUGEOGR[],7,FALSE),"")</f>
        <v/>
      </c>
      <c r="Q308" s="47" t="str">
        <f>IFERROR(VLOOKUP(TableHandbook[[#This Row],[UDC]],TableMJRUHISTR[],7,FALSE),"")</f>
        <v/>
      </c>
      <c r="R308" s="47" t="str">
        <f>IFERROR(VLOOKUP(TableHandbook[[#This Row],[UDC]],TableMJRUINAUC[],7,FALSE),"")</f>
        <v/>
      </c>
      <c r="S308" s="47" t="str">
        <f>IFERROR(VLOOKUP(TableHandbook[[#This Row],[UDC]],TableMJRUINTRL[],7,FALSE),"")</f>
        <v/>
      </c>
      <c r="T308" s="47" t="str">
        <f>IFERROR(VLOOKUP(TableHandbook[[#This Row],[UDC]],TableMJRUJAPAN[],7,FALSE),"")</f>
        <v/>
      </c>
      <c r="U308" s="47" t="str">
        <f>IFERROR(VLOOKUP(TableHandbook[[#This Row],[UDC]],TableMJRUJOURN[],7,FALSE),"")</f>
        <v/>
      </c>
      <c r="V308" s="65" t="str">
        <f>IFERROR(VLOOKUP(TableHandbook[[#This Row],[UDC]],TableMJRUKORES[],7,FALSE),"")</f>
        <v/>
      </c>
      <c r="W308" s="65" t="str">
        <f>IFERROR(VLOOKUP(TableHandbook[[#This Row],[UDC]],TableMJRULITCU[],7,FALSE),"")</f>
        <v/>
      </c>
      <c r="X308" s="65" t="str">
        <f>IFERROR(VLOOKUP(TableHandbook[[#This Row],[UDC]],TableMJRUNETCM[],7,FALSE),"")</f>
        <v/>
      </c>
      <c r="Y308" s="65" t="str">
        <f>IFERROR(VLOOKUP(TableHandbook[[#This Row],[UDC]],TableMJRUPRWRP[],7,FALSE),"")</f>
        <v/>
      </c>
      <c r="Z308" s="65" t="str">
        <f>IFERROR(VLOOKUP(TableHandbook[[#This Row],[UDC]],TableMJRUSCSTR[],7,FALSE),"")</f>
        <v>Core</v>
      </c>
      <c r="AA308" s="74"/>
      <c r="AB308" s="43" t="str">
        <f>IFERROR(VLOOKUP(TableHandbook[[#This Row],[UDC]],TableMJRUBSLAW[],7,FALSE),"")</f>
        <v/>
      </c>
      <c r="AC308" s="66" t="str">
        <f>IFERROR(VLOOKUP(TableHandbook[[#This Row],[UDC]],TableMJRUECONS[],7,FALSE),"")</f>
        <v/>
      </c>
      <c r="AD308" s="66" t="str">
        <f>IFERROR(VLOOKUP(TableHandbook[[#This Row],[UDC]],TableMJRUFINAR[],7,FALSE),"")</f>
        <v/>
      </c>
      <c r="AE308" s="66" t="str">
        <f>IFERROR(VLOOKUP(TableHandbook[[#This Row],[UDC]],TableMJRUFINCE[],7,FALSE),"")</f>
        <v/>
      </c>
      <c r="AF308" s="66" t="str">
        <f>IFERROR(VLOOKUP(TableHandbook[[#This Row],[UDC]],TableMJRUHRMGM[],7,FALSE),"")</f>
        <v/>
      </c>
      <c r="AG308" s="66" t="str">
        <f>IFERROR(VLOOKUP(TableHandbook[[#This Row],[UDC]],TableMJRUINTBU[],7,FALSE),"")</f>
        <v/>
      </c>
      <c r="AH308" s="66" t="str">
        <f>IFERROR(VLOOKUP(TableHandbook[[#This Row],[UDC]],TableMJRULGSCM[],7,FALSE),"")</f>
        <v/>
      </c>
      <c r="AI308" s="66" t="str">
        <f>IFERROR(VLOOKUP(TableHandbook[[#This Row],[UDC]],TableMJRUMNGMT[],7,FALSE),"")</f>
        <v/>
      </c>
      <c r="AJ308" s="66" t="str">
        <f>IFERROR(VLOOKUP(TableHandbook[[#This Row],[UDC]],TableMJRUMRKTG[],7,FALSE),"")</f>
        <v/>
      </c>
      <c r="AK308" s="66" t="str">
        <f>IFERROR(VLOOKUP(TableHandbook[[#This Row],[UDC]],TableMJRUPRPTY[],7,FALSE),"")</f>
        <v/>
      </c>
      <c r="AL308" s="66" t="str">
        <f>IFERROR(VLOOKUP(TableHandbook[[#This Row],[UDC]],TableMJRUSCRAR[],7,FALSE),"")</f>
        <v/>
      </c>
      <c r="AM308" s="66" t="str">
        <f>IFERROR(VLOOKUP(TableHandbook[[#This Row],[UDC]],TableMJRUTHTRA[],7,FALSE),"")</f>
        <v/>
      </c>
      <c r="AN308" s="66" t="str">
        <f>IFERROR(VLOOKUP(TableHandbook[[#This Row],[UDC]],TableMJRUTRHOS[],7,FALSE),"")</f>
        <v/>
      </c>
    </row>
    <row r="309" spans="1:40" x14ac:dyDescent="0.25">
      <c r="A309" s="6" t="s">
        <v>294</v>
      </c>
      <c r="B309" s="107">
        <v>1</v>
      </c>
      <c r="C309" s="6"/>
      <c r="D309" s="6" t="s">
        <v>865</v>
      </c>
      <c r="E309" s="9">
        <v>25</v>
      </c>
      <c r="F309" s="49" t="s">
        <v>526</v>
      </c>
      <c r="G309" s="82" t="str">
        <f>IFERROR(IF(VLOOKUP(TableHandbook[[#This Row],[UDC]],TableAvailabilities[],2,FALSE)&gt;0,"Y",""),"")</f>
        <v/>
      </c>
      <c r="H309" s="83" t="str">
        <f>IFERROR(IF(VLOOKUP(TableHandbook[[#This Row],[UDC]],TableAvailabilities[],3,FALSE)&gt;0,"Y",""),"")</f>
        <v/>
      </c>
      <c r="I309" s="84" t="str">
        <f>IFERROR(IF(VLOOKUP(TableHandbook[[#This Row],[UDC]],TableAvailabilities[],4,FALSE)&gt;0,"Y",""),"")</f>
        <v>Y</v>
      </c>
      <c r="J309" s="85" t="str">
        <f>IFERROR(IF(VLOOKUP(TableHandbook[[#This Row],[UDC]],TableAvailabilities[],5,FALSE)&gt;0,"Y",""),"")</f>
        <v>Y</v>
      </c>
      <c r="K309" s="168"/>
      <c r="L309" s="160" t="str">
        <f>IFERROR(VLOOKUP(TableHandbook[[#This Row],[UDC]],TableBARTS[],7,FALSE),"")</f>
        <v/>
      </c>
      <c r="M309" s="65" t="str">
        <f>IFERROR(VLOOKUP(TableHandbook[[#This Row],[UDC]],TableMJRUANTSO[],7,FALSE),"")</f>
        <v/>
      </c>
      <c r="N309" s="65" t="str">
        <f>IFERROR(VLOOKUP(TableHandbook[[#This Row],[UDC]],TableMJRUCHNSE[],7,FALSE),"")</f>
        <v/>
      </c>
      <c r="O309" s="65" t="str">
        <f>IFERROR(VLOOKUP(TableHandbook[[#This Row],[UDC]],TableMJRUCRWRI[],7,FALSE),"")</f>
        <v/>
      </c>
      <c r="P309" s="65" t="str">
        <f>IFERROR(VLOOKUP(TableHandbook[[#This Row],[UDC]],TableMJRUGEOGR[],7,FALSE),"")</f>
        <v/>
      </c>
      <c r="Q309" s="65" t="str">
        <f>IFERROR(VLOOKUP(TableHandbook[[#This Row],[UDC]],TableMJRUHISTR[],7,FALSE),"")</f>
        <v/>
      </c>
      <c r="R309" s="65" t="str">
        <f>IFERROR(VLOOKUP(TableHandbook[[#This Row],[UDC]],TableMJRUINAUC[],7,FALSE),"")</f>
        <v/>
      </c>
      <c r="S309" s="65" t="str">
        <f>IFERROR(VLOOKUP(TableHandbook[[#This Row],[UDC]],TableMJRUINTRL[],7,FALSE),"")</f>
        <v/>
      </c>
      <c r="T309" s="65" t="str">
        <f>IFERROR(VLOOKUP(TableHandbook[[#This Row],[UDC]],TableMJRUJAPAN[],7,FALSE),"")</f>
        <v/>
      </c>
      <c r="U309" s="65" t="str">
        <f>IFERROR(VLOOKUP(TableHandbook[[#This Row],[UDC]],TableMJRUJOURN[],7,FALSE),"")</f>
        <v/>
      </c>
      <c r="V309" s="65" t="str">
        <f>IFERROR(VLOOKUP(TableHandbook[[#This Row],[UDC]],TableMJRUKORES[],7,FALSE),"")</f>
        <v/>
      </c>
      <c r="W309" s="65" t="str">
        <f>IFERROR(VLOOKUP(TableHandbook[[#This Row],[UDC]],TableMJRULITCU[],7,FALSE),"")</f>
        <v/>
      </c>
      <c r="X309" s="65" t="str">
        <f>IFERROR(VLOOKUP(TableHandbook[[#This Row],[UDC]],TableMJRUNETCM[],7,FALSE),"")</f>
        <v/>
      </c>
      <c r="Y309" s="65" t="str">
        <f>IFERROR(VLOOKUP(TableHandbook[[#This Row],[UDC]],TableMJRUPRWRP[],7,FALSE),"")</f>
        <v/>
      </c>
      <c r="Z309" s="65" t="str">
        <f>IFERROR(VLOOKUP(TableHandbook[[#This Row],[UDC]],TableMJRUSCSTR[],7,FALSE),"")</f>
        <v>Core</v>
      </c>
      <c r="AA309" s="74"/>
      <c r="AB309" s="43" t="str">
        <f>IFERROR(VLOOKUP(TableHandbook[[#This Row],[UDC]],TableMJRUBSLAW[],7,FALSE),"")</f>
        <v/>
      </c>
      <c r="AC309" s="66" t="str">
        <f>IFERROR(VLOOKUP(TableHandbook[[#This Row],[UDC]],TableMJRUECONS[],7,FALSE),"")</f>
        <v/>
      </c>
      <c r="AD309" s="66" t="str">
        <f>IFERROR(VLOOKUP(TableHandbook[[#This Row],[UDC]],TableMJRUFINAR[],7,FALSE),"")</f>
        <v/>
      </c>
      <c r="AE309" s="66" t="str">
        <f>IFERROR(VLOOKUP(TableHandbook[[#This Row],[UDC]],TableMJRUFINCE[],7,FALSE),"")</f>
        <v/>
      </c>
      <c r="AF309" s="66" t="str">
        <f>IFERROR(VLOOKUP(TableHandbook[[#This Row],[UDC]],TableMJRUHRMGM[],7,FALSE),"")</f>
        <v/>
      </c>
      <c r="AG309" s="66" t="str">
        <f>IFERROR(VLOOKUP(TableHandbook[[#This Row],[UDC]],TableMJRUINTBU[],7,FALSE),"")</f>
        <v/>
      </c>
      <c r="AH309" s="66" t="str">
        <f>IFERROR(VLOOKUP(TableHandbook[[#This Row],[UDC]],TableMJRULGSCM[],7,FALSE),"")</f>
        <v/>
      </c>
      <c r="AI309" s="66" t="str">
        <f>IFERROR(VLOOKUP(TableHandbook[[#This Row],[UDC]],TableMJRUMNGMT[],7,FALSE),"")</f>
        <v/>
      </c>
      <c r="AJ309" s="66" t="str">
        <f>IFERROR(VLOOKUP(TableHandbook[[#This Row],[UDC]],TableMJRUMRKTG[],7,FALSE),"")</f>
        <v/>
      </c>
      <c r="AK309" s="66" t="str">
        <f>IFERROR(VLOOKUP(TableHandbook[[#This Row],[UDC]],TableMJRUPRPTY[],7,FALSE),"")</f>
        <v/>
      </c>
      <c r="AL309" s="66" t="str">
        <f>IFERROR(VLOOKUP(TableHandbook[[#This Row],[UDC]],TableMJRUSCRAR[],7,FALSE),"")</f>
        <v/>
      </c>
      <c r="AM309" s="66" t="str">
        <f>IFERROR(VLOOKUP(TableHandbook[[#This Row],[UDC]],TableMJRUTHTRA[],7,FALSE),"")</f>
        <v/>
      </c>
      <c r="AN309" s="66" t="str">
        <f>IFERROR(VLOOKUP(TableHandbook[[#This Row],[UDC]],TableMJRUTRHOS[],7,FALSE),"")</f>
        <v/>
      </c>
    </row>
    <row r="310" spans="1:40" x14ac:dyDescent="0.25">
      <c r="A310" s="8" t="s">
        <v>218</v>
      </c>
      <c r="B310" s="9">
        <v>1</v>
      </c>
      <c r="C310" s="8"/>
      <c r="D310" s="8" t="s">
        <v>866</v>
      </c>
      <c r="E310" s="9">
        <v>25</v>
      </c>
      <c r="F310" s="49" t="s">
        <v>526</v>
      </c>
      <c r="G310" s="82" t="str">
        <f>IFERROR(IF(VLOOKUP(TableHandbook[[#This Row],[UDC]],TableAvailabilities[],2,FALSE)&gt;0,"Y",""),"")</f>
        <v>Y</v>
      </c>
      <c r="H310" s="83" t="str">
        <f>IFERROR(IF(VLOOKUP(TableHandbook[[#This Row],[UDC]],TableAvailabilities[],3,FALSE)&gt;0,"Y",""),"")</f>
        <v>Y</v>
      </c>
      <c r="I310" s="84" t="str">
        <f>IFERROR(IF(VLOOKUP(TableHandbook[[#This Row],[UDC]],TableAvailabilities[],4,FALSE)&gt;0,"Y",""),"")</f>
        <v/>
      </c>
      <c r="J310" s="85" t="str">
        <f>IFERROR(IF(VLOOKUP(TableHandbook[[#This Row],[UDC]],TableAvailabilities[],5,FALSE)&gt;0,"Y",""),"")</f>
        <v/>
      </c>
      <c r="K310" s="168"/>
      <c r="L310" s="160" t="str">
        <f>IFERROR(VLOOKUP(TableHandbook[[#This Row],[UDC]],TableBARTS[],7,FALSE),"")</f>
        <v/>
      </c>
      <c r="M310" s="65" t="str">
        <f>IFERROR(VLOOKUP(TableHandbook[[#This Row],[UDC]],TableMJRUANTSO[],7,FALSE),"")</f>
        <v>Core</v>
      </c>
      <c r="N310" s="47" t="str">
        <f>IFERROR(VLOOKUP(TableHandbook[[#This Row],[UDC]],TableMJRUCHNSE[],7,FALSE),"")</f>
        <v/>
      </c>
      <c r="O310" s="47" t="str">
        <f>IFERROR(VLOOKUP(TableHandbook[[#This Row],[UDC]],TableMJRUCRWRI[],7,FALSE),"")</f>
        <v/>
      </c>
      <c r="P310" s="47" t="str">
        <f>IFERROR(VLOOKUP(TableHandbook[[#This Row],[UDC]],TableMJRUGEOGR[],7,FALSE),"")</f>
        <v/>
      </c>
      <c r="Q310" s="47" t="str">
        <f>IFERROR(VLOOKUP(TableHandbook[[#This Row],[UDC]],TableMJRUHISTR[],7,FALSE),"")</f>
        <v/>
      </c>
      <c r="R310" s="47" t="str">
        <f>IFERROR(VLOOKUP(TableHandbook[[#This Row],[UDC]],TableMJRUINAUC[],7,FALSE),"")</f>
        <v/>
      </c>
      <c r="S310" s="47" t="str">
        <f>IFERROR(VLOOKUP(TableHandbook[[#This Row],[UDC]],TableMJRUINTRL[],7,FALSE),"")</f>
        <v/>
      </c>
      <c r="T310" s="47" t="str">
        <f>IFERROR(VLOOKUP(TableHandbook[[#This Row],[UDC]],TableMJRUJAPAN[],7,FALSE),"")</f>
        <v/>
      </c>
      <c r="U310" s="47" t="str">
        <f>IFERROR(VLOOKUP(TableHandbook[[#This Row],[UDC]],TableMJRUJOURN[],7,FALSE),"")</f>
        <v/>
      </c>
      <c r="V310" s="65" t="str">
        <f>IFERROR(VLOOKUP(TableHandbook[[#This Row],[UDC]],TableMJRUKORES[],7,FALSE),"")</f>
        <v/>
      </c>
      <c r="W310" s="65" t="str">
        <f>IFERROR(VLOOKUP(TableHandbook[[#This Row],[UDC]],TableMJRULITCU[],7,FALSE),"")</f>
        <v/>
      </c>
      <c r="X310" s="65" t="str">
        <f>IFERROR(VLOOKUP(TableHandbook[[#This Row],[UDC]],TableMJRUNETCM[],7,FALSE),"")</f>
        <v/>
      </c>
      <c r="Y310" s="65" t="str">
        <f>IFERROR(VLOOKUP(TableHandbook[[#This Row],[UDC]],TableMJRUPRWRP[],7,FALSE),"")</f>
        <v/>
      </c>
      <c r="Z310" s="65" t="str">
        <f>IFERROR(VLOOKUP(TableHandbook[[#This Row],[UDC]],TableMJRUSCSTR[],7,FALSE),"")</f>
        <v/>
      </c>
      <c r="AA310" s="74"/>
      <c r="AB310" s="43" t="str">
        <f>IFERROR(VLOOKUP(TableHandbook[[#This Row],[UDC]],TableMJRUBSLAW[],7,FALSE),"")</f>
        <v/>
      </c>
      <c r="AC310" s="66" t="str">
        <f>IFERROR(VLOOKUP(TableHandbook[[#This Row],[UDC]],TableMJRUECONS[],7,FALSE),"")</f>
        <v/>
      </c>
      <c r="AD310" s="66" t="str">
        <f>IFERROR(VLOOKUP(TableHandbook[[#This Row],[UDC]],TableMJRUFINAR[],7,FALSE),"")</f>
        <v/>
      </c>
      <c r="AE310" s="66" t="str">
        <f>IFERROR(VLOOKUP(TableHandbook[[#This Row],[UDC]],TableMJRUFINCE[],7,FALSE),"")</f>
        <v/>
      </c>
      <c r="AF310" s="66" t="str">
        <f>IFERROR(VLOOKUP(TableHandbook[[#This Row],[UDC]],TableMJRUHRMGM[],7,FALSE),"")</f>
        <v/>
      </c>
      <c r="AG310" s="66" t="str">
        <f>IFERROR(VLOOKUP(TableHandbook[[#This Row],[UDC]],TableMJRUINTBU[],7,FALSE),"")</f>
        <v/>
      </c>
      <c r="AH310" s="66" t="str">
        <f>IFERROR(VLOOKUP(TableHandbook[[#This Row],[UDC]],TableMJRULGSCM[],7,FALSE),"")</f>
        <v/>
      </c>
      <c r="AI310" s="66" t="str">
        <f>IFERROR(VLOOKUP(TableHandbook[[#This Row],[UDC]],TableMJRUMNGMT[],7,FALSE),"")</f>
        <v/>
      </c>
      <c r="AJ310" s="66" t="str">
        <f>IFERROR(VLOOKUP(TableHandbook[[#This Row],[UDC]],TableMJRUMRKTG[],7,FALSE),"")</f>
        <v/>
      </c>
      <c r="AK310" s="66" t="str">
        <f>IFERROR(VLOOKUP(TableHandbook[[#This Row],[UDC]],TableMJRUPRPTY[],7,FALSE),"")</f>
        <v/>
      </c>
      <c r="AL310" s="66" t="str">
        <f>IFERROR(VLOOKUP(TableHandbook[[#This Row],[UDC]],TableMJRUSCRAR[],7,FALSE),"")</f>
        <v/>
      </c>
      <c r="AM310" s="66" t="str">
        <f>IFERROR(VLOOKUP(TableHandbook[[#This Row],[UDC]],TableMJRUTHTRA[],7,FALSE),"")</f>
        <v/>
      </c>
      <c r="AN310" s="66" t="str">
        <f>IFERROR(VLOOKUP(TableHandbook[[#This Row],[UDC]],TableMJRUTRHOS[],7,FALSE),"")</f>
        <v/>
      </c>
    </row>
    <row r="311" spans="1:40" x14ac:dyDescent="0.25">
      <c r="A311" s="8" t="s">
        <v>484</v>
      </c>
      <c r="B311" s="9">
        <v>2</v>
      </c>
      <c r="C311" s="8"/>
      <c r="D311" s="8" t="s">
        <v>867</v>
      </c>
      <c r="E311" s="9">
        <v>25</v>
      </c>
      <c r="F311" s="49" t="s">
        <v>868</v>
      </c>
      <c r="G311" s="67" t="str">
        <f>IFERROR(IF(VLOOKUP(TableHandbook[[#This Row],[UDC]],TableAvailabilities[],2,FALSE)&gt;0,"Y",""),"")</f>
        <v/>
      </c>
      <c r="H311" s="68" t="str">
        <f>IFERROR(IF(VLOOKUP(TableHandbook[[#This Row],[UDC]],TableAvailabilities[],3,FALSE)&gt;0,"Y",""),"")</f>
        <v/>
      </c>
      <c r="I311" s="69" t="str">
        <f>IFERROR(IF(VLOOKUP(TableHandbook[[#This Row],[UDC]],TableAvailabilities[],4,FALSE)&gt;0,"Y",""),"")</f>
        <v>Y</v>
      </c>
      <c r="J311" s="70" t="str">
        <f>IFERROR(IF(VLOOKUP(TableHandbook[[#This Row],[UDC]],TableAvailabilities[],5,FALSE)&gt;0,"Y",""),"")</f>
        <v>Y</v>
      </c>
      <c r="K311" s="250" t="s">
        <v>869</v>
      </c>
      <c r="L311" s="160" t="str">
        <f>IFERROR(VLOOKUP(TableHandbook[[#This Row],[UDC]],TableBARTS[],7,FALSE),"")</f>
        <v/>
      </c>
      <c r="M311" s="65" t="str">
        <f>IFERROR(VLOOKUP(TableHandbook[[#This Row],[UDC]],TableMJRUANTSO[],7,FALSE),"")</f>
        <v/>
      </c>
      <c r="N311" s="47" t="str">
        <f>IFERROR(VLOOKUP(TableHandbook[[#This Row],[UDC]],TableMJRUCHNSE[],7,FALSE),"")</f>
        <v/>
      </c>
      <c r="O311" s="47" t="str">
        <f>IFERROR(VLOOKUP(TableHandbook[[#This Row],[UDC]],TableMJRUCRWRI[],7,FALSE),"")</f>
        <v/>
      </c>
      <c r="P311" s="47" t="str">
        <f>IFERROR(VLOOKUP(TableHandbook[[#This Row],[UDC]],TableMJRUGEOGR[],7,FALSE),"")</f>
        <v/>
      </c>
      <c r="Q311" s="47" t="str">
        <f>IFERROR(VLOOKUP(TableHandbook[[#This Row],[UDC]],TableMJRUHISTR[],7,FALSE),"")</f>
        <v/>
      </c>
      <c r="R311" s="47" t="str">
        <f>IFERROR(VLOOKUP(TableHandbook[[#This Row],[UDC]],TableMJRUINAUC[],7,FALSE),"")</f>
        <v/>
      </c>
      <c r="S311" s="47" t="str">
        <f>IFERROR(VLOOKUP(TableHandbook[[#This Row],[UDC]],TableMJRUINTRL[],7,FALSE),"")</f>
        <v/>
      </c>
      <c r="T311" s="47" t="str">
        <f>IFERROR(VLOOKUP(TableHandbook[[#This Row],[UDC]],TableMJRUJAPAN[],7,FALSE),"")</f>
        <v/>
      </c>
      <c r="U311" s="47" t="str">
        <f>IFERROR(VLOOKUP(TableHandbook[[#This Row],[UDC]],TableMJRUJOURN[],7,FALSE),"")</f>
        <v/>
      </c>
      <c r="V311" s="65" t="str">
        <f>IFERROR(VLOOKUP(TableHandbook[[#This Row],[UDC]],TableMJRUKORES[],7,FALSE),"")</f>
        <v/>
      </c>
      <c r="W311" s="65" t="str">
        <f>IFERROR(VLOOKUP(TableHandbook[[#This Row],[UDC]],TableMJRULITCU[],7,FALSE),"")</f>
        <v/>
      </c>
      <c r="X311" s="65" t="str">
        <f>IFERROR(VLOOKUP(TableHandbook[[#This Row],[UDC]],TableMJRUNETCM[],7,FALSE),"")</f>
        <v/>
      </c>
      <c r="Y311" s="65" t="str">
        <f>IFERROR(VLOOKUP(TableHandbook[[#This Row],[UDC]],TableMJRUPRWRP[],7,FALSE),"")</f>
        <v/>
      </c>
      <c r="Z311" s="65" t="str">
        <f>IFERROR(VLOOKUP(TableHandbook[[#This Row],[UDC]],TableMJRUSCSTR[],7,FALSE),"")</f>
        <v/>
      </c>
      <c r="AA311" s="74"/>
      <c r="AB311" s="43" t="str">
        <f>IFERROR(VLOOKUP(TableHandbook[[#This Row],[UDC]],TableMJRUBSLAW[],7,FALSE),"")</f>
        <v>AltCore</v>
      </c>
      <c r="AC311" s="66" t="str">
        <f>IFERROR(VLOOKUP(TableHandbook[[#This Row],[UDC]],TableMJRUECONS[],7,FALSE),"")</f>
        <v/>
      </c>
      <c r="AD311" s="66" t="str">
        <f>IFERROR(VLOOKUP(TableHandbook[[#This Row],[UDC]],TableMJRUFINAR[],7,FALSE),"")</f>
        <v/>
      </c>
      <c r="AE311" s="66" t="str">
        <f>IFERROR(VLOOKUP(TableHandbook[[#This Row],[UDC]],TableMJRUFINCE[],7,FALSE),"")</f>
        <v/>
      </c>
      <c r="AF311" s="66" t="str">
        <f>IFERROR(VLOOKUP(TableHandbook[[#This Row],[UDC]],TableMJRUHRMGM[],7,FALSE),"")</f>
        <v/>
      </c>
      <c r="AG311" s="66" t="str">
        <f>IFERROR(VLOOKUP(TableHandbook[[#This Row],[UDC]],TableMJRUINTBU[],7,FALSE),"")</f>
        <v/>
      </c>
      <c r="AH311" s="66" t="str">
        <f>IFERROR(VLOOKUP(TableHandbook[[#This Row],[UDC]],TableMJRULGSCM[],7,FALSE),"")</f>
        <v/>
      </c>
      <c r="AI311" s="66" t="str">
        <f>IFERROR(VLOOKUP(TableHandbook[[#This Row],[UDC]],TableMJRUMNGMT[],7,FALSE),"")</f>
        <v/>
      </c>
      <c r="AJ311" s="66" t="str">
        <f>IFERROR(VLOOKUP(TableHandbook[[#This Row],[UDC]],TableMJRUMRKTG[],7,FALSE),"")</f>
        <v/>
      </c>
      <c r="AK311" s="66" t="str">
        <f>IFERROR(VLOOKUP(TableHandbook[[#This Row],[UDC]],TableMJRUPRPTY[],7,FALSE),"")</f>
        <v/>
      </c>
      <c r="AL311" s="66" t="str">
        <f>IFERROR(VLOOKUP(TableHandbook[[#This Row],[UDC]],TableMJRUSCRAR[],7,FALSE),"")</f>
        <v/>
      </c>
      <c r="AM311" s="66" t="str">
        <f>IFERROR(VLOOKUP(TableHandbook[[#This Row],[UDC]],TableMJRUTHTRA[],7,FALSE),"")</f>
        <v/>
      </c>
      <c r="AN311" s="66" t="str">
        <f>IFERROR(VLOOKUP(TableHandbook[[#This Row],[UDC]],TableMJRUTRHOS[],7,FALSE),"")</f>
        <v/>
      </c>
    </row>
    <row r="312" spans="1:40" x14ac:dyDescent="0.25">
      <c r="A312" s="8" t="s">
        <v>72</v>
      </c>
      <c r="B312" s="9">
        <v>1</v>
      </c>
      <c r="C312" s="8"/>
      <c r="D312" s="8" t="s">
        <v>870</v>
      </c>
      <c r="E312" s="9">
        <v>25</v>
      </c>
      <c r="F312" s="49" t="s">
        <v>526</v>
      </c>
      <c r="G312" s="67" t="str">
        <f>IFERROR(IF(VLOOKUP(TableHandbook[[#This Row],[UDC]],TableAvailabilities[],2,FALSE)&gt;0,"Y",""),"")</f>
        <v>Y</v>
      </c>
      <c r="H312" s="68" t="str">
        <f>IFERROR(IF(VLOOKUP(TableHandbook[[#This Row],[UDC]],TableAvailabilities[],3,FALSE)&gt;0,"Y",""),"")</f>
        <v/>
      </c>
      <c r="I312" s="69" t="str">
        <f>IFERROR(IF(VLOOKUP(TableHandbook[[#This Row],[UDC]],TableAvailabilities[],4,FALSE)&gt;0,"Y",""),"")</f>
        <v/>
      </c>
      <c r="J312" s="70" t="str">
        <f>IFERROR(IF(VLOOKUP(TableHandbook[[#This Row],[UDC]],TableAvailabilities[],5,FALSE)&gt;0,"Y",""),"")</f>
        <v/>
      </c>
      <c r="K312" s="164"/>
      <c r="L312" s="160" t="str">
        <f>IFERROR(VLOOKUP(TableHandbook[[#This Row],[UDC]],TableBARTS[],7,FALSE),"")</f>
        <v>Option</v>
      </c>
      <c r="M312" s="65" t="str">
        <f>IFERROR(VLOOKUP(TableHandbook[[#This Row],[UDC]],TableMJRUANTSO[],7,FALSE),"")</f>
        <v/>
      </c>
      <c r="N312" s="65" t="str">
        <f>IFERROR(VLOOKUP(TableHandbook[[#This Row],[UDC]],TableMJRUCHNSE[],7,FALSE),"")</f>
        <v/>
      </c>
      <c r="O312" s="65" t="str">
        <f>IFERROR(VLOOKUP(TableHandbook[[#This Row],[UDC]],TableMJRUCRWRI[],7,FALSE),"")</f>
        <v/>
      </c>
      <c r="P312" s="65" t="str">
        <f>IFERROR(VLOOKUP(TableHandbook[[#This Row],[UDC]],TableMJRUGEOGR[],7,FALSE),"")</f>
        <v/>
      </c>
      <c r="Q312" s="65" t="str">
        <f>IFERROR(VLOOKUP(TableHandbook[[#This Row],[UDC]],TableMJRUHISTR[],7,FALSE),"")</f>
        <v/>
      </c>
      <c r="R312" s="65" t="str">
        <f>IFERROR(VLOOKUP(TableHandbook[[#This Row],[UDC]],TableMJRUINAUC[],7,FALSE),"")</f>
        <v/>
      </c>
      <c r="S312" s="65" t="str">
        <f>IFERROR(VLOOKUP(TableHandbook[[#This Row],[UDC]],TableMJRUINTRL[],7,FALSE),"")</f>
        <v/>
      </c>
      <c r="T312" s="65" t="str">
        <f>IFERROR(VLOOKUP(TableHandbook[[#This Row],[UDC]],TableMJRUJAPAN[],7,FALSE),"")</f>
        <v/>
      </c>
      <c r="U312" s="65" t="str">
        <f>IFERROR(VLOOKUP(TableHandbook[[#This Row],[UDC]],TableMJRUJOURN[],7,FALSE),"")</f>
        <v/>
      </c>
      <c r="V312" s="65" t="str">
        <f>IFERROR(VLOOKUP(TableHandbook[[#This Row],[UDC]],TableMJRUKORES[],7,FALSE),"")</f>
        <v/>
      </c>
      <c r="W312" s="65" t="str">
        <f>IFERROR(VLOOKUP(TableHandbook[[#This Row],[UDC]],TableMJRULITCU[],7,FALSE),"")</f>
        <v/>
      </c>
      <c r="X312" s="65" t="str">
        <f>IFERROR(VLOOKUP(TableHandbook[[#This Row],[UDC]],TableMJRUNETCM[],7,FALSE),"")</f>
        <v/>
      </c>
      <c r="Y312" s="65" t="str">
        <f>IFERROR(VLOOKUP(TableHandbook[[#This Row],[UDC]],TableMJRUPRWRP[],7,FALSE),"")</f>
        <v/>
      </c>
      <c r="Z312" s="65" t="str">
        <f>IFERROR(VLOOKUP(TableHandbook[[#This Row],[UDC]],TableMJRUSCSTR[],7,FALSE),"")</f>
        <v/>
      </c>
      <c r="AA312" s="74"/>
      <c r="AB312" s="43" t="str">
        <f>IFERROR(VLOOKUP(TableHandbook[[#This Row],[UDC]],TableMJRUBSLAW[],7,FALSE),"")</f>
        <v/>
      </c>
      <c r="AC312" s="66" t="str">
        <f>IFERROR(VLOOKUP(TableHandbook[[#This Row],[UDC]],TableMJRUECONS[],7,FALSE),"")</f>
        <v/>
      </c>
      <c r="AD312" s="66" t="str">
        <f>IFERROR(VLOOKUP(TableHandbook[[#This Row],[UDC]],TableMJRUFINAR[],7,FALSE),"")</f>
        <v/>
      </c>
      <c r="AE312" s="66" t="str">
        <f>IFERROR(VLOOKUP(TableHandbook[[#This Row],[UDC]],TableMJRUFINCE[],7,FALSE),"")</f>
        <v/>
      </c>
      <c r="AF312" s="66" t="str">
        <f>IFERROR(VLOOKUP(TableHandbook[[#This Row],[UDC]],TableMJRUHRMGM[],7,FALSE),"")</f>
        <v/>
      </c>
      <c r="AG312" s="66" t="str">
        <f>IFERROR(VLOOKUP(TableHandbook[[#This Row],[UDC]],TableMJRUINTBU[],7,FALSE),"")</f>
        <v/>
      </c>
      <c r="AH312" s="66" t="str">
        <f>IFERROR(VLOOKUP(TableHandbook[[#This Row],[UDC]],TableMJRULGSCM[],7,FALSE),"")</f>
        <v/>
      </c>
      <c r="AI312" s="66" t="str">
        <f>IFERROR(VLOOKUP(TableHandbook[[#This Row],[UDC]],TableMJRUMNGMT[],7,FALSE),"")</f>
        <v/>
      </c>
      <c r="AJ312" s="66" t="str">
        <f>IFERROR(VLOOKUP(TableHandbook[[#This Row],[UDC]],TableMJRUMRKTG[],7,FALSE),"")</f>
        <v/>
      </c>
      <c r="AK312" s="66" t="str">
        <f>IFERROR(VLOOKUP(TableHandbook[[#This Row],[UDC]],TableMJRUPRPTY[],7,FALSE),"")</f>
        <v/>
      </c>
      <c r="AL312" s="66" t="str">
        <f>IFERROR(VLOOKUP(TableHandbook[[#This Row],[UDC]],TableMJRUSCRAR[],7,FALSE),"")</f>
        <v/>
      </c>
      <c r="AM312" s="66" t="str">
        <f>IFERROR(VLOOKUP(TableHandbook[[#This Row],[UDC]],TableMJRUTHTRA[],7,FALSE),"")</f>
        <v/>
      </c>
      <c r="AN312" s="66" t="str">
        <f>IFERROR(VLOOKUP(TableHandbook[[#This Row],[UDC]],TableMJRUTRHOS[],7,FALSE),"")</f>
        <v/>
      </c>
    </row>
    <row r="313" spans="1:40" x14ac:dyDescent="0.25">
      <c r="A313" s="8" t="s">
        <v>73</v>
      </c>
      <c r="B313" s="9">
        <v>1</v>
      </c>
      <c r="C313" s="8"/>
      <c r="D313" s="8" t="s">
        <v>871</v>
      </c>
      <c r="E313" s="9">
        <v>25</v>
      </c>
      <c r="F313" s="49" t="s">
        <v>526</v>
      </c>
      <c r="G313" s="67" t="str">
        <f>IFERROR(IF(VLOOKUP(TableHandbook[[#This Row],[UDC]],TableAvailabilities[],2,FALSE)&gt;0,"Y",""),"")</f>
        <v/>
      </c>
      <c r="H313" s="68" t="str">
        <f>IFERROR(IF(VLOOKUP(TableHandbook[[#This Row],[UDC]],TableAvailabilities[],3,FALSE)&gt;0,"Y",""),"")</f>
        <v/>
      </c>
      <c r="I313" s="69" t="str">
        <f>IFERROR(IF(VLOOKUP(TableHandbook[[#This Row],[UDC]],TableAvailabilities[],4,FALSE)&gt;0,"Y",""),"")</f>
        <v>Y</v>
      </c>
      <c r="J313" s="70" t="str">
        <f>IFERROR(IF(VLOOKUP(TableHandbook[[#This Row],[UDC]],TableAvailabilities[],5,FALSE)&gt;0,"Y",""),"")</f>
        <v/>
      </c>
      <c r="K313" s="164"/>
      <c r="L313" s="160" t="str">
        <f>IFERROR(VLOOKUP(TableHandbook[[#This Row],[UDC]],TableBARTS[],7,FALSE),"")</f>
        <v>Option</v>
      </c>
      <c r="M313" s="65" t="str">
        <f>IFERROR(VLOOKUP(TableHandbook[[#This Row],[UDC]],TableMJRUANTSO[],7,FALSE),"")</f>
        <v/>
      </c>
      <c r="N313" s="65" t="str">
        <f>IFERROR(VLOOKUP(TableHandbook[[#This Row],[UDC]],TableMJRUCHNSE[],7,FALSE),"")</f>
        <v/>
      </c>
      <c r="O313" s="65" t="str">
        <f>IFERROR(VLOOKUP(TableHandbook[[#This Row],[UDC]],TableMJRUCRWRI[],7,FALSE),"")</f>
        <v/>
      </c>
      <c r="P313" s="65" t="str">
        <f>IFERROR(VLOOKUP(TableHandbook[[#This Row],[UDC]],TableMJRUGEOGR[],7,FALSE),"")</f>
        <v/>
      </c>
      <c r="Q313" s="65" t="str">
        <f>IFERROR(VLOOKUP(TableHandbook[[#This Row],[UDC]],TableMJRUHISTR[],7,FALSE),"")</f>
        <v/>
      </c>
      <c r="R313" s="65" t="str">
        <f>IFERROR(VLOOKUP(TableHandbook[[#This Row],[UDC]],TableMJRUINAUC[],7,FALSE),"")</f>
        <v/>
      </c>
      <c r="S313" s="65" t="str">
        <f>IFERROR(VLOOKUP(TableHandbook[[#This Row],[UDC]],TableMJRUINTRL[],7,FALSE),"")</f>
        <v/>
      </c>
      <c r="T313" s="65" t="str">
        <f>IFERROR(VLOOKUP(TableHandbook[[#This Row],[UDC]],TableMJRUJAPAN[],7,FALSE),"")</f>
        <v/>
      </c>
      <c r="U313" s="65" t="str">
        <f>IFERROR(VLOOKUP(TableHandbook[[#This Row],[UDC]],TableMJRUJOURN[],7,FALSE),"")</f>
        <v/>
      </c>
      <c r="V313" s="65" t="str">
        <f>IFERROR(VLOOKUP(TableHandbook[[#This Row],[UDC]],TableMJRUKORES[],7,FALSE),"")</f>
        <v/>
      </c>
      <c r="W313" s="65" t="str">
        <f>IFERROR(VLOOKUP(TableHandbook[[#This Row],[UDC]],TableMJRULITCU[],7,FALSE),"")</f>
        <v/>
      </c>
      <c r="X313" s="65" t="str">
        <f>IFERROR(VLOOKUP(TableHandbook[[#This Row],[UDC]],TableMJRUNETCM[],7,FALSE),"")</f>
        <v/>
      </c>
      <c r="Y313" s="65" t="str">
        <f>IFERROR(VLOOKUP(TableHandbook[[#This Row],[UDC]],TableMJRUPRWRP[],7,FALSE),"")</f>
        <v/>
      </c>
      <c r="Z313" s="65" t="str">
        <f>IFERROR(VLOOKUP(TableHandbook[[#This Row],[UDC]],TableMJRUSCSTR[],7,FALSE),"")</f>
        <v/>
      </c>
      <c r="AA313" s="74"/>
      <c r="AB313" s="43" t="str">
        <f>IFERROR(VLOOKUP(TableHandbook[[#This Row],[UDC]],TableMJRUBSLAW[],7,FALSE),"")</f>
        <v/>
      </c>
      <c r="AC313" s="66" t="str">
        <f>IFERROR(VLOOKUP(TableHandbook[[#This Row],[UDC]],TableMJRUECONS[],7,FALSE),"")</f>
        <v/>
      </c>
      <c r="AD313" s="66" t="str">
        <f>IFERROR(VLOOKUP(TableHandbook[[#This Row],[UDC]],TableMJRUFINAR[],7,FALSE),"")</f>
        <v/>
      </c>
      <c r="AE313" s="66" t="str">
        <f>IFERROR(VLOOKUP(TableHandbook[[#This Row],[UDC]],TableMJRUFINCE[],7,FALSE),"")</f>
        <v/>
      </c>
      <c r="AF313" s="66" t="str">
        <f>IFERROR(VLOOKUP(TableHandbook[[#This Row],[UDC]],TableMJRUHRMGM[],7,FALSE),"")</f>
        <v/>
      </c>
      <c r="AG313" s="66" t="str">
        <f>IFERROR(VLOOKUP(TableHandbook[[#This Row],[UDC]],TableMJRUINTBU[],7,FALSE),"")</f>
        <v/>
      </c>
      <c r="AH313" s="66" t="str">
        <f>IFERROR(VLOOKUP(TableHandbook[[#This Row],[UDC]],TableMJRULGSCM[],7,FALSE),"")</f>
        <v/>
      </c>
      <c r="AI313" s="66" t="str">
        <f>IFERROR(VLOOKUP(TableHandbook[[#This Row],[UDC]],TableMJRUMNGMT[],7,FALSE),"")</f>
        <v/>
      </c>
      <c r="AJ313" s="66" t="str">
        <f>IFERROR(VLOOKUP(TableHandbook[[#This Row],[UDC]],TableMJRUMRKTG[],7,FALSE),"")</f>
        <v/>
      </c>
      <c r="AK313" s="66" t="str">
        <f>IFERROR(VLOOKUP(TableHandbook[[#This Row],[UDC]],TableMJRUPRPTY[],7,FALSE),"")</f>
        <v/>
      </c>
      <c r="AL313" s="66" t="str">
        <f>IFERROR(VLOOKUP(TableHandbook[[#This Row],[UDC]],TableMJRUSCRAR[],7,FALSE),"")</f>
        <v/>
      </c>
      <c r="AM313" s="66" t="str">
        <f>IFERROR(VLOOKUP(TableHandbook[[#This Row],[UDC]],TableMJRUTHTRA[],7,FALSE),"")</f>
        <v/>
      </c>
      <c r="AN313" s="66" t="str">
        <f>IFERROR(VLOOKUP(TableHandbook[[#This Row],[UDC]],TableMJRUTRHOS[],7,FALSE),"")</f>
        <v/>
      </c>
    </row>
    <row r="314" spans="1:40" x14ac:dyDescent="0.25">
      <c r="A314" s="8" t="s">
        <v>410</v>
      </c>
      <c r="B314" s="9">
        <v>1</v>
      </c>
      <c r="C314" s="8"/>
      <c r="D314" s="8" t="s">
        <v>872</v>
      </c>
      <c r="E314" s="9">
        <v>25</v>
      </c>
      <c r="F314" s="49" t="s">
        <v>526</v>
      </c>
      <c r="G314" s="67" t="str">
        <f>IFERROR(IF(VLOOKUP(TableHandbook[[#This Row],[UDC]],TableAvailabilities[],2,FALSE)&gt;0,"Y",""),"")</f>
        <v/>
      </c>
      <c r="H314" s="68" t="str">
        <f>IFERROR(IF(VLOOKUP(TableHandbook[[#This Row],[UDC]],TableAvailabilities[],3,FALSE)&gt;0,"Y",""),"")</f>
        <v/>
      </c>
      <c r="I314" s="69" t="str">
        <f>IFERROR(IF(VLOOKUP(TableHandbook[[#This Row],[UDC]],TableAvailabilities[],4,FALSE)&gt;0,"Y",""),"")</f>
        <v>Y</v>
      </c>
      <c r="J314" s="70" t="str">
        <f>IFERROR(IF(VLOOKUP(TableHandbook[[#This Row],[UDC]],TableAvailabilities[],5,FALSE)&gt;0,"Y",""),"")</f>
        <v/>
      </c>
      <c r="K314" s="164"/>
      <c r="L314" s="160" t="str">
        <f>IFERROR(VLOOKUP(TableHandbook[[#This Row],[UDC]],TableBARTS[],7,FALSE),"")</f>
        <v/>
      </c>
      <c r="M314" s="65" t="str">
        <f>IFERROR(VLOOKUP(TableHandbook[[#This Row],[UDC]],TableMJRUANTSO[],7,FALSE),"")</f>
        <v/>
      </c>
      <c r="N314" s="65" t="str">
        <f>IFERROR(VLOOKUP(TableHandbook[[#This Row],[UDC]],TableMJRUCHNSE[],7,FALSE),"")</f>
        <v/>
      </c>
      <c r="O314" s="65" t="str">
        <f>IFERROR(VLOOKUP(TableHandbook[[#This Row],[UDC]],TableMJRUCRWRI[],7,FALSE),"")</f>
        <v/>
      </c>
      <c r="P314" s="65" t="str">
        <f>IFERROR(VLOOKUP(TableHandbook[[#This Row],[UDC]],TableMJRUGEOGR[],7,FALSE),"")</f>
        <v/>
      </c>
      <c r="Q314" s="65" t="str">
        <f>IFERROR(VLOOKUP(TableHandbook[[#This Row],[UDC]],TableMJRUHISTR[],7,FALSE),"")</f>
        <v/>
      </c>
      <c r="R314" s="65" t="str">
        <f>IFERROR(VLOOKUP(TableHandbook[[#This Row],[UDC]],TableMJRUINAUC[],7,FALSE),"")</f>
        <v/>
      </c>
      <c r="S314" s="65" t="str">
        <f>IFERROR(VLOOKUP(TableHandbook[[#This Row],[UDC]],TableMJRUINTRL[],7,FALSE),"")</f>
        <v/>
      </c>
      <c r="T314" s="65" t="str">
        <f>IFERROR(VLOOKUP(TableHandbook[[#This Row],[UDC]],TableMJRUJAPAN[],7,FALSE),"")</f>
        <v/>
      </c>
      <c r="U314" s="65" t="str">
        <f>IFERROR(VLOOKUP(TableHandbook[[#This Row],[UDC]],TableMJRUJOURN[],7,FALSE),"")</f>
        <v/>
      </c>
      <c r="V314" s="65" t="str">
        <f>IFERROR(VLOOKUP(TableHandbook[[#This Row],[UDC]],TableMJRUKORES[],7,FALSE),"")</f>
        <v/>
      </c>
      <c r="W314" s="65" t="str">
        <f>IFERROR(VLOOKUP(TableHandbook[[#This Row],[UDC]],TableMJRULITCU[],7,FALSE),"")</f>
        <v/>
      </c>
      <c r="X314" s="65" t="str">
        <f>IFERROR(VLOOKUP(TableHandbook[[#This Row],[UDC]],TableMJRUNETCM[],7,FALSE),"")</f>
        <v/>
      </c>
      <c r="Y314" s="65" t="str">
        <f>IFERROR(VLOOKUP(TableHandbook[[#This Row],[UDC]],TableMJRUPRWRP[],7,FALSE),"")</f>
        <v/>
      </c>
      <c r="Z314" s="65" t="str">
        <f>IFERROR(VLOOKUP(TableHandbook[[#This Row],[UDC]],TableMJRUSCSTR[],7,FALSE),"")</f>
        <v/>
      </c>
      <c r="AA314" s="74"/>
      <c r="AB314" s="43" t="str">
        <f>IFERROR(VLOOKUP(TableHandbook[[#This Row],[UDC]],TableMJRUBSLAW[],7,FALSE),"")</f>
        <v/>
      </c>
      <c r="AC314" s="66" t="str">
        <f>IFERROR(VLOOKUP(TableHandbook[[#This Row],[UDC]],TableMJRUECONS[],7,FALSE),"")</f>
        <v/>
      </c>
      <c r="AD314" s="66" t="str">
        <f>IFERROR(VLOOKUP(TableHandbook[[#This Row],[UDC]],TableMJRUFINAR[],7,FALSE),"")</f>
        <v/>
      </c>
      <c r="AE314" s="66" t="str">
        <f>IFERROR(VLOOKUP(TableHandbook[[#This Row],[UDC]],TableMJRUFINCE[],7,FALSE),"")</f>
        <v/>
      </c>
      <c r="AF314" s="66" t="str">
        <f>IFERROR(VLOOKUP(TableHandbook[[#This Row],[UDC]],TableMJRUHRMGM[],7,FALSE),"")</f>
        <v/>
      </c>
      <c r="AG314" s="66" t="str">
        <f>IFERROR(VLOOKUP(TableHandbook[[#This Row],[UDC]],TableMJRUINTBU[],7,FALSE),"")</f>
        <v/>
      </c>
      <c r="AH314" s="66" t="str">
        <f>IFERROR(VLOOKUP(TableHandbook[[#This Row],[UDC]],TableMJRULGSCM[],7,FALSE),"")</f>
        <v/>
      </c>
      <c r="AI314" s="66" t="str">
        <f>IFERROR(VLOOKUP(TableHandbook[[#This Row],[UDC]],TableMJRUMNGMT[],7,FALSE),"")</f>
        <v/>
      </c>
      <c r="AJ314" s="66" t="str">
        <f>IFERROR(VLOOKUP(TableHandbook[[#This Row],[UDC]],TableMJRUMRKTG[],7,FALSE),"")</f>
        <v/>
      </c>
      <c r="AK314" s="66" t="str">
        <f>IFERROR(VLOOKUP(TableHandbook[[#This Row],[UDC]],TableMJRUPRPTY[],7,FALSE),"")</f>
        <v/>
      </c>
      <c r="AL314" s="66" t="str">
        <f>IFERROR(VLOOKUP(TableHandbook[[#This Row],[UDC]],TableMJRUSCRAR[],7,FALSE),"")</f>
        <v/>
      </c>
      <c r="AM314" s="66" t="str">
        <f>IFERROR(VLOOKUP(TableHandbook[[#This Row],[UDC]],TableMJRUTHTRA[],7,FALSE),"")</f>
        <v>Core</v>
      </c>
      <c r="AN314" s="66" t="str">
        <f>IFERROR(VLOOKUP(TableHandbook[[#This Row],[UDC]],TableMJRUTRHOS[],7,FALSE),"")</f>
        <v/>
      </c>
    </row>
    <row r="315" spans="1:40" x14ac:dyDescent="0.25">
      <c r="A315" s="8" t="s">
        <v>409</v>
      </c>
      <c r="B315" s="9">
        <v>1</v>
      </c>
      <c r="C315" s="8"/>
      <c r="D315" s="8" t="s">
        <v>873</v>
      </c>
      <c r="E315" s="9">
        <v>25</v>
      </c>
      <c r="F315" s="49" t="s">
        <v>526</v>
      </c>
      <c r="G315" s="67" t="str">
        <f>IFERROR(IF(VLOOKUP(TableHandbook[[#This Row],[UDC]],TableAvailabilities[],2,FALSE)&gt;0,"Y",""),"")</f>
        <v>Y</v>
      </c>
      <c r="H315" s="68" t="str">
        <f>IFERROR(IF(VLOOKUP(TableHandbook[[#This Row],[UDC]],TableAvailabilities[],3,FALSE)&gt;0,"Y",""),"")</f>
        <v/>
      </c>
      <c r="I315" s="69" t="str">
        <f>IFERROR(IF(VLOOKUP(TableHandbook[[#This Row],[UDC]],TableAvailabilities[],4,FALSE)&gt;0,"Y",""),"")</f>
        <v>Y</v>
      </c>
      <c r="J315" s="70" t="str">
        <f>IFERROR(IF(VLOOKUP(TableHandbook[[#This Row],[UDC]],TableAvailabilities[],5,FALSE)&gt;0,"Y",""),"")</f>
        <v/>
      </c>
      <c r="K315" s="164"/>
      <c r="L315" s="160" t="str">
        <f>IFERROR(VLOOKUP(TableHandbook[[#This Row],[UDC]],TableBARTS[],7,FALSE),"")</f>
        <v/>
      </c>
      <c r="M315" s="65" t="str">
        <f>IFERROR(VLOOKUP(TableHandbook[[#This Row],[UDC]],TableMJRUANTSO[],7,FALSE),"")</f>
        <v/>
      </c>
      <c r="N315" s="65" t="str">
        <f>IFERROR(VLOOKUP(TableHandbook[[#This Row],[UDC]],TableMJRUCHNSE[],7,FALSE),"")</f>
        <v/>
      </c>
      <c r="O315" s="65" t="str">
        <f>IFERROR(VLOOKUP(TableHandbook[[#This Row],[UDC]],TableMJRUCRWRI[],7,FALSE),"")</f>
        <v/>
      </c>
      <c r="P315" s="65" t="str">
        <f>IFERROR(VLOOKUP(TableHandbook[[#This Row],[UDC]],TableMJRUGEOGR[],7,FALSE),"")</f>
        <v/>
      </c>
      <c r="Q315" s="65" t="str">
        <f>IFERROR(VLOOKUP(TableHandbook[[#This Row],[UDC]],TableMJRUHISTR[],7,FALSE),"")</f>
        <v/>
      </c>
      <c r="R315" s="65" t="str">
        <f>IFERROR(VLOOKUP(TableHandbook[[#This Row],[UDC]],TableMJRUINAUC[],7,FALSE),"")</f>
        <v/>
      </c>
      <c r="S315" s="65" t="str">
        <f>IFERROR(VLOOKUP(TableHandbook[[#This Row],[UDC]],TableMJRUINTRL[],7,FALSE),"")</f>
        <v/>
      </c>
      <c r="T315" s="65" t="str">
        <f>IFERROR(VLOOKUP(TableHandbook[[#This Row],[UDC]],TableMJRUJAPAN[],7,FALSE),"")</f>
        <v/>
      </c>
      <c r="U315" s="65" t="str">
        <f>IFERROR(VLOOKUP(TableHandbook[[#This Row],[UDC]],TableMJRUJOURN[],7,FALSE),"")</f>
        <v/>
      </c>
      <c r="V315" s="65" t="str">
        <f>IFERROR(VLOOKUP(TableHandbook[[#This Row],[UDC]],TableMJRUKORES[],7,FALSE),"")</f>
        <v/>
      </c>
      <c r="W315" s="65" t="str">
        <f>IFERROR(VLOOKUP(TableHandbook[[#This Row],[UDC]],TableMJRULITCU[],7,FALSE),"")</f>
        <v/>
      </c>
      <c r="X315" s="65" t="str">
        <f>IFERROR(VLOOKUP(TableHandbook[[#This Row],[UDC]],TableMJRUNETCM[],7,FALSE),"")</f>
        <v/>
      </c>
      <c r="Y315" s="65" t="str">
        <f>IFERROR(VLOOKUP(TableHandbook[[#This Row],[UDC]],TableMJRUPRWRP[],7,FALSE),"")</f>
        <v/>
      </c>
      <c r="Z315" s="65" t="str">
        <f>IFERROR(VLOOKUP(TableHandbook[[#This Row],[UDC]],TableMJRUSCSTR[],7,FALSE),"")</f>
        <v/>
      </c>
      <c r="AA315" s="74"/>
      <c r="AB315" s="43" t="str">
        <f>IFERROR(VLOOKUP(TableHandbook[[#This Row],[UDC]],TableMJRUBSLAW[],7,FALSE),"")</f>
        <v/>
      </c>
      <c r="AC315" s="66" t="str">
        <f>IFERROR(VLOOKUP(TableHandbook[[#This Row],[UDC]],TableMJRUECONS[],7,FALSE),"")</f>
        <v/>
      </c>
      <c r="AD315" s="66" t="str">
        <f>IFERROR(VLOOKUP(TableHandbook[[#This Row],[UDC]],TableMJRUFINAR[],7,FALSE),"")</f>
        <v/>
      </c>
      <c r="AE315" s="66" t="str">
        <f>IFERROR(VLOOKUP(TableHandbook[[#This Row],[UDC]],TableMJRUFINCE[],7,FALSE),"")</f>
        <v/>
      </c>
      <c r="AF315" s="66" t="str">
        <f>IFERROR(VLOOKUP(TableHandbook[[#This Row],[UDC]],TableMJRUHRMGM[],7,FALSE),"")</f>
        <v/>
      </c>
      <c r="AG315" s="66" t="str">
        <f>IFERROR(VLOOKUP(TableHandbook[[#This Row],[UDC]],TableMJRUINTBU[],7,FALSE),"")</f>
        <v/>
      </c>
      <c r="AH315" s="66" t="str">
        <f>IFERROR(VLOOKUP(TableHandbook[[#This Row],[UDC]],TableMJRULGSCM[],7,FALSE),"")</f>
        <v/>
      </c>
      <c r="AI315" s="66" t="str">
        <f>IFERROR(VLOOKUP(TableHandbook[[#This Row],[UDC]],TableMJRUMNGMT[],7,FALSE),"")</f>
        <v/>
      </c>
      <c r="AJ315" s="66" t="str">
        <f>IFERROR(VLOOKUP(TableHandbook[[#This Row],[UDC]],TableMJRUMRKTG[],7,FALSE),"")</f>
        <v/>
      </c>
      <c r="AK315" s="66" t="str">
        <f>IFERROR(VLOOKUP(TableHandbook[[#This Row],[UDC]],TableMJRUPRPTY[],7,FALSE),"")</f>
        <v/>
      </c>
      <c r="AL315" s="66" t="str">
        <f>IFERROR(VLOOKUP(TableHandbook[[#This Row],[UDC]],TableMJRUSCRAR[],7,FALSE),"")</f>
        <v/>
      </c>
      <c r="AM315" s="66" t="str">
        <f>IFERROR(VLOOKUP(TableHandbook[[#This Row],[UDC]],TableMJRUTHTRA[],7,FALSE),"")</f>
        <v>Core</v>
      </c>
      <c r="AN315" s="66" t="str">
        <f>IFERROR(VLOOKUP(TableHandbook[[#This Row],[UDC]],TableMJRUTRHOS[],7,FALSE),"")</f>
        <v/>
      </c>
    </row>
    <row r="316" spans="1:40" x14ac:dyDescent="0.25">
      <c r="A316" s="8" t="s">
        <v>433</v>
      </c>
      <c r="B316" s="9">
        <v>1</v>
      </c>
      <c r="C316" s="8"/>
      <c r="D316" s="8" t="s">
        <v>874</v>
      </c>
      <c r="E316" s="9">
        <v>25</v>
      </c>
      <c r="F316" s="49" t="s">
        <v>526</v>
      </c>
      <c r="G316" s="67" t="str">
        <f>IFERROR(IF(VLOOKUP(TableHandbook[[#This Row],[UDC]],TableAvailabilities[],2,FALSE)&gt;0,"Y",""),"")</f>
        <v/>
      </c>
      <c r="H316" s="68" t="str">
        <f>IFERROR(IF(VLOOKUP(TableHandbook[[#This Row],[UDC]],TableAvailabilities[],3,FALSE)&gt;0,"Y",""),"")</f>
        <v/>
      </c>
      <c r="I316" s="69" t="str">
        <f>IFERROR(IF(VLOOKUP(TableHandbook[[#This Row],[UDC]],TableAvailabilities[],4,FALSE)&gt;0,"Y",""),"")</f>
        <v>Y</v>
      </c>
      <c r="J316" s="70" t="str">
        <f>IFERROR(IF(VLOOKUP(TableHandbook[[#This Row],[UDC]],TableAvailabilities[],5,FALSE)&gt;0,"Y",""),"")</f>
        <v/>
      </c>
      <c r="K316" s="164"/>
      <c r="L316" s="160" t="str">
        <f>IFERROR(VLOOKUP(TableHandbook[[#This Row],[UDC]],TableBARTS[],7,FALSE),"")</f>
        <v/>
      </c>
      <c r="M316" s="65" t="str">
        <f>IFERROR(VLOOKUP(TableHandbook[[#This Row],[UDC]],TableMJRUANTSO[],7,FALSE),"")</f>
        <v/>
      </c>
      <c r="N316" s="65" t="str">
        <f>IFERROR(VLOOKUP(TableHandbook[[#This Row],[UDC]],TableMJRUCHNSE[],7,FALSE),"")</f>
        <v/>
      </c>
      <c r="O316" s="65" t="str">
        <f>IFERROR(VLOOKUP(TableHandbook[[#This Row],[UDC]],TableMJRUCRWRI[],7,FALSE),"")</f>
        <v/>
      </c>
      <c r="P316" s="65" t="str">
        <f>IFERROR(VLOOKUP(TableHandbook[[#This Row],[UDC]],TableMJRUGEOGR[],7,FALSE),"")</f>
        <v/>
      </c>
      <c r="Q316" s="65" t="str">
        <f>IFERROR(VLOOKUP(TableHandbook[[#This Row],[UDC]],TableMJRUHISTR[],7,FALSE),"")</f>
        <v/>
      </c>
      <c r="R316" s="65" t="str">
        <f>IFERROR(VLOOKUP(TableHandbook[[#This Row],[UDC]],TableMJRUINAUC[],7,FALSE),"")</f>
        <v/>
      </c>
      <c r="S316" s="65" t="str">
        <f>IFERROR(VLOOKUP(TableHandbook[[#This Row],[UDC]],TableMJRUINTRL[],7,FALSE),"")</f>
        <v/>
      </c>
      <c r="T316" s="65" t="str">
        <f>IFERROR(VLOOKUP(TableHandbook[[#This Row],[UDC]],TableMJRUJAPAN[],7,FALSE),"")</f>
        <v/>
      </c>
      <c r="U316" s="65" t="str">
        <f>IFERROR(VLOOKUP(TableHandbook[[#This Row],[UDC]],TableMJRUJOURN[],7,FALSE),"")</f>
        <v/>
      </c>
      <c r="V316" s="65" t="str">
        <f>IFERROR(VLOOKUP(TableHandbook[[#This Row],[UDC]],TableMJRUKORES[],7,FALSE),"")</f>
        <v/>
      </c>
      <c r="W316" s="65" t="str">
        <f>IFERROR(VLOOKUP(TableHandbook[[#This Row],[UDC]],TableMJRULITCU[],7,FALSE),"")</f>
        <v/>
      </c>
      <c r="X316" s="65" t="str">
        <f>IFERROR(VLOOKUP(TableHandbook[[#This Row],[UDC]],TableMJRUNETCM[],7,FALSE),"")</f>
        <v/>
      </c>
      <c r="Y316" s="65" t="str">
        <f>IFERROR(VLOOKUP(TableHandbook[[#This Row],[UDC]],TableMJRUPRWRP[],7,FALSE),"")</f>
        <v/>
      </c>
      <c r="Z316" s="65" t="str">
        <f>IFERROR(VLOOKUP(TableHandbook[[#This Row],[UDC]],TableMJRUSCSTR[],7,FALSE),"")</f>
        <v/>
      </c>
      <c r="AA316" s="74"/>
      <c r="AB316" s="43" t="str">
        <f>IFERROR(VLOOKUP(TableHandbook[[#This Row],[UDC]],TableMJRUBSLAW[],7,FALSE),"")</f>
        <v/>
      </c>
      <c r="AC316" s="66" t="str">
        <f>IFERROR(VLOOKUP(TableHandbook[[#This Row],[UDC]],TableMJRUECONS[],7,FALSE),"")</f>
        <v/>
      </c>
      <c r="AD316" s="66" t="str">
        <f>IFERROR(VLOOKUP(TableHandbook[[#This Row],[UDC]],TableMJRUFINAR[],7,FALSE),"")</f>
        <v/>
      </c>
      <c r="AE316" s="66" t="str">
        <f>IFERROR(VLOOKUP(TableHandbook[[#This Row],[UDC]],TableMJRUFINCE[],7,FALSE),"")</f>
        <v/>
      </c>
      <c r="AF316" s="66" t="str">
        <f>IFERROR(VLOOKUP(TableHandbook[[#This Row],[UDC]],TableMJRUHRMGM[],7,FALSE),"")</f>
        <v/>
      </c>
      <c r="AG316" s="66" t="str">
        <f>IFERROR(VLOOKUP(TableHandbook[[#This Row],[UDC]],TableMJRUINTBU[],7,FALSE),"")</f>
        <v/>
      </c>
      <c r="AH316" s="66" t="str">
        <f>IFERROR(VLOOKUP(TableHandbook[[#This Row],[UDC]],TableMJRULGSCM[],7,FALSE),"")</f>
        <v/>
      </c>
      <c r="AI316" s="66" t="str">
        <f>IFERROR(VLOOKUP(TableHandbook[[#This Row],[UDC]],TableMJRUMNGMT[],7,FALSE),"")</f>
        <v/>
      </c>
      <c r="AJ316" s="66" t="str">
        <f>IFERROR(VLOOKUP(TableHandbook[[#This Row],[UDC]],TableMJRUMRKTG[],7,FALSE),"")</f>
        <v/>
      </c>
      <c r="AK316" s="66" t="str">
        <f>IFERROR(VLOOKUP(TableHandbook[[#This Row],[UDC]],TableMJRUPRPTY[],7,FALSE),"")</f>
        <v/>
      </c>
      <c r="AL316" s="66" t="str">
        <f>IFERROR(VLOOKUP(TableHandbook[[#This Row],[UDC]],TableMJRUSCRAR[],7,FALSE),"")</f>
        <v/>
      </c>
      <c r="AM316" s="66" t="str">
        <f>IFERROR(VLOOKUP(TableHandbook[[#This Row],[UDC]],TableMJRUTHTRA[],7,FALSE),"")</f>
        <v>Core</v>
      </c>
      <c r="AN316" s="66" t="str">
        <f>IFERROR(VLOOKUP(TableHandbook[[#This Row],[UDC]],TableMJRUTRHOS[],7,FALSE),"")</f>
        <v/>
      </c>
    </row>
    <row r="317" spans="1:40" x14ac:dyDescent="0.25">
      <c r="A317" s="8" t="s">
        <v>482</v>
      </c>
      <c r="B317" s="9">
        <v>1</v>
      </c>
      <c r="C317" s="8"/>
      <c r="D317" s="8" t="s">
        <v>875</v>
      </c>
      <c r="E317" s="9">
        <v>25</v>
      </c>
      <c r="F317" s="49" t="s">
        <v>526</v>
      </c>
      <c r="G317" s="67" t="str">
        <f>IFERROR(IF(VLOOKUP(TableHandbook[[#This Row],[UDC]],TableAvailabilities[],2,FALSE)&gt;0,"Y",""),"")</f>
        <v>Y</v>
      </c>
      <c r="H317" s="68" t="str">
        <f>IFERROR(IF(VLOOKUP(TableHandbook[[#This Row],[UDC]],TableAvailabilities[],3,FALSE)&gt;0,"Y",""),"")</f>
        <v/>
      </c>
      <c r="I317" s="69" t="str">
        <f>IFERROR(IF(VLOOKUP(TableHandbook[[#This Row],[UDC]],TableAvailabilities[],4,FALSE)&gt;0,"Y",""),"")</f>
        <v/>
      </c>
      <c r="J317" s="70" t="str">
        <f>IFERROR(IF(VLOOKUP(TableHandbook[[#This Row],[UDC]],TableAvailabilities[],5,FALSE)&gt;0,"Y",""),"")</f>
        <v/>
      </c>
      <c r="K317" s="164"/>
      <c r="L317" s="160" t="str">
        <f>IFERROR(VLOOKUP(TableHandbook[[#This Row],[UDC]],TableBARTS[],7,FALSE),"")</f>
        <v/>
      </c>
      <c r="M317" s="65" t="str">
        <f>IFERROR(VLOOKUP(TableHandbook[[#This Row],[UDC]],TableMJRUANTSO[],7,FALSE),"")</f>
        <v/>
      </c>
      <c r="N317" s="65" t="str">
        <f>IFERROR(VLOOKUP(TableHandbook[[#This Row],[UDC]],TableMJRUCHNSE[],7,FALSE),"")</f>
        <v/>
      </c>
      <c r="O317" s="65" t="str">
        <f>IFERROR(VLOOKUP(TableHandbook[[#This Row],[UDC]],TableMJRUCRWRI[],7,FALSE),"")</f>
        <v/>
      </c>
      <c r="P317" s="65" t="str">
        <f>IFERROR(VLOOKUP(TableHandbook[[#This Row],[UDC]],TableMJRUGEOGR[],7,FALSE),"")</f>
        <v/>
      </c>
      <c r="Q317" s="65" t="str">
        <f>IFERROR(VLOOKUP(TableHandbook[[#This Row],[UDC]],TableMJRUHISTR[],7,FALSE),"")</f>
        <v/>
      </c>
      <c r="R317" s="65" t="str">
        <f>IFERROR(VLOOKUP(TableHandbook[[#This Row],[UDC]],TableMJRUINAUC[],7,FALSE),"")</f>
        <v/>
      </c>
      <c r="S317" s="65" t="str">
        <f>IFERROR(VLOOKUP(TableHandbook[[#This Row],[UDC]],TableMJRUINTRL[],7,FALSE),"")</f>
        <v/>
      </c>
      <c r="T317" s="65" t="str">
        <f>IFERROR(VLOOKUP(TableHandbook[[#This Row],[UDC]],TableMJRUJAPAN[],7,FALSE),"")</f>
        <v/>
      </c>
      <c r="U317" s="65" t="str">
        <f>IFERROR(VLOOKUP(TableHandbook[[#This Row],[UDC]],TableMJRUJOURN[],7,FALSE),"")</f>
        <v/>
      </c>
      <c r="V317" s="65" t="str">
        <f>IFERROR(VLOOKUP(TableHandbook[[#This Row],[UDC]],TableMJRUKORES[],7,FALSE),"")</f>
        <v/>
      </c>
      <c r="W317" s="65" t="str">
        <f>IFERROR(VLOOKUP(TableHandbook[[#This Row],[UDC]],TableMJRULITCU[],7,FALSE),"")</f>
        <v/>
      </c>
      <c r="X317" s="65" t="str">
        <f>IFERROR(VLOOKUP(TableHandbook[[#This Row],[UDC]],TableMJRUNETCM[],7,FALSE),"")</f>
        <v/>
      </c>
      <c r="Y317" s="65" t="str">
        <f>IFERROR(VLOOKUP(TableHandbook[[#This Row],[UDC]],TableMJRUPRWRP[],7,FALSE),"")</f>
        <v/>
      </c>
      <c r="Z317" s="65" t="str">
        <f>IFERROR(VLOOKUP(TableHandbook[[#This Row],[UDC]],TableMJRUSCSTR[],7,FALSE),"")</f>
        <v/>
      </c>
      <c r="AA317" s="74"/>
      <c r="AB317" s="43" t="str">
        <f>IFERROR(VLOOKUP(TableHandbook[[#This Row],[UDC]],TableMJRUBSLAW[],7,FALSE),"")</f>
        <v/>
      </c>
      <c r="AC317" s="66" t="str">
        <f>IFERROR(VLOOKUP(TableHandbook[[#This Row],[UDC]],TableMJRUECONS[],7,FALSE),"")</f>
        <v/>
      </c>
      <c r="AD317" s="66" t="str">
        <f>IFERROR(VLOOKUP(TableHandbook[[#This Row],[UDC]],TableMJRUFINAR[],7,FALSE),"")</f>
        <v/>
      </c>
      <c r="AE317" s="66" t="str">
        <f>IFERROR(VLOOKUP(TableHandbook[[#This Row],[UDC]],TableMJRUFINCE[],7,FALSE),"")</f>
        <v/>
      </c>
      <c r="AF317" s="66" t="str">
        <f>IFERROR(VLOOKUP(TableHandbook[[#This Row],[UDC]],TableMJRUHRMGM[],7,FALSE),"")</f>
        <v/>
      </c>
      <c r="AG317" s="66" t="str">
        <f>IFERROR(VLOOKUP(TableHandbook[[#This Row],[UDC]],TableMJRUINTBU[],7,FALSE),"")</f>
        <v/>
      </c>
      <c r="AH317" s="66" t="str">
        <f>IFERROR(VLOOKUP(TableHandbook[[#This Row],[UDC]],TableMJRULGSCM[],7,FALSE),"")</f>
        <v/>
      </c>
      <c r="AI317" s="66" t="str">
        <f>IFERROR(VLOOKUP(TableHandbook[[#This Row],[UDC]],TableMJRUMNGMT[],7,FALSE),"")</f>
        <v/>
      </c>
      <c r="AJ317" s="66" t="str">
        <f>IFERROR(VLOOKUP(TableHandbook[[#This Row],[UDC]],TableMJRUMRKTG[],7,FALSE),"")</f>
        <v/>
      </c>
      <c r="AK317" s="66" t="str">
        <f>IFERROR(VLOOKUP(TableHandbook[[#This Row],[UDC]],TableMJRUPRPTY[],7,FALSE),"")</f>
        <v/>
      </c>
      <c r="AL317" s="66" t="str">
        <f>IFERROR(VLOOKUP(TableHandbook[[#This Row],[UDC]],TableMJRUSCRAR[],7,FALSE),"")</f>
        <v/>
      </c>
      <c r="AM317" s="66" t="str">
        <f>IFERROR(VLOOKUP(TableHandbook[[#This Row],[UDC]],TableMJRUTHTRA[],7,FALSE),"")</f>
        <v>Option</v>
      </c>
      <c r="AN317" s="66" t="str">
        <f>IFERROR(VLOOKUP(TableHandbook[[#This Row],[UDC]],TableMJRUTRHOS[],7,FALSE),"")</f>
        <v/>
      </c>
    </row>
    <row r="318" spans="1:40" x14ac:dyDescent="0.25">
      <c r="A318" s="8" t="s">
        <v>456</v>
      </c>
      <c r="B318" s="9">
        <v>1</v>
      </c>
      <c r="C318" s="8"/>
      <c r="D318" s="8" t="s">
        <v>876</v>
      </c>
      <c r="E318" s="9">
        <v>25</v>
      </c>
      <c r="F318" s="49" t="s">
        <v>877</v>
      </c>
      <c r="G318" s="67" t="str">
        <f>IFERROR(IF(VLOOKUP(TableHandbook[[#This Row],[UDC]],TableAvailabilities[],2,FALSE)&gt;0,"Y",""),"")</f>
        <v>Y</v>
      </c>
      <c r="H318" s="68" t="str">
        <f>IFERROR(IF(VLOOKUP(TableHandbook[[#This Row],[UDC]],TableAvailabilities[],3,FALSE)&gt;0,"Y",""),"")</f>
        <v/>
      </c>
      <c r="I318" s="69" t="str">
        <f>IFERROR(IF(VLOOKUP(TableHandbook[[#This Row],[UDC]],TableAvailabilities[],4,FALSE)&gt;0,"Y",""),"")</f>
        <v/>
      </c>
      <c r="J318" s="70" t="str">
        <f>IFERROR(IF(VLOOKUP(TableHandbook[[#This Row],[UDC]],TableAvailabilities[],5,FALSE)&gt;0,"Y",""),"")</f>
        <v/>
      </c>
      <c r="K318" s="164"/>
      <c r="L318" s="160" t="str">
        <f>IFERROR(VLOOKUP(TableHandbook[[#This Row],[UDC]],TableBARTS[],7,FALSE),"")</f>
        <v/>
      </c>
      <c r="M318" s="65" t="str">
        <f>IFERROR(VLOOKUP(TableHandbook[[#This Row],[UDC]],TableMJRUANTSO[],7,FALSE),"")</f>
        <v/>
      </c>
      <c r="N318" s="65" t="str">
        <f>IFERROR(VLOOKUP(TableHandbook[[#This Row],[UDC]],TableMJRUCHNSE[],7,FALSE),"")</f>
        <v/>
      </c>
      <c r="O318" s="65" t="str">
        <f>IFERROR(VLOOKUP(TableHandbook[[#This Row],[UDC]],TableMJRUCRWRI[],7,FALSE),"")</f>
        <v/>
      </c>
      <c r="P318" s="65" t="str">
        <f>IFERROR(VLOOKUP(TableHandbook[[#This Row],[UDC]],TableMJRUGEOGR[],7,FALSE),"")</f>
        <v/>
      </c>
      <c r="Q318" s="65" t="str">
        <f>IFERROR(VLOOKUP(TableHandbook[[#This Row],[UDC]],TableMJRUHISTR[],7,FALSE),"")</f>
        <v/>
      </c>
      <c r="R318" s="65" t="str">
        <f>IFERROR(VLOOKUP(TableHandbook[[#This Row],[UDC]],TableMJRUINAUC[],7,FALSE),"")</f>
        <v/>
      </c>
      <c r="S318" s="65" t="str">
        <f>IFERROR(VLOOKUP(TableHandbook[[#This Row],[UDC]],TableMJRUINTRL[],7,FALSE),"")</f>
        <v/>
      </c>
      <c r="T318" s="65" t="str">
        <f>IFERROR(VLOOKUP(TableHandbook[[#This Row],[UDC]],TableMJRUJAPAN[],7,FALSE),"")</f>
        <v/>
      </c>
      <c r="U318" s="65" t="str">
        <f>IFERROR(VLOOKUP(TableHandbook[[#This Row],[UDC]],TableMJRUJOURN[],7,FALSE),"")</f>
        <v/>
      </c>
      <c r="V318" s="65" t="str">
        <f>IFERROR(VLOOKUP(TableHandbook[[#This Row],[UDC]],TableMJRUKORES[],7,FALSE),"")</f>
        <v/>
      </c>
      <c r="W318" s="65" t="str">
        <f>IFERROR(VLOOKUP(TableHandbook[[#This Row],[UDC]],TableMJRULITCU[],7,FALSE),"")</f>
        <v/>
      </c>
      <c r="X318" s="65" t="str">
        <f>IFERROR(VLOOKUP(TableHandbook[[#This Row],[UDC]],TableMJRUNETCM[],7,FALSE),"")</f>
        <v/>
      </c>
      <c r="Y318" s="65" t="str">
        <f>IFERROR(VLOOKUP(TableHandbook[[#This Row],[UDC]],TableMJRUPRWRP[],7,FALSE),"")</f>
        <v/>
      </c>
      <c r="Z318" s="65" t="str">
        <f>IFERROR(VLOOKUP(TableHandbook[[#This Row],[UDC]],TableMJRUSCSTR[],7,FALSE),"")</f>
        <v/>
      </c>
      <c r="AA318" s="74"/>
      <c r="AB318" s="43" t="str">
        <f>IFERROR(VLOOKUP(TableHandbook[[#This Row],[UDC]],TableMJRUBSLAW[],7,FALSE),"")</f>
        <v/>
      </c>
      <c r="AC318" s="66" t="str">
        <f>IFERROR(VLOOKUP(TableHandbook[[#This Row],[UDC]],TableMJRUECONS[],7,FALSE),"")</f>
        <v/>
      </c>
      <c r="AD318" s="66" t="str">
        <f>IFERROR(VLOOKUP(TableHandbook[[#This Row],[UDC]],TableMJRUFINAR[],7,FALSE),"")</f>
        <v/>
      </c>
      <c r="AE318" s="66" t="str">
        <f>IFERROR(VLOOKUP(TableHandbook[[#This Row],[UDC]],TableMJRUFINCE[],7,FALSE),"")</f>
        <v/>
      </c>
      <c r="AF318" s="66" t="str">
        <f>IFERROR(VLOOKUP(TableHandbook[[#This Row],[UDC]],TableMJRUHRMGM[],7,FALSE),"")</f>
        <v/>
      </c>
      <c r="AG318" s="66" t="str">
        <f>IFERROR(VLOOKUP(TableHandbook[[#This Row],[UDC]],TableMJRUINTBU[],7,FALSE),"")</f>
        <v/>
      </c>
      <c r="AH318" s="66" t="str">
        <f>IFERROR(VLOOKUP(TableHandbook[[#This Row],[UDC]],TableMJRULGSCM[],7,FALSE),"")</f>
        <v/>
      </c>
      <c r="AI318" s="66" t="str">
        <f>IFERROR(VLOOKUP(TableHandbook[[#This Row],[UDC]],TableMJRUMNGMT[],7,FALSE),"")</f>
        <v/>
      </c>
      <c r="AJ318" s="66" t="str">
        <f>IFERROR(VLOOKUP(TableHandbook[[#This Row],[UDC]],TableMJRUMRKTG[],7,FALSE),"")</f>
        <v/>
      </c>
      <c r="AK318" s="66" t="str">
        <f>IFERROR(VLOOKUP(TableHandbook[[#This Row],[UDC]],TableMJRUPRPTY[],7,FALSE),"")</f>
        <v/>
      </c>
      <c r="AL318" s="66" t="str">
        <f>IFERROR(VLOOKUP(TableHandbook[[#This Row],[UDC]],TableMJRUSCRAR[],7,FALSE),"")</f>
        <v/>
      </c>
      <c r="AM318" s="66" t="str">
        <f>IFERROR(VLOOKUP(TableHandbook[[#This Row],[UDC]],TableMJRUTHTRA[],7,FALSE),"")</f>
        <v>Core</v>
      </c>
      <c r="AN318" s="66" t="str">
        <f>IFERROR(VLOOKUP(TableHandbook[[#This Row],[UDC]],TableMJRUTRHOS[],7,FALSE),"")</f>
        <v/>
      </c>
    </row>
    <row r="319" spans="1:40" x14ac:dyDescent="0.25">
      <c r="A319" s="8" t="s">
        <v>471</v>
      </c>
      <c r="B319" s="9">
        <v>1</v>
      </c>
      <c r="C319" s="8"/>
      <c r="D319" s="8" t="s">
        <v>878</v>
      </c>
      <c r="E319" s="9">
        <v>25</v>
      </c>
      <c r="F319" s="49" t="s">
        <v>879</v>
      </c>
      <c r="G319" s="67" t="str">
        <f>IFERROR(IF(VLOOKUP(TableHandbook[[#This Row],[UDC]],TableAvailabilities[],2,FALSE)&gt;0,"Y",""),"")</f>
        <v>Y</v>
      </c>
      <c r="H319" s="68" t="str">
        <f>IFERROR(IF(VLOOKUP(TableHandbook[[#This Row],[UDC]],TableAvailabilities[],3,FALSE)&gt;0,"Y",""),"")</f>
        <v/>
      </c>
      <c r="I319" s="69" t="str">
        <f>IFERROR(IF(VLOOKUP(TableHandbook[[#This Row],[UDC]],TableAvailabilities[],4,FALSE)&gt;0,"Y",""),"")</f>
        <v/>
      </c>
      <c r="J319" s="70" t="str">
        <f>IFERROR(IF(VLOOKUP(TableHandbook[[#This Row],[UDC]],TableAvailabilities[],5,FALSE)&gt;0,"Y",""),"")</f>
        <v/>
      </c>
      <c r="K319" s="164"/>
      <c r="L319" s="160" t="str">
        <f>IFERROR(VLOOKUP(TableHandbook[[#This Row],[UDC]],TableBARTS[],7,FALSE),"")</f>
        <v/>
      </c>
      <c r="M319" s="65" t="str">
        <f>IFERROR(VLOOKUP(TableHandbook[[#This Row],[UDC]],TableMJRUANTSO[],7,FALSE),"")</f>
        <v/>
      </c>
      <c r="N319" s="65" t="str">
        <f>IFERROR(VLOOKUP(TableHandbook[[#This Row],[UDC]],TableMJRUCHNSE[],7,FALSE),"")</f>
        <v/>
      </c>
      <c r="O319" s="65" t="str">
        <f>IFERROR(VLOOKUP(TableHandbook[[#This Row],[UDC]],TableMJRUCRWRI[],7,FALSE),"")</f>
        <v/>
      </c>
      <c r="P319" s="65" t="str">
        <f>IFERROR(VLOOKUP(TableHandbook[[#This Row],[UDC]],TableMJRUGEOGR[],7,FALSE),"")</f>
        <v/>
      </c>
      <c r="Q319" s="65" t="str">
        <f>IFERROR(VLOOKUP(TableHandbook[[#This Row],[UDC]],TableMJRUHISTR[],7,FALSE),"")</f>
        <v/>
      </c>
      <c r="R319" s="65" t="str">
        <f>IFERROR(VLOOKUP(TableHandbook[[#This Row],[UDC]],TableMJRUINAUC[],7,FALSE),"")</f>
        <v/>
      </c>
      <c r="S319" s="65" t="str">
        <f>IFERROR(VLOOKUP(TableHandbook[[#This Row],[UDC]],TableMJRUINTRL[],7,FALSE),"")</f>
        <v/>
      </c>
      <c r="T319" s="65" t="str">
        <f>IFERROR(VLOOKUP(TableHandbook[[#This Row],[UDC]],TableMJRUJAPAN[],7,FALSE),"")</f>
        <v/>
      </c>
      <c r="U319" s="65" t="str">
        <f>IFERROR(VLOOKUP(TableHandbook[[#This Row],[UDC]],TableMJRUJOURN[],7,FALSE),"")</f>
        <v/>
      </c>
      <c r="V319" s="65" t="str">
        <f>IFERROR(VLOOKUP(TableHandbook[[#This Row],[UDC]],TableMJRUKORES[],7,FALSE),"")</f>
        <v/>
      </c>
      <c r="W319" s="65" t="str">
        <f>IFERROR(VLOOKUP(TableHandbook[[#This Row],[UDC]],TableMJRULITCU[],7,FALSE),"")</f>
        <v/>
      </c>
      <c r="X319" s="65" t="str">
        <f>IFERROR(VLOOKUP(TableHandbook[[#This Row],[UDC]],TableMJRUNETCM[],7,FALSE),"")</f>
        <v/>
      </c>
      <c r="Y319" s="65" t="str">
        <f>IFERROR(VLOOKUP(TableHandbook[[#This Row],[UDC]],TableMJRUPRWRP[],7,FALSE),"")</f>
        <v/>
      </c>
      <c r="Z319" s="65" t="str">
        <f>IFERROR(VLOOKUP(TableHandbook[[#This Row],[UDC]],TableMJRUSCSTR[],7,FALSE),"")</f>
        <v/>
      </c>
      <c r="AA319" s="74"/>
      <c r="AB319" s="43" t="str">
        <f>IFERROR(VLOOKUP(TableHandbook[[#This Row],[UDC]],TableMJRUBSLAW[],7,FALSE),"")</f>
        <v/>
      </c>
      <c r="AC319" s="66" t="str">
        <f>IFERROR(VLOOKUP(TableHandbook[[#This Row],[UDC]],TableMJRUECONS[],7,FALSE),"")</f>
        <v/>
      </c>
      <c r="AD319" s="66" t="str">
        <f>IFERROR(VLOOKUP(TableHandbook[[#This Row],[UDC]],TableMJRUFINAR[],7,FALSE),"")</f>
        <v/>
      </c>
      <c r="AE319" s="66" t="str">
        <f>IFERROR(VLOOKUP(TableHandbook[[#This Row],[UDC]],TableMJRUFINCE[],7,FALSE),"")</f>
        <v/>
      </c>
      <c r="AF319" s="66" t="str">
        <f>IFERROR(VLOOKUP(TableHandbook[[#This Row],[UDC]],TableMJRUHRMGM[],7,FALSE),"")</f>
        <v/>
      </c>
      <c r="AG319" s="66" t="str">
        <f>IFERROR(VLOOKUP(TableHandbook[[#This Row],[UDC]],TableMJRUINTBU[],7,FALSE),"")</f>
        <v/>
      </c>
      <c r="AH319" s="66" t="str">
        <f>IFERROR(VLOOKUP(TableHandbook[[#This Row],[UDC]],TableMJRULGSCM[],7,FALSE),"")</f>
        <v/>
      </c>
      <c r="AI319" s="66" t="str">
        <f>IFERROR(VLOOKUP(TableHandbook[[#This Row],[UDC]],TableMJRUMNGMT[],7,FALSE),"")</f>
        <v/>
      </c>
      <c r="AJ319" s="66" t="str">
        <f>IFERROR(VLOOKUP(TableHandbook[[#This Row],[UDC]],TableMJRUMRKTG[],7,FALSE),"")</f>
        <v/>
      </c>
      <c r="AK319" s="66" t="str">
        <f>IFERROR(VLOOKUP(TableHandbook[[#This Row],[UDC]],TableMJRUPRPTY[],7,FALSE),"")</f>
        <v/>
      </c>
      <c r="AL319" s="66" t="str">
        <f>IFERROR(VLOOKUP(TableHandbook[[#This Row],[UDC]],TableMJRUSCRAR[],7,FALSE),"")</f>
        <v/>
      </c>
      <c r="AM319" s="66" t="str">
        <f>IFERROR(VLOOKUP(TableHandbook[[#This Row],[UDC]],TableMJRUTHTRA[],7,FALSE),"")</f>
        <v>Core</v>
      </c>
      <c r="AN319" s="66" t="str">
        <f>IFERROR(VLOOKUP(TableHandbook[[#This Row],[UDC]],TableMJRUTRHOS[],7,FALSE),"")</f>
        <v/>
      </c>
    </row>
    <row r="320" spans="1:40" x14ac:dyDescent="0.25">
      <c r="A320" s="8" t="s">
        <v>457</v>
      </c>
      <c r="B320" s="9">
        <v>1</v>
      </c>
      <c r="C320" s="8"/>
      <c r="D320" s="8" t="s">
        <v>880</v>
      </c>
      <c r="E320" s="9">
        <v>25</v>
      </c>
      <c r="F320" s="49" t="s">
        <v>879</v>
      </c>
      <c r="G320" s="67" t="str">
        <f>IFERROR(IF(VLOOKUP(TableHandbook[[#This Row],[UDC]],TableAvailabilities[],2,FALSE)&gt;0,"Y",""),"")</f>
        <v/>
      </c>
      <c r="H320" s="68" t="str">
        <f>IFERROR(IF(VLOOKUP(TableHandbook[[#This Row],[UDC]],TableAvailabilities[],3,FALSE)&gt;0,"Y",""),"")</f>
        <v/>
      </c>
      <c r="I320" s="69" t="str">
        <f>IFERROR(IF(VLOOKUP(TableHandbook[[#This Row],[UDC]],TableAvailabilities[],4,FALSE)&gt;0,"Y",""),"")</f>
        <v>Y</v>
      </c>
      <c r="J320" s="70" t="str">
        <f>IFERROR(IF(VLOOKUP(TableHandbook[[#This Row],[UDC]],TableAvailabilities[],5,FALSE)&gt;0,"Y",""),"")</f>
        <v/>
      </c>
      <c r="K320" s="164"/>
      <c r="L320" s="160" t="str">
        <f>IFERROR(VLOOKUP(TableHandbook[[#This Row],[UDC]],TableBARTS[],7,FALSE),"")</f>
        <v/>
      </c>
      <c r="M320" s="65" t="str">
        <f>IFERROR(VLOOKUP(TableHandbook[[#This Row],[UDC]],TableMJRUANTSO[],7,FALSE),"")</f>
        <v/>
      </c>
      <c r="N320" s="65" t="str">
        <f>IFERROR(VLOOKUP(TableHandbook[[#This Row],[UDC]],TableMJRUCHNSE[],7,FALSE),"")</f>
        <v/>
      </c>
      <c r="O320" s="65" t="str">
        <f>IFERROR(VLOOKUP(TableHandbook[[#This Row],[UDC]],TableMJRUCRWRI[],7,FALSE),"")</f>
        <v/>
      </c>
      <c r="P320" s="65" t="str">
        <f>IFERROR(VLOOKUP(TableHandbook[[#This Row],[UDC]],TableMJRUGEOGR[],7,FALSE),"")</f>
        <v/>
      </c>
      <c r="Q320" s="65" t="str">
        <f>IFERROR(VLOOKUP(TableHandbook[[#This Row],[UDC]],TableMJRUHISTR[],7,FALSE),"")</f>
        <v/>
      </c>
      <c r="R320" s="65" t="str">
        <f>IFERROR(VLOOKUP(TableHandbook[[#This Row],[UDC]],TableMJRUINAUC[],7,FALSE),"")</f>
        <v/>
      </c>
      <c r="S320" s="65" t="str">
        <f>IFERROR(VLOOKUP(TableHandbook[[#This Row],[UDC]],TableMJRUINTRL[],7,FALSE),"")</f>
        <v/>
      </c>
      <c r="T320" s="65" t="str">
        <f>IFERROR(VLOOKUP(TableHandbook[[#This Row],[UDC]],TableMJRUJAPAN[],7,FALSE),"")</f>
        <v/>
      </c>
      <c r="U320" s="65" t="str">
        <f>IFERROR(VLOOKUP(TableHandbook[[#This Row],[UDC]],TableMJRUJOURN[],7,FALSE),"")</f>
        <v/>
      </c>
      <c r="V320" s="65" t="str">
        <f>IFERROR(VLOOKUP(TableHandbook[[#This Row],[UDC]],TableMJRUKORES[],7,FALSE),"")</f>
        <v/>
      </c>
      <c r="W320" s="65" t="str">
        <f>IFERROR(VLOOKUP(TableHandbook[[#This Row],[UDC]],TableMJRULITCU[],7,FALSE),"")</f>
        <v/>
      </c>
      <c r="X320" s="65" t="str">
        <f>IFERROR(VLOOKUP(TableHandbook[[#This Row],[UDC]],TableMJRUNETCM[],7,FALSE),"")</f>
        <v/>
      </c>
      <c r="Y320" s="65" t="str">
        <f>IFERROR(VLOOKUP(TableHandbook[[#This Row],[UDC]],TableMJRUPRWRP[],7,FALSE),"")</f>
        <v/>
      </c>
      <c r="Z320" s="65" t="str">
        <f>IFERROR(VLOOKUP(TableHandbook[[#This Row],[UDC]],TableMJRUSCSTR[],7,FALSE),"")</f>
        <v/>
      </c>
      <c r="AA320" s="74"/>
      <c r="AB320" s="43" t="str">
        <f>IFERROR(VLOOKUP(TableHandbook[[#This Row],[UDC]],TableMJRUBSLAW[],7,FALSE),"")</f>
        <v/>
      </c>
      <c r="AC320" s="66" t="str">
        <f>IFERROR(VLOOKUP(TableHandbook[[#This Row],[UDC]],TableMJRUECONS[],7,FALSE),"")</f>
        <v/>
      </c>
      <c r="AD320" s="66" t="str">
        <f>IFERROR(VLOOKUP(TableHandbook[[#This Row],[UDC]],TableMJRUFINAR[],7,FALSE),"")</f>
        <v/>
      </c>
      <c r="AE320" s="66" t="str">
        <f>IFERROR(VLOOKUP(TableHandbook[[#This Row],[UDC]],TableMJRUFINCE[],7,FALSE),"")</f>
        <v/>
      </c>
      <c r="AF320" s="66" t="str">
        <f>IFERROR(VLOOKUP(TableHandbook[[#This Row],[UDC]],TableMJRUHRMGM[],7,FALSE),"")</f>
        <v/>
      </c>
      <c r="AG320" s="66" t="str">
        <f>IFERROR(VLOOKUP(TableHandbook[[#This Row],[UDC]],TableMJRUINTBU[],7,FALSE),"")</f>
        <v/>
      </c>
      <c r="AH320" s="66" t="str">
        <f>IFERROR(VLOOKUP(TableHandbook[[#This Row],[UDC]],TableMJRULGSCM[],7,FALSE),"")</f>
        <v/>
      </c>
      <c r="AI320" s="66" t="str">
        <f>IFERROR(VLOOKUP(TableHandbook[[#This Row],[UDC]],TableMJRUMNGMT[],7,FALSE),"")</f>
        <v/>
      </c>
      <c r="AJ320" s="66" t="str">
        <f>IFERROR(VLOOKUP(TableHandbook[[#This Row],[UDC]],TableMJRUMRKTG[],7,FALSE),"")</f>
        <v/>
      </c>
      <c r="AK320" s="66" t="str">
        <f>IFERROR(VLOOKUP(TableHandbook[[#This Row],[UDC]],TableMJRUPRPTY[],7,FALSE),"")</f>
        <v/>
      </c>
      <c r="AL320" s="66" t="str">
        <f>IFERROR(VLOOKUP(TableHandbook[[#This Row],[UDC]],TableMJRUSCRAR[],7,FALSE),"")</f>
        <v/>
      </c>
      <c r="AM320" s="66" t="str">
        <f>IFERROR(VLOOKUP(TableHandbook[[#This Row],[UDC]],TableMJRUTHTRA[],7,FALSE),"")</f>
        <v>Core</v>
      </c>
      <c r="AN320" s="66" t="str">
        <f>IFERROR(VLOOKUP(TableHandbook[[#This Row],[UDC]],TableMJRUTRHOS[],7,FALSE),"")</f>
        <v/>
      </c>
    </row>
    <row r="321" spans="1:40" x14ac:dyDescent="0.25">
      <c r="A321" s="8" t="s">
        <v>472</v>
      </c>
      <c r="B321" s="9">
        <v>2</v>
      </c>
      <c r="C321" s="8"/>
      <c r="D321" s="8" t="s">
        <v>881</v>
      </c>
      <c r="E321" s="9">
        <v>25</v>
      </c>
      <c r="F321" s="49" t="s">
        <v>882</v>
      </c>
      <c r="G321" s="82" t="str">
        <f>IFERROR(IF(VLOOKUP(TableHandbook[[#This Row],[UDC]],TableAvailabilities[],2,FALSE)&gt;0,"Y",""),"")</f>
        <v/>
      </c>
      <c r="H321" s="83" t="str">
        <f>IFERROR(IF(VLOOKUP(TableHandbook[[#This Row],[UDC]],TableAvailabilities[],3,FALSE)&gt;0,"Y",""),"")</f>
        <v/>
      </c>
      <c r="I321" s="84" t="str">
        <f>IFERROR(IF(VLOOKUP(TableHandbook[[#This Row],[UDC]],TableAvailabilities[],4,FALSE)&gt;0,"Y",""),"")</f>
        <v>Y</v>
      </c>
      <c r="J321" s="85" t="str">
        <f>IFERROR(IF(VLOOKUP(TableHandbook[[#This Row],[UDC]],TableAvailabilities[],5,FALSE)&gt;0,"Y",""),"")</f>
        <v/>
      </c>
      <c r="K321" s="168"/>
      <c r="L321" s="160" t="str">
        <f>IFERROR(VLOOKUP(TableHandbook[[#This Row],[UDC]],TableBARTS[],7,FALSE),"")</f>
        <v/>
      </c>
      <c r="M321" s="65" t="str">
        <f>IFERROR(VLOOKUP(TableHandbook[[#This Row],[UDC]],TableMJRUANTSO[],7,FALSE),"")</f>
        <v/>
      </c>
      <c r="N321" s="65" t="str">
        <f>IFERROR(VLOOKUP(TableHandbook[[#This Row],[UDC]],TableMJRUCHNSE[],7,FALSE),"")</f>
        <v/>
      </c>
      <c r="O321" s="65" t="str">
        <f>IFERROR(VLOOKUP(TableHandbook[[#This Row],[UDC]],TableMJRUCRWRI[],7,FALSE),"")</f>
        <v/>
      </c>
      <c r="P321" s="65" t="str">
        <f>IFERROR(VLOOKUP(TableHandbook[[#This Row],[UDC]],TableMJRUGEOGR[],7,FALSE),"")</f>
        <v/>
      </c>
      <c r="Q321" s="65" t="str">
        <f>IFERROR(VLOOKUP(TableHandbook[[#This Row],[UDC]],TableMJRUHISTR[],7,FALSE),"")</f>
        <v/>
      </c>
      <c r="R321" s="65" t="str">
        <f>IFERROR(VLOOKUP(TableHandbook[[#This Row],[UDC]],TableMJRUINAUC[],7,FALSE),"")</f>
        <v/>
      </c>
      <c r="S321" s="65" t="str">
        <f>IFERROR(VLOOKUP(TableHandbook[[#This Row],[UDC]],TableMJRUINTRL[],7,FALSE),"")</f>
        <v/>
      </c>
      <c r="T321" s="65" t="str">
        <f>IFERROR(VLOOKUP(TableHandbook[[#This Row],[UDC]],TableMJRUJAPAN[],7,FALSE),"")</f>
        <v/>
      </c>
      <c r="U321" s="65" t="str">
        <f>IFERROR(VLOOKUP(TableHandbook[[#This Row],[UDC]],TableMJRUJOURN[],7,FALSE),"")</f>
        <v/>
      </c>
      <c r="V321" s="65" t="str">
        <f>IFERROR(VLOOKUP(TableHandbook[[#This Row],[UDC]],TableMJRUKORES[],7,FALSE),"")</f>
        <v/>
      </c>
      <c r="W321" s="65" t="str">
        <f>IFERROR(VLOOKUP(TableHandbook[[#This Row],[UDC]],TableMJRULITCU[],7,FALSE),"")</f>
        <v/>
      </c>
      <c r="X321" s="65" t="str">
        <f>IFERROR(VLOOKUP(TableHandbook[[#This Row],[UDC]],TableMJRUNETCM[],7,FALSE),"")</f>
        <v/>
      </c>
      <c r="Y321" s="65" t="str">
        <f>IFERROR(VLOOKUP(TableHandbook[[#This Row],[UDC]],TableMJRUPRWRP[],7,FALSE),"")</f>
        <v/>
      </c>
      <c r="Z321" s="65" t="str">
        <f>IFERROR(VLOOKUP(TableHandbook[[#This Row],[UDC]],TableMJRUSCSTR[],7,FALSE),"")</f>
        <v/>
      </c>
      <c r="AA321" s="74"/>
      <c r="AB321" s="43" t="str">
        <f>IFERROR(VLOOKUP(TableHandbook[[#This Row],[UDC]],TableMJRUBSLAW[],7,FALSE),"")</f>
        <v/>
      </c>
      <c r="AC321" s="66" t="str">
        <f>IFERROR(VLOOKUP(TableHandbook[[#This Row],[UDC]],TableMJRUECONS[],7,FALSE),"")</f>
        <v/>
      </c>
      <c r="AD321" s="66" t="str">
        <f>IFERROR(VLOOKUP(TableHandbook[[#This Row],[UDC]],TableMJRUFINAR[],7,FALSE),"")</f>
        <v/>
      </c>
      <c r="AE321" s="66" t="str">
        <f>IFERROR(VLOOKUP(TableHandbook[[#This Row],[UDC]],TableMJRUFINCE[],7,FALSE),"")</f>
        <v/>
      </c>
      <c r="AF321" s="66" t="str">
        <f>IFERROR(VLOOKUP(TableHandbook[[#This Row],[UDC]],TableMJRUHRMGM[],7,FALSE),"")</f>
        <v/>
      </c>
      <c r="AG321" s="66" t="str">
        <f>IFERROR(VLOOKUP(TableHandbook[[#This Row],[UDC]],TableMJRUINTBU[],7,FALSE),"")</f>
        <v/>
      </c>
      <c r="AH321" s="66" t="str">
        <f>IFERROR(VLOOKUP(TableHandbook[[#This Row],[UDC]],TableMJRULGSCM[],7,FALSE),"")</f>
        <v/>
      </c>
      <c r="AI321" s="66" t="str">
        <f>IFERROR(VLOOKUP(TableHandbook[[#This Row],[UDC]],TableMJRUMNGMT[],7,FALSE),"")</f>
        <v/>
      </c>
      <c r="AJ321" s="66" t="str">
        <f>IFERROR(VLOOKUP(TableHandbook[[#This Row],[UDC]],TableMJRUMRKTG[],7,FALSE),"")</f>
        <v/>
      </c>
      <c r="AK321" s="66" t="str">
        <f>IFERROR(VLOOKUP(TableHandbook[[#This Row],[UDC]],TableMJRUPRPTY[],7,FALSE),"")</f>
        <v/>
      </c>
      <c r="AL321" s="66" t="str">
        <f>IFERROR(VLOOKUP(TableHandbook[[#This Row],[UDC]],TableMJRUSCRAR[],7,FALSE),"")</f>
        <v/>
      </c>
      <c r="AM321" s="66" t="str">
        <f>IFERROR(VLOOKUP(TableHandbook[[#This Row],[UDC]],TableMJRUTHTRA[],7,FALSE),"")</f>
        <v>Core</v>
      </c>
      <c r="AN321" s="66" t="str">
        <f>IFERROR(VLOOKUP(TableHandbook[[#This Row],[UDC]],TableMJRUTRHOS[],7,FALSE),"")</f>
        <v/>
      </c>
    </row>
    <row r="322" spans="1:40" x14ac:dyDescent="0.25">
      <c r="A322" s="8" t="s">
        <v>389</v>
      </c>
      <c r="B322" s="9">
        <v>1</v>
      </c>
      <c r="C322" s="8"/>
      <c r="D322" s="8" t="s">
        <v>883</v>
      </c>
      <c r="E322" s="9">
        <v>25</v>
      </c>
      <c r="F322" s="174" t="s">
        <v>526</v>
      </c>
      <c r="G322" s="67" t="str">
        <f>IFERROR(IF(VLOOKUP(TableHandbook[[#This Row],[UDC]],TableAvailabilities[],2,FALSE)&gt;0,"Y",""),"")</f>
        <v>Y</v>
      </c>
      <c r="H322" s="68" t="str">
        <f>IFERROR(IF(VLOOKUP(TableHandbook[[#This Row],[UDC]],TableAvailabilities[],3,FALSE)&gt;0,"Y",""),"")</f>
        <v/>
      </c>
      <c r="I322" s="69" t="str">
        <f>IFERROR(IF(VLOOKUP(TableHandbook[[#This Row],[UDC]],TableAvailabilities[],4,FALSE)&gt;0,"Y",""),"")</f>
        <v>Y</v>
      </c>
      <c r="J322" s="70" t="str">
        <f>IFERROR(IF(VLOOKUP(TableHandbook[[#This Row],[UDC]],TableAvailabilities[],5,FALSE)&gt;0,"Y",""),"")</f>
        <v>Y</v>
      </c>
      <c r="K322" s="164"/>
      <c r="L322" s="160" t="str">
        <f>IFERROR(VLOOKUP(TableHandbook[[#This Row],[UDC]],TableBARTS[],7,FALSE),"")</f>
        <v/>
      </c>
      <c r="M322" s="65" t="str">
        <f>IFERROR(VLOOKUP(TableHandbook[[#This Row],[UDC]],TableMJRUANTSO[],7,FALSE),"")</f>
        <v/>
      </c>
      <c r="N322" s="65" t="str">
        <f>IFERROR(VLOOKUP(TableHandbook[[#This Row],[UDC]],TableMJRUCHNSE[],7,FALSE),"")</f>
        <v/>
      </c>
      <c r="O322" s="65" t="str">
        <f>IFERROR(VLOOKUP(TableHandbook[[#This Row],[UDC]],TableMJRUCRWRI[],7,FALSE),"")</f>
        <v/>
      </c>
      <c r="P322" s="65" t="str">
        <f>IFERROR(VLOOKUP(TableHandbook[[#This Row],[UDC]],TableMJRUGEOGR[],7,FALSE),"")</f>
        <v/>
      </c>
      <c r="Q322" s="65" t="str">
        <f>IFERROR(VLOOKUP(TableHandbook[[#This Row],[UDC]],TableMJRUHISTR[],7,FALSE),"")</f>
        <v/>
      </c>
      <c r="R322" s="65" t="str">
        <f>IFERROR(VLOOKUP(TableHandbook[[#This Row],[UDC]],TableMJRUINAUC[],7,FALSE),"")</f>
        <v/>
      </c>
      <c r="S322" s="65" t="str">
        <f>IFERROR(VLOOKUP(TableHandbook[[#This Row],[UDC]],TableMJRUINTRL[],7,FALSE),"")</f>
        <v/>
      </c>
      <c r="T322" s="65" t="str">
        <f>IFERROR(VLOOKUP(TableHandbook[[#This Row],[UDC]],TableMJRUJAPAN[],7,FALSE),"")</f>
        <v/>
      </c>
      <c r="U322" s="65" t="str">
        <f>IFERROR(VLOOKUP(TableHandbook[[#This Row],[UDC]],TableMJRUJOURN[],7,FALSE),"")</f>
        <v/>
      </c>
      <c r="V322" s="65" t="str">
        <f>IFERROR(VLOOKUP(TableHandbook[[#This Row],[UDC]],TableMJRUKORES[],7,FALSE),"")</f>
        <v/>
      </c>
      <c r="W322" s="65" t="str">
        <f>IFERROR(VLOOKUP(TableHandbook[[#This Row],[UDC]],TableMJRULITCU[],7,FALSE),"")</f>
        <v/>
      </c>
      <c r="X322" s="65" t="str">
        <f>IFERROR(VLOOKUP(TableHandbook[[#This Row],[UDC]],TableMJRUNETCM[],7,FALSE),"")</f>
        <v/>
      </c>
      <c r="Y322" s="65" t="str">
        <f>IFERROR(VLOOKUP(TableHandbook[[#This Row],[UDC]],TableMJRUPRWRP[],7,FALSE),"")</f>
        <v/>
      </c>
      <c r="Z322" s="65" t="str">
        <f>IFERROR(VLOOKUP(TableHandbook[[#This Row],[UDC]],TableMJRUSCSTR[],7,FALSE),"")</f>
        <v/>
      </c>
      <c r="AA322" s="74"/>
      <c r="AB322" s="43" t="str">
        <f>IFERROR(VLOOKUP(TableHandbook[[#This Row],[UDC]],TableMJRUBSLAW[],7,FALSE),"")</f>
        <v/>
      </c>
      <c r="AC322" s="66" t="str">
        <f>IFERROR(VLOOKUP(TableHandbook[[#This Row],[UDC]],TableMJRUECONS[],7,FALSE),"")</f>
        <v/>
      </c>
      <c r="AD322" s="66" t="str">
        <f>IFERROR(VLOOKUP(TableHandbook[[#This Row],[UDC]],TableMJRUFINAR[],7,FALSE),"")</f>
        <v/>
      </c>
      <c r="AE322" s="66" t="str">
        <f>IFERROR(VLOOKUP(TableHandbook[[#This Row],[UDC]],TableMJRUFINCE[],7,FALSE),"")</f>
        <v/>
      </c>
      <c r="AF322" s="66" t="str">
        <f>IFERROR(VLOOKUP(TableHandbook[[#This Row],[UDC]],TableMJRUHRMGM[],7,FALSE),"")</f>
        <v/>
      </c>
      <c r="AG322" s="66" t="str">
        <f>IFERROR(VLOOKUP(TableHandbook[[#This Row],[UDC]],TableMJRUINTBU[],7,FALSE),"")</f>
        <v/>
      </c>
      <c r="AH322" s="66" t="str">
        <f>IFERROR(VLOOKUP(TableHandbook[[#This Row],[UDC]],TableMJRULGSCM[],7,FALSE),"")</f>
        <v/>
      </c>
      <c r="AI322" s="66" t="str">
        <f>IFERROR(VLOOKUP(TableHandbook[[#This Row],[UDC]],TableMJRUMNGMT[],7,FALSE),"")</f>
        <v/>
      </c>
      <c r="AJ322" s="66" t="str">
        <f>IFERROR(VLOOKUP(TableHandbook[[#This Row],[UDC]],TableMJRUMRKTG[],7,FALSE),"")</f>
        <v/>
      </c>
      <c r="AK322" s="66" t="str">
        <f>IFERROR(VLOOKUP(TableHandbook[[#This Row],[UDC]],TableMJRUPRPTY[],7,FALSE),"")</f>
        <v/>
      </c>
      <c r="AL322" s="66" t="str">
        <f>IFERROR(VLOOKUP(TableHandbook[[#This Row],[UDC]],TableMJRUSCRAR[],7,FALSE),"")</f>
        <v/>
      </c>
      <c r="AM322" s="66" t="str">
        <f>IFERROR(VLOOKUP(TableHandbook[[#This Row],[UDC]],TableMJRUTHTRA[],7,FALSE),"")</f>
        <v/>
      </c>
      <c r="AN322" s="66" t="str">
        <f>IFERROR(VLOOKUP(TableHandbook[[#This Row],[UDC]],TableMJRUTRHOS[],7,FALSE),"")</f>
        <v>Core</v>
      </c>
    </row>
    <row r="323" spans="1:40" x14ac:dyDescent="0.25">
      <c r="A323" s="8" t="s">
        <v>412</v>
      </c>
      <c r="B323" s="9">
        <v>1</v>
      </c>
      <c r="C323" s="8"/>
      <c r="D323" s="8" t="s">
        <v>884</v>
      </c>
      <c r="E323" s="9">
        <v>25</v>
      </c>
      <c r="F323" s="174" t="s">
        <v>526</v>
      </c>
      <c r="G323" s="67" t="str">
        <f>IFERROR(IF(VLOOKUP(TableHandbook[[#This Row],[UDC]],TableAvailabilities[],2,FALSE)&gt;0,"Y",""),"")</f>
        <v/>
      </c>
      <c r="H323" s="68" t="str">
        <f>IFERROR(IF(VLOOKUP(TableHandbook[[#This Row],[UDC]],TableAvailabilities[],3,FALSE)&gt;0,"Y",""),"")</f>
        <v/>
      </c>
      <c r="I323" s="69" t="str">
        <f>IFERROR(IF(VLOOKUP(TableHandbook[[#This Row],[UDC]],TableAvailabilities[],4,FALSE)&gt;0,"Y",""),"")</f>
        <v>Y</v>
      </c>
      <c r="J323" s="70" t="str">
        <f>IFERROR(IF(VLOOKUP(TableHandbook[[#This Row],[UDC]],TableAvailabilities[],5,FALSE)&gt;0,"Y",""),"")</f>
        <v/>
      </c>
      <c r="K323" s="164"/>
      <c r="L323" s="160" t="str">
        <f>IFERROR(VLOOKUP(TableHandbook[[#This Row],[UDC]],TableBARTS[],7,FALSE),"")</f>
        <v/>
      </c>
      <c r="M323" s="65" t="str">
        <f>IFERROR(VLOOKUP(TableHandbook[[#This Row],[UDC]],TableMJRUANTSO[],7,FALSE),"")</f>
        <v/>
      </c>
      <c r="N323" s="65" t="str">
        <f>IFERROR(VLOOKUP(TableHandbook[[#This Row],[UDC]],TableMJRUCHNSE[],7,FALSE),"")</f>
        <v/>
      </c>
      <c r="O323" s="65" t="str">
        <f>IFERROR(VLOOKUP(TableHandbook[[#This Row],[UDC]],TableMJRUCRWRI[],7,FALSE),"")</f>
        <v/>
      </c>
      <c r="P323" s="65" t="str">
        <f>IFERROR(VLOOKUP(TableHandbook[[#This Row],[UDC]],TableMJRUGEOGR[],7,FALSE),"")</f>
        <v/>
      </c>
      <c r="Q323" s="65" t="str">
        <f>IFERROR(VLOOKUP(TableHandbook[[#This Row],[UDC]],TableMJRUHISTR[],7,FALSE),"")</f>
        <v/>
      </c>
      <c r="R323" s="65" t="str">
        <f>IFERROR(VLOOKUP(TableHandbook[[#This Row],[UDC]],TableMJRUINAUC[],7,FALSE),"")</f>
        <v/>
      </c>
      <c r="S323" s="65" t="str">
        <f>IFERROR(VLOOKUP(TableHandbook[[#This Row],[UDC]],TableMJRUINTRL[],7,FALSE),"")</f>
        <v/>
      </c>
      <c r="T323" s="65" t="str">
        <f>IFERROR(VLOOKUP(TableHandbook[[#This Row],[UDC]],TableMJRUJAPAN[],7,FALSE),"")</f>
        <v/>
      </c>
      <c r="U323" s="65" t="str">
        <f>IFERROR(VLOOKUP(TableHandbook[[#This Row],[UDC]],TableMJRUJOURN[],7,FALSE),"")</f>
        <v/>
      </c>
      <c r="V323" s="65" t="str">
        <f>IFERROR(VLOOKUP(TableHandbook[[#This Row],[UDC]],TableMJRUKORES[],7,FALSE),"")</f>
        <v/>
      </c>
      <c r="W323" s="65" t="str">
        <f>IFERROR(VLOOKUP(TableHandbook[[#This Row],[UDC]],TableMJRULITCU[],7,FALSE),"")</f>
        <v/>
      </c>
      <c r="X323" s="65" t="str">
        <f>IFERROR(VLOOKUP(TableHandbook[[#This Row],[UDC]],TableMJRUNETCM[],7,FALSE),"")</f>
        <v/>
      </c>
      <c r="Y323" s="65" t="str">
        <f>IFERROR(VLOOKUP(TableHandbook[[#This Row],[UDC]],TableMJRUPRWRP[],7,FALSE),"")</f>
        <v/>
      </c>
      <c r="Z323" s="65" t="str">
        <f>IFERROR(VLOOKUP(TableHandbook[[#This Row],[UDC]],TableMJRUSCSTR[],7,FALSE),"")</f>
        <v/>
      </c>
      <c r="AA323" s="74"/>
      <c r="AB323" s="43" t="str">
        <f>IFERROR(VLOOKUP(TableHandbook[[#This Row],[UDC]],TableMJRUBSLAW[],7,FALSE),"")</f>
        <v/>
      </c>
      <c r="AC323" s="66" t="str">
        <f>IFERROR(VLOOKUP(TableHandbook[[#This Row],[UDC]],TableMJRUECONS[],7,FALSE),"")</f>
        <v/>
      </c>
      <c r="AD323" s="66" t="str">
        <f>IFERROR(VLOOKUP(TableHandbook[[#This Row],[UDC]],TableMJRUFINAR[],7,FALSE),"")</f>
        <v/>
      </c>
      <c r="AE323" s="66" t="str">
        <f>IFERROR(VLOOKUP(TableHandbook[[#This Row],[UDC]],TableMJRUFINCE[],7,FALSE),"")</f>
        <v/>
      </c>
      <c r="AF323" s="66" t="str">
        <f>IFERROR(VLOOKUP(TableHandbook[[#This Row],[UDC]],TableMJRUHRMGM[],7,FALSE),"")</f>
        <v/>
      </c>
      <c r="AG323" s="66" t="str">
        <f>IFERROR(VLOOKUP(TableHandbook[[#This Row],[UDC]],TableMJRUINTBU[],7,FALSE),"")</f>
        <v/>
      </c>
      <c r="AH323" s="66" t="str">
        <f>IFERROR(VLOOKUP(TableHandbook[[#This Row],[UDC]],TableMJRULGSCM[],7,FALSE),"")</f>
        <v/>
      </c>
      <c r="AI323" s="66" t="str">
        <f>IFERROR(VLOOKUP(TableHandbook[[#This Row],[UDC]],TableMJRUMNGMT[],7,FALSE),"")</f>
        <v/>
      </c>
      <c r="AJ323" s="66" t="str">
        <f>IFERROR(VLOOKUP(TableHandbook[[#This Row],[UDC]],TableMJRUMRKTG[],7,FALSE),"")</f>
        <v/>
      </c>
      <c r="AK323" s="66" t="str">
        <f>IFERROR(VLOOKUP(TableHandbook[[#This Row],[UDC]],TableMJRUPRPTY[],7,FALSE),"")</f>
        <v/>
      </c>
      <c r="AL323" s="66" t="str">
        <f>IFERROR(VLOOKUP(TableHandbook[[#This Row],[UDC]],TableMJRUSCRAR[],7,FALSE),"")</f>
        <v/>
      </c>
      <c r="AM323" s="66" t="str">
        <f>IFERROR(VLOOKUP(TableHandbook[[#This Row],[UDC]],TableMJRUTHTRA[],7,FALSE),"")</f>
        <v/>
      </c>
      <c r="AN323" s="66" t="str">
        <f>IFERROR(VLOOKUP(TableHandbook[[#This Row],[UDC]],TableMJRUTRHOS[],7,FALSE),"")</f>
        <v>Core</v>
      </c>
    </row>
    <row r="324" spans="1:40" x14ac:dyDescent="0.25">
      <c r="A324" s="8" t="s">
        <v>411</v>
      </c>
      <c r="B324" s="9">
        <v>1</v>
      </c>
      <c r="C324" s="8"/>
      <c r="D324" s="8" t="s">
        <v>885</v>
      </c>
      <c r="E324" s="9">
        <v>25</v>
      </c>
      <c r="F324" s="174" t="s">
        <v>526</v>
      </c>
      <c r="G324" s="67" t="str">
        <f>IFERROR(IF(VLOOKUP(TableHandbook[[#This Row],[UDC]],TableAvailabilities[],2,FALSE)&gt;0,"Y",""),"")</f>
        <v>Y</v>
      </c>
      <c r="H324" s="68" t="str">
        <f>IFERROR(IF(VLOOKUP(TableHandbook[[#This Row],[UDC]],TableAvailabilities[],3,FALSE)&gt;0,"Y",""),"")</f>
        <v/>
      </c>
      <c r="I324" s="69" t="str">
        <f>IFERROR(IF(VLOOKUP(TableHandbook[[#This Row],[UDC]],TableAvailabilities[],4,FALSE)&gt;0,"Y",""),"")</f>
        <v>Y</v>
      </c>
      <c r="J324" s="70" t="str">
        <f>IFERROR(IF(VLOOKUP(TableHandbook[[#This Row],[UDC]],TableAvailabilities[],5,FALSE)&gt;0,"Y",""),"")</f>
        <v/>
      </c>
      <c r="K324" s="164"/>
      <c r="L324" s="160" t="str">
        <f>IFERROR(VLOOKUP(TableHandbook[[#This Row],[UDC]],TableBARTS[],7,FALSE),"")</f>
        <v/>
      </c>
      <c r="M324" s="65" t="str">
        <f>IFERROR(VLOOKUP(TableHandbook[[#This Row],[UDC]],TableMJRUANTSO[],7,FALSE),"")</f>
        <v/>
      </c>
      <c r="N324" s="65" t="str">
        <f>IFERROR(VLOOKUP(TableHandbook[[#This Row],[UDC]],TableMJRUCHNSE[],7,FALSE),"")</f>
        <v/>
      </c>
      <c r="O324" s="65" t="str">
        <f>IFERROR(VLOOKUP(TableHandbook[[#This Row],[UDC]],TableMJRUCRWRI[],7,FALSE),"")</f>
        <v/>
      </c>
      <c r="P324" s="65" t="str">
        <f>IFERROR(VLOOKUP(TableHandbook[[#This Row],[UDC]],TableMJRUGEOGR[],7,FALSE),"")</f>
        <v/>
      </c>
      <c r="Q324" s="65" t="str">
        <f>IFERROR(VLOOKUP(TableHandbook[[#This Row],[UDC]],TableMJRUHISTR[],7,FALSE),"")</f>
        <v/>
      </c>
      <c r="R324" s="65" t="str">
        <f>IFERROR(VLOOKUP(TableHandbook[[#This Row],[UDC]],TableMJRUINAUC[],7,FALSE),"")</f>
        <v/>
      </c>
      <c r="S324" s="65" t="str">
        <f>IFERROR(VLOOKUP(TableHandbook[[#This Row],[UDC]],TableMJRUINTRL[],7,FALSE),"")</f>
        <v/>
      </c>
      <c r="T324" s="65" t="str">
        <f>IFERROR(VLOOKUP(TableHandbook[[#This Row],[UDC]],TableMJRUJAPAN[],7,FALSE),"")</f>
        <v/>
      </c>
      <c r="U324" s="65" t="str">
        <f>IFERROR(VLOOKUP(TableHandbook[[#This Row],[UDC]],TableMJRUJOURN[],7,FALSE),"")</f>
        <v/>
      </c>
      <c r="V324" s="65" t="str">
        <f>IFERROR(VLOOKUP(TableHandbook[[#This Row],[UDC]],TableMJRUKORES[],7,FALSE),"")</f>
        <v/>
      </c>
      <c r="W324" s="65" t="str">
        <f>IFERROR(VLOOKUP(TableHandbook[[#This Row],[UDC]],TableMJRULITCU[],7,FALSE),"")</f>
        <v/>
      </c>
      <c r="X324" s="65" t="str">
        <f>IFERROR(VLOOKUP(TableHandbook[[#This Row],[UDC]],TableMJRUNETCM[],7,FALSE),"")</f>
        <v/>
      </c>
      <c r="Y324" s="65" t="str">
        <f>IFERROR(VLOOKUP(TableHandbook[[#This Row],[UDC]],TableMJRUPRWRP[],7,FALSE),"")</f>
        <v/>
      </c>
      <c r="Z324" s="65" t="str">
        <f>IFERROR(VLOOKUP(TableHandbook[[#This Row],[UDC]],TableMJRUSCSTR[],7,FALSE),"")</f>
        <v/>
      </c>
      <c r="AA324" s="74"/>
      <c r="AB324" s="43" t="str">
        <f>IFERROR(VLOOKUP(TableHandbook[[#This Row],[UDC]],TableMJRUBSLAW[],7,FALSE),"")</f>
        <v/>
      </c>
      <c r="AC324" s="66" t="str">
        <f>IFERROR(VLOOKUP(TableHandbook[[#This Row],[UDC]],TableMJRUECONS[],7,FALSE),"")</f>
        <v/>
      </c>
      <c r="AD324" s="66" t="str">
        <f>IFERROR(VLOOKUP(TableHandbook[[#This Row],[UDC]],TableMJRUFINAR[],7,FALSE),"")</f>
        <v/>
      </c>
      <c r="AE324" s="66" t="str">
        <f>IFERROR(VLOOKUP(TableHandbook[[#This Row],[UDC]],TableMJRUFINCE[],7,FALSE),"")</f>
        <v/>
      </c>
      <c r="AF324" s="66" t="str">
        <f>IFERROR(VLOOKUP(TableHandbook[[#This Row],[UDC]],TableMJRUHRMGM[],7,FALSE),"")</f>
        <v/>
      </c>
      <c r="AG324" s="66" t="str">
        <f>IFERROR(VLOOKUP(TableHandbook[[#This Row],[UDC]],TableMJRUINTBU[],7,FALSE),"")</f>
        <v/>
      </c>
      <c r="AH324" s="66" t="str">
        <f>IFERROR(VLOOKUP(TableHandbook[[#This Row],[UDC]],TableMJRULGSCM[],7,FALSE),"")</f>
        <v/>
      </c>
      <c r="AI324" s="66" t="str">
        <f>IFERROR(VLOOKUP(TableHandbook[[#This Row],[UDC]],TableMJRUMNGMT[],7,FALSE),"")</f>
        <v/>
      </c>
      <c r="AJ324" s="66" t="str">
        <f>IFERROR(VLOOKUP(TableHandbook[[#This Row],[UDC]],TableMJRUMRKTG[],7,FALSE),"")</f>
        <v/>
      </c>
      <c r="AK324" s="66" t="str">
        <f>IFERROR(VLOOKUP(TableHandbook[[#This Row],[UDC]],TableMJRUPRPTY[],7,FALSE),"")</f>
        <v/>
      </c>
      <c r="AL324" s="66" t="str">
        <f>IFERROR(VLOOKUP(TableHandbook[[#This Row],[UDC]],TableMJRUSCRAR[],7,FALSE),"")</f>
        <v/>
      </c>
      <c r="AM324" s="66" t="str">
        <f>IFERROR(VLOOKUP(TableHandbook[[#This Row],[UDC]],TableMJRUTHTRA[],7,FALSE),"")</f>
        <v/>
      </c>
      <c r="AN324" s="66" t="str">
        <f>IFERROR(VLOOKUP(TableHandbook[[#This Row],[UDC]],TableMJRUTRHOS[],7,FALSE),"")</f>
        <v>Core</v>
      </c>
    </row>
    <row r="325" spans="1:40" x14ac:dyDescent="0.25">
      <c r="A325" s="8" t="s">
        <v>483</v>
      </c>
      <c r="B325" s="9">
        <v>1</v>
      </c>
      <c r="C325" s="8"/>
      <c r="D325" s="8" t="s">
        <v>886</v>
      </c>
      <c r="E325" s="9">
        <v>25</v>
      </c>
      <c r="F325" s="202" t="s">
        <v>594</v>
      </c>
      <c r="G325" s="67" t="str">
        <f>IFERROR(IF(VLOOKUP(TableHandbook[[#This Row],[UDC]],TableAvailabilities[],2,FALSE)&gt;0,"Y",""),"")</f>
        <v/>
      </c>
      <c r="H325" s="68" t="str">
        <f>IFERROR(IF(VLOOKUP(TableHandbook[[#This Row],[UDC]],TableAvailabilities[],3,FALSE)&gt;0,"Y",""),"")</f>
        <v/>
      </c>
      <c r="I325" s="69" t="str">
        <f>IFERROR(IF(VLOOKUP(TableHandbook[[#This Row],[UDC]],TableAvailabilities[],4,FALSE)&gt;0,"Y",""),"")</f>
        <v>Y</v>
      </c>
      <c r="J325" s="70" t="str">
        <f>IFERROR(IF(VLOOKUP(TableHandbook[[#This Row],[UDC]],TableAvailabilities[],5,FALSE)&gt;0,"Y",""),"")</f>
        <v>Y</v>
      </c>
      <c r="K325" s="171" t="s">
        <v>887</v>
      </c>
      <c r="L325" s="160" t="str">
        <f>IFERROR(VLOOKUP(TableHandbook[[#This Row],[UDC]],TableBARTS[],7,FALSE),"")</f>
        <v/>
      </c>
      <c r="M325" s="65" t="str">
        <f>IFERROR(VLOOKUP(TableHandbook[[#This Row],[UDC]],TableMJRUANTSO[],7,FALSE),"")</f>
        <v/>
      </c>
      <c r="N325" s="65" t="str">
        <f>IFERROR(VLOOKUP(TableHandbook[[#This Row],[UDC]],TableMJRUCHNSE[],7,FALSE),"")</f>
        <v/>
      </c>
      <c r="O325" s="65" t="str">
        <f>IFERROR(VLOOKUP(TableHandbook[[#This Row],[UDC]],TableMJRUCRWRI[],7,FALSE),"")</f>
        <v/>
      </c>
      <c r="P325" s="65" t="str">
        <f>IFERROR(VLOOKUP(TableHandbook[[#This Row],[UDC]],TableMJRUGEOGR[],7,FALSE),"")</f>
        <v/>
      </c>
      <c r="Q325" s="65" t="str">
        <f>IFERROR(VLOOKUP(TableHandbook[[#This Row],[UDC]],TableMJRUHISTR[],7,FALSE),"")</f>
        <v/>
      </c>
      <c r="R325" s="65" t="str">
        <f>IFERROR(VLOOKUP(TableHandbook[[#This Row],[UDC]],TableMJRUINAUC[],7,FALSE),"")</f>
        <v/>
      </c>
      <c r="S325" s="65" t="str">
        <f>IFERROR(VLOOKUP(TableHandbook[[#This Row],[UDC]],TableMJRUINTRL[],7,FALSE),"")</f>
        <v/>
      </c>
      <c r="T325" s="65" t="str">
        <f>IFERROR(VLOOKUP(TableHandbook[[#This Row],[UDC]],TableMJRUJAPAN[],7,FALSE),"")</f>
        <v/>
      </c>
      <c r="U325" s="65" t="str">
        <f>IFERROR(VLOOKUP(TableHandbook[[#This Row],[UDC]],TableMJRUJOURN[],7,FALSE),"")</f>
        <v/>
      </c>
      <c r="V325" s="65" t="str">
        <f>IFERROR(VLOOKUP(TableHandbook[[#This Row],[UDC]],TableMJRUKORES[],7,FALSE),"")</f>
        <v/>
      </c>
      <c r="W325" s="65" t="str">
        <f>IFERROR(VLOOKUP(TableHandbook[[#This Row],[UDC]],TableMJRULITCU[],7,FALSE),"")</f>
        <v/>
      </c>
      <c r="X325" s="65" t="str">
        <f>IFERROR(VLOOKUP(TableHandbook[[#This Row],[UDC]],TableMJRUNETCM[],7,FALSE),"")</f>
        <v/>
      </c>
      <c r="Y325" s="65" t="str">
        <f>IFERROR(VLOOKUP(TableHandbook[[#This Row],[UDC]],TableMJRUPRWRP[],7,FALSE),"")</f>
        <v/>
      </c>
      <c r="Z325" s="65" t="str">
        <f>IFERROR(VLOOKUP(TableHandbook[[#This Row],[UDC]],TableMJRUSCSTR[],7,FALSE),"")</f>
        <v/>
      </c>
      <c r="AA325" s="74"/>
      <c r="AB325" s="43" t="str">
        <f>IFERROR(VLOOKUP(TableHandbook[[#This Row],[UDC]],TableMJRUBSLAW[],7,FALSE),"")</f>
        <v/>
      </c>
      <c r="AC325" s="66" t="str">
        <f>IFERROR(VLOOKUP(TableHandbook[[#This Row],[UDC]],TableMJRUECONS[],7,FALSE),"")</f>
        <v/>
      </c>
      <c r="AD325" s="66" t="str">
        <f>IFERROR(VLOOKUP(TableHandbook[[#This Row],[UDC]],TableMJRUFINAR[],7,FALSE),"")</f>
        <v/>
      </c>
      <c r="AE325" s="66" t="str">
        <f>IFERROR(VLOOKUP(TableHandbook[[#This Row],[UDC]],TableMJRUFINCE[],7,FALSE),"")</f>
        <v/>
      </c>
      <c r="AF325" s="66" t="str">
        <f>IFERROR(VLOOKUP(TableHandbook[[#This Row],[UDC]],TableMJRUHRMGM[],7,FALSE),"")</f>
        <v/>
      </c>
      <c r="AG325" s="66" t="str">
        <f>IFERROR(VLOOKUP(TableHandbook[[#This Row],[UDC]],TableMJRUINTBU[],7,FALSE),"")</f>
        <v/>
      </c>
      <c r="AH325" s="66" t="str">
        <f>IFERROR(VLOOKUP(TableHandbook[[#This Row],[UDC]],TableMJRULGSCM[],7,FALSE),"")</f>
        <v/>
      </c>
      <c r="AI325" s="66" t="str">
        <f>IFERROR(VLOOKUP(TableHandbook[[#This Row],[UDC]],TableMJRUMNGMT[],7,FALSE),"")</f>
        <v/>
      </c>
      <c r="AJ325" s="66" t="str">
        <f>IFERROR(VLOOKUP(TableHandbook[[#This Row],[UDC]],TableMJRUMRKTG[],7,FALSE),"")</f>
        <v/>
      </c>
      <c r="AK325" s="66" t="str">
        <f>IFERROR(VLOOKUP(TableHandbook[[#This Row],[UDC]],TableMJRUPRPTY[],7,FALSE),"")</f>
        <v/>
      </c>
      <c r="AL325" s="66" t="str">
        <f>IFERROR(VLOOKUP(TableHandbook[[#This Row],[UDC]],TableMJRUSCRAR[],7,FALSE),"")</f>
        <v/>
      </c>
      <c r="AM325" s="66" t="str">
        <f>IFERROR(VLOOKUP(TableHandbook[[#This Row],[UDC]],TableMJRUTHTRA[],7,FALSE),"")</f>
        <v/>
      </c>
      <c r="AN325" s="66" t="str">
        <f>IFERROR(VLOOKUP(TableHandbook[[#This Row],[UDC]],TableMJRUTRHOS[],7,FALSE),"")</f>
        <v>AltCore</v>
      </c>
    </row>
    <row r="326" spans="1:40" x14ac:dyDescent="0.25">
      <c r="A326" s="8" t="s">
        <v>434</v>
      </c>
      <c r="B326" s="9">
        <v>1</v>
      </c>
      <c r="C326" s="8"/>
      <c r="D326" s="8" t="s">
        <v>888</v>
      </c>
      <c r="E326" s="9">
        <v>25</v>
      </c>
      <c r="F326" s="202" t="s">
        <v>594</v>
      </c>
      <c r="G326" s="67" t="str">
        <f>IFERROR(IF(VLOOKUP(TableHandbook[[#This Row],[UDC]],TableAvailabilities[],2,FALSE)&gt;0,"Y",""),"")</f>
        <v>Y</v>
      </c>
      <c r="H326" s="68" t="str">
        <f>IFERROR(IF(VLOOKUP(TableHandbook[[#This Row],[UDC]],TableAvailabilities[],3,FALSE)&gt;0,"Y",""),"")</f>
        <v/>
      </c>
      <c r="I326" s="69" t="str">
        <f>IFERROR(IF(VLOOKUP(TableHandbook[[#This Row],[UDC]],TableAvailabilities[],4,FALSE)&gt;0,"Y",""),"")</f>
        <v/>
      </c>
      <c r="J326" s="70" t="str">
        <f>IFERROR(IF(VLOOKUP(TableHandbook[[#This Row],[UDC]],TableAvailabilities[],5,FALSE)&gt;0,"Y",""),"")</f>
        <v/>
      </c>
      <c r="K326" s="171" t="s">
        <v>887</v>
      </c>
      <c r="L326" s="160" t="str">
        <f>IFERROR(VLOOKUP(TableHandbook[[#This Row],[UDC]],TableBARTS[],7,FALSE),"")</f>
        <v/>
      </c>
      <c r="M326" s="65" t="str">
        <f>IFERROR(VLOOKUP(TableHandbook[[#This Row],[UDC]],TableMJRUANTSO[],7,FALSE),"")</f>
        <v/>
      </c>
      <c r="N326" s="65" t="str">
        <f>IFERROR(VLOOKUP(TableHandbook[[#This Row],[UDC]],TableMJRUCHNSE[],7,FALSE),"")</f>
        <v/>
      </c>
      <c r="O326" s="65" t="str">
        <f>IFERROR(VLOOKUP(TableHandbook[[#This Row],[UDC]],TableMJRUCRWRI[],7,FALSE),"")</f>
        <v/>
      </c>
      <c r="P326" s="65" t="str">
        <f>IFERROR(VLOOKUP(TableHandbook[[#This Row],[UDC]],TableMJRUGEOGR[],7,FALSE),"")</f>
        <v/>
      </c>
      <c r="Q326" s="65" t="str">
        <f>IFERROR(VLOOKUP(TableHandbook[[#This Row],[UDC]],TableMJRUHISTR[],7,FALSE),"")</f>
        <v/>
      </c>
      <c r="R326" s="65" t="str">
        <f>IFERROR(VLOOKUP(TableHandbook[[#This Row],[UDC]],TableMJRUINAUC[],7,FALSE),"")</f>
        <v/>
      </c>
      <c r="S326" s="65" t="str">
        <f>IFERROR(VLOOKUP(TableHandbook[[#This Row],[UDC]],TableMJRUINTRL[],7,FALSE),"")</f>
        <v/>
      </c>
      <c r="T326" s="65" t="str">
        <f>IFERROR(VLOOKUP(TableHandbook[[#This Row],[UDC]],TableMJRUJAPAN[],7,FALSE),"")</f>
        <v/>
      </c>
      <c r="U326" s="65" t="str">
        <f>IFERROR(VLOOKUP(TableHandbook[[#This Row],[UDC]],TableMJRUJOURN[],7,FALSE),"")</f>
        <v/>
      </c>
      <c r="V326" s="65" t="str">
        <f>IFERROR(VLOOKUP(TableHandbook[[#This Row],[UDC]],TableMJRUKORES[],7,FALSE),"")</f>
        <v/>
      </c>
      <c r="W326" s="65" t="str">
        <f>IFERROR(VLOOKUP(TableHandbook[[#This Row],[UDC]],TableMJRULITCU[],7,FALSE),"")</f>
        <v/>
      </c>
      <c r="X326" s="65" t="str">
        <f>IFERROR(VLOOKUP(TableHandbook[[#This Row],[UDC]],TableMJRUNETCM[],7,FALSE),"")</f>
        <v/>
      </c>
      <c r="Y326" s="65" t="str">
        <f>IFERROR(VLOOKUP(TableHandbook[[#This Row],[UDC]],TableMJRUPRWRP[],7,FALSE),"")</f>
        <v/>
      </c>
      <c r="Z326" s="65" t="str">
        <f>IFERROR(VLOOKUP(TableHandbook[[#This Row],[UDC]],TableMJRUSCSTR[],7,FALSE),"")</f>
        <v/>
      </c>
      <c r="AA326" s="74"/>
      <c r="AB326" s="43" t="str">
        <f>IFERROR(VLOOKUP(TableHandbook[[#This Row],[UDC]],TableMJRUBSLAW[],7,FALSE),"")</f>
        <v/>
      </c>
      <c r="AC326" s="66" t="str">
        <f>IFERROR(VLOOKUP(TableHandbook[[#This Row],[UDC]],TableMJRUECONS[],7,FALSE),"")</f>
        <v/>
      </c>
      <c r="AD326" s="66" t="str">
        <f>IFERROR(VLOOKUP(TableHandbook[[#This Row],[UDC]],TableMJRUFINAR[],7,FALSE),"")</f>
        <v/>
      </c>
      <c r="AE326" s="66" t="str">
        <f>IFERROR(VLOOKUP(TableHandbook[[#This Row],[UDC]],TableMJRUFINCE[],7,FALSE),"")</f>
        <v/>
      </c>
      <c r="AF326" s="66" t="str">
        <f>IFERROR(VLOOKUP(TableHandbook[[#This Row],[UDC]],TableMJRUHRMGM[],7,FALSE),"")</f>
        <v/>
      </c>
      <c r="AG326" s="66" t="str">
        <f>IFERROR(VLOOKUP(TableHandbook[[#This Row],[UDC]],TableMJRUINTBU[],7,FALSE),"")</f>
        <v/>
      </c>
      <c r="AH326" s="66" t="str">
        <f>IFERROR(VLOOKUP(TableHandbook[[#This Row],[UDC]],TableMJRULGSCM[],7,FALSE),"")</f>
        <v/>
      </c>
      <c r="AI326" s="66" t="str">
        <f>IFERROR(VLOOKUP(TableHandbook[[#This Row],[UDC]],TableMJRUMNGMT[],7,FALSE),"")</f>
        <v/>
      </c>
      <c r="AJ326" s="66" t="str">
        <f>IFERROR(VLOOKUP(TableHandbook[[#This Row],[UDC]],TableMJRUMRKTG[],7,FALSE),"")</f>
        <v/>
      </c>
      <c r="AK326" s="66" t="str">
        <f>IFERROR(VLOOKUP(TableHandbook[[#This Row],[UDC]],TableMJRUPRPTY[],7,FALSE),"")</f>
        <v/>
      </c>
      <c r="AL326" s="66" t="str">
        <f>IFERROR(VLOOKUP(TableHandbook[[#This Row],[UDC]],TableMJRUSCRAR[],7,FALSE),"")</f>
        <v/>
      </c>
      <c r="AM326" s="66" t="str">
        <f>IFERROR(VLOOKUP(TableHandbook[[#This Row],[UDC]],TableMJRUTHTRA[],7,FALSE),"")</f>
        <v/>
      </c>
      <c r="AN326" s="66" t="str">
        <f>IFERROR(VLOOKUP(TableHandbook[[#This Row],[UDC]],TableMJRUTRHOS[],7,FALSE),"")</f>
        <v>Core</v>
      </c>
    </row>
    <row r="327" spans="1:40" x14ac:dyDescent="0.25">
      <c r="A327" s="8" t="s">
        <v>493</v>
      </c>
      <c r="B327" s="9">
        <v>2</v>
      </c>
      <c r="C327" s="8"/>
      <c r="D327" s="8" t="s">
        <v>889</v>
      </c>
      <c r="E327" s="9">
        <v>25</v>
      </c>
      <c r="F327" s="202" t="s">
        <v>594</v>
      </c>
      <c r="G327" s="67" t="str">
        <f>IFERROR(IF(VLOOKUP(TableHandbook[[#This Row],[UDC]],TableAvailabilities[],2,FALSE)&gt;0,"Y",""),"")</f>
        <v>Y</v>
      </c>
      <c r="H327" s="68" t="str">
        <f>IFERROR(IF(VLOOKUP(TableHandbook[[#This Row],[UDC]],TableAvailabilities[],3,FALSE)&gt;0,"Y",""),"")</f>
        <v/>
      </c>
      <c r="I327" s="69" t="str">
        <f>IFERROR(IF(VLOOKUP(TableHandbook[[#This Row],[UDC]],TableAvailabilities[],4,FALSE)&gt;0,"Y",""),"")</f>
        <v/>
      </c>
      <c r="J327" s="70" t="str">
        <f>IFERROR(IF(VLOOKUP(TableHandbook[[#This Row],[UDC]],TableAvailabilities[],5,FALSE)&gt;0,"Y",""),"")</f>
        <v/>
      </c>
      <c r="K327" s="171" t="s">
        <v>887</v>
      </c>
      <c r="L327" s="160" t="str">
        <f>IFERROR(VLOOKUP(TableHandbook[[#This Row],[UDC]],TableBARTS[],7,FALSE),"")</f>
        <v/>
      </c>
      <c r="M327" s="65" t="str">
        <f>IFERROR(VLOOKUP(TableHandbook[[#This Row],[UDC]],TableMJRUANTSO[],7,FALSE),"")</f>
        <v/>
      </c>
      <c r="N327" s="65" t="str">
        <f>IFERROR(VLOOKUP(TableHandbook[[#This Row],[UDC]],TableMJRUCHNSE[],7,FALSE),"")</f>
        <v/>
      </c>
      <c r="O327" s="65" t="str">
        <f>IFERROR(VLOOKUP(TableHandbook[[#This Row],[UDC]],TableMJRUCRWRI[],7,FALSE),"")</f>
        <v/>
      </c>
      <c r="P327" s="65" t="str">
        <f>IFERROR(VLOOKUP(TableHandbook[[#This Row],[UDC]],TableMJRUGEOGR[],7,FALSE),"")</f>
        <v/>
      </c>
      <c r="Q327" s="65" t="str">
        <f>IFERROR(VLOOKUP(TableHandbook[[#This Row],[UDC]],TableMJRUHISTR[],7,FALSE),"")</f>
        <v/>
      </c>
      <c r="R327" s="65" t="str">
        <f>IFERROR(VLOOKUP(TableHandbook[[#This Row],[UDC]],TableMJRUINAUC[],7,FALSE),"")</f>
        <v/>
      </c>
      <c r="S327" s="65" t="str">
        <f>IFERROR(VLOOKUP(TableHandbook[[#This Row],[UDC]],TableMJRUINTRL[],7,FALSE),"")</f>
        <v/>
      </c>
      <c r="T327" s="65" t="str">
        <f>IFERROR(VLOOKUP(TableHandbook[[#This Row],[UDC]],TableMJRUJAPAN[],7,FALSE),"")</f>
        <v/>
      </c>
      <c r="U327" s="65" t="str">
        <f>IFERROR(VLOOKUP(TableHandbook[[#This Row],[UDC]],TableMJRUJOURN[],7,FALSE),"")</f>
        <v/>
      </c>
      <c r="V327" s="65" t="str">
        <f>IFERROR(VLOOKUP(TableHandbook[[#This Row],[UDC]],TableMJRUKORES[],7,FALSE),"")</f>
        <v/>
      </c>
      <c r="W327" s="65" t="str">
        <f>IFERROR(VLOOKUP(TableHandbook[[#This Row],[UDC]],TableMJRULITCU[],7,FALSE),"")</f>
        <v/>
      </c>
      <c r="X327" s="65" t="str">
        <f>IFERROR(VLOOKUP(TableHandbook[[#This Row],[UDC]],TableMJRUNETCM[],7,FALSE),"")</f>
        <v/>
      </c>
      <c r="Y327" s="65" t="str">
        <f>IFERROR(VLOOKUP(TableHandbook[[#This Row],[UDC]],TableMJRUPRWRP[],7,FALSE),"")</f>
        <v/>
      </c>
      <c r="Z327" s="65" t="str">
        <f>IFERROR(VLOOKUP(TableHandbook[[#This Row],[UDC]],TableMJRUSCSTR[],7,FALSE),"")</f>
        <v/>
      </c>
      <c r="AA327" s="74"/>
      <c r="AB327" s="43" t="str">
        <f>IFERROR(VLOOKUP(TableHandbook[[#This Row],[UDC]],TableMJRUBSLAW[],7,FALSE),"")</f>
        <v/>
      </c>
      <c r="AC327" s="66" t="str">
        <f>IFERROR(VLOOKUP(TableHandbook[[#This Row],[UDC]],TableMJRUECONS[],7,FALSE),"")</f>
        <v/>
      </c>
      <c r="AD327" s="66" t="str">
        <f>IFERROR(VLOOKUP(TableHandbook[[#This Row],[UDC]],TableMJRUFINAR[],7,FALSE),"")</f>
        <v/>
      </c>
      <c r="AE327" s="66" t="str">
        <f>IFERROR(VLOOKUP(TableHandbook[[#This Row],[UDC]],TableMJRUFINCE[],7,FALSE),"")</f>
        <v/>
      </c>
      <c r="AF327" s="66" t="str">
        <f>IFERROR(VLOOKUP(TableHandbook[[#This Row],[UDC]],TableMJRUHRMGM[],7,FALSE),"")</f>
        <v/>
      </c>
      <c r="AG327" s="66" t="str">
        <f>IFERROR(VLOOKUP(TableHandbook[[#This Row],[UDC]],TableMJRUINTBU[],7,FALSE),"")</f>
        <v/>
      </c>
      <c r="AH327" s="66" t="str">
        <f>IFERROR(VLOOKUP(TableHandbook[[#This Row],[UDC]],TableMJRULGSCM[],7,FALSE),"")</f>
        <v/>
      </c>
      <c r="AI327" s="66" t="str">
        <f>IFERROR(VLOOKUP(TableHandbook[[#This Row],[UDC]],TableMJRUMNGMT[],7,FALSE),"")</f>
        <v/>
      </c>
      <c r="AJ327" s="66" t="str">
        <f>IFERROR(VLOOKUP(TableHandbook[[#This Row],[UDC]],TableMJRUMRKTG[],7,FALSE),"")</f>
        <v/>
      </c>
      <c r="AK327" s="66" t="str">
        <f>IFERROR(VLOOKUP(TableHandbook[[#This Row],[UDC]],TableMJRUPRPTY[],7,FALSE),"")</f>
        <v/>
      </c>
      <c r="AL327" s="66" t="str">
        <f>IFERROR(VLOOKUP(TableHandbook[[#This Row],[UDC]],TableMJRUSCRAR[],7,FALSE),"")</f>
        <v/>
      </c>
      <c r="AM327" s="66" t="str">
        <f>IFERROR(VLOOKUP(TableHandbook[[#This Row],[UDC]],TableMJRUTHTRA[],7,FALSE),"")</f>
        <v/>
      </c>
      <c r="AN327" s="66" t="str">
        <f>IFERROR(VLOOKUP(TableHandbook[[#This Row],[UDC]],TableMJRUTRHOS[],7,FALSE),"")</f>
        <v>AltCore</v>
      </c>
    </row>
    <row r="328" spans="1:40" x14ac:dyDescent="0.25">
      <c r="A328" s="8" t="s">
        <v>890</v>
      </c>
      <c r="B328" s="9">
        <v>1</v>
      </c>
      <c r="C328" s="8"/>
      <c r="D328" s="8" t="s">
        <v>889</v>
      </c>
      <c r="E328" s="9">
        <v>25</v>
      </c>
      <c r="F328" s="174" t="s">
        <v>891</v>
      </c>
      <c r="G328" s="67" t="str">
        <f>IFERROR(IF(VLOOKUP(TableHandbook[[#This Row],[UDC]],TableAvailabilities[],2,FALSE)&gt;0,"Y",""),"")</f>
        <v/>
      </c>
      <c r="H328" s="68" t="str">
        <f>IFERROR(IF(VLOOKUP(TableHandbook[[#This Row],[UDC]],TableAvailabilities[],3,FALSE)&gt;0,"Y",""),"")</f>
        <v/>
      </c>
      <c r="I328" s="69" t="str">
        <f>IFERROR(IF(VLOOKUP(TableHandbook[[#This Row],[UDC]],TableAvailabilities[],4,FALSE)&gt;0,"Y",""),"")</f>
        <v/>
      </c>
      <c r="J328" s="70" t="str">
        <f>IFERROR(IF(VLOOKUP(TableHandbook[[#This Row],[UDC]],TableAvailabilities[],5,FALSE)&gt;0,"Y",""),"")</f>
        <v/>
      </c>
      <c r="K328" s="176" t="s">
        <v>535</v>
      </c>
      <c r="L328" s="160" t="str">
        <f>IFERROR(VLOOKUP(TableHandbook[[#This Row],[UDC]],TableBARTS[],7,FALSE),"")</f>
        <v/>
      </c>
      <c r="M328" s="65" t="str">
        <f>IFERROR(VLOOKUP(TableHandbook[[#This Row],[UDC]],TableMJRUANTSO[],7,FALSE),"")</f>
        <v/>
      </c>
      <c r="N328" s="65" t="str">
        <f>IFERROR(VLOOKUP(TableHandbook[[#This Row],[UDC]],TableMJRUCHNSE[],7,FALSE),"")</f>
        <v/>
      </c>
      <c r="O328" s="65" t="str">
        <f>IFERROR(VLOOKUP(TableHandbook[[#This Row],[UDC]],TableMJRUCRWRI[],7,FALSE),"")</f>
        <v/>
      </c>
      <c r="P328" s="65" t="str">
        <f>IFERROR(VLOOKUP(TableHandbook[[#This Row],[UDC]],TableMJRUGEOGR[],7,FALSE),"")</f>
        <v/>
      </c>
      <c r="Q328" s="65" t="str">
        <f>IFERROR(VLOOKUP(TableHandbook[[#This Row],[UDC]],TableMJRUHISTR[],7,FALSE),"")</f>
        <v/>
      </c>
      <c r="R328" s="65" t="str">
        <f>IFERROR(VLOOKUP(TableHandbook[[#This Row],[UDC]],TableMJRUINAUC[],7,FALSE),"")</f>
        <v/>
      </c>
      <c r="S328" s="65" t="str">
        <f>IFERROR(VLOOKUP(TableHandbook[[#This Row],[UDC]],TableMJRUINTRL[],7,FALSE),"")</f>
        <v/>
      </c>
      <c r="T328" s="65" t="str">
        <f>IFERROR(VLOOKUP(TableHandbook[[#This Row],[UDC]],TableMJRUJAPAN[],7,FALSE),"")</f>
        <v/>
      </c>
      <c r="U328" s="65" t="str">
        <f>IFERROR(VLOOKUP(TableHandbook[[#This Row],[UDC]],TableMJRUJOURN[],7,FALSE),"")</f>
        <v/>
      </c>
      <c r="V328" s="65" t="str">
        <f>IFERROR(VLOOKUP(TableHandbook[[#This Row],[UDC]],TableMJRUKORES[],7,FALSE),"")</f>
        <v/>
      </c>
      <c r="W328" s="65" t="str">
        <f>IFERROR(VLOOKUP(TableHandbook[[#This Row],[UDC]],TableMJRULITCU[],7,FALSE),"")</f>
        <v/>
      </c>
      <c r="X328" s="65" t="str">
        <f>IFERROR(VLOOKUP(TableHandbook[[#This Row],[UDC]],TableMJRUNETCM[],7,FALSE),"")</f>
        <v/>
      </c>
      <c r="Y328" s="65" t="str">
        <f>IFERROR(VLOOKUP(TableHandbook[[#This Row],[UDC]],TableMJRUPRWRP[],7,FALSE),"")</f>
        <v/>
      </c>
      <c r="Z328" s="65" t="str">
        <f>IFERROR(VLOOKUP(TableHandbook[[#This Row],[UDC]],TableMJRUSCSTR[],7,FALSE),"")</f>
        <v/>
      </c>
      <c r="AA328" s="74"/>
      <c r="AB328" s="43" t="str">
        <f>IFERROR(VLOOKUP(TableHandbook[[#This Row],[UDC]],TableMJRUBSLAW[],7,FALSE),"")</f>
        <v/>
      </c>
      <c r="AC328" s="66" t="str">
        <f>IFERROR(VLOOKUP(TableHandbook[[#This Row],[UDC]],TableMJRUECONS[],7,FALSE),"")</f>
        <v/>
      </c>
      <c r="AD328" s="66" t="str">
        <f>IFERROR(VLOOKUP(TableHandbook[[#This Row],[UDC]],TableMJRUFINAR[],7,FALSE),"")</f>
        <v/>
      </c>
      <c r="AE328" s="66" t="str">
        <f>IFERROR(VLOOKUP(TableHandbook[[#This Row],[UDC]],TableMJRUFINCE[],7,FALSE),"")</f>
        <v/>
      </c>
      <c r="AF328" s="66" t="str">
        <f>IFERROR(VLOOKUP(TableHandbook[[#This Row],[UDC]],TableMJRUHRMGM[],7,FALSE),"")</f>
        <v/>
      </c>
      <c r="AG328" s="66" t="str">
        <f>IFERROR(VLOOKUP(TableHandbook[[#This Row],[UDC]],TableMJRUINTBU[],7,FALSE),"")</f>
        <v/>
      </c>
      <c r="AH328" s="66" t="str">
        <f>IFERROR(VLOOKUP(TableHandbook[[#This Row],[UDC]],TableMJRULGSCM[],7,FALSE),"")</f>
        <v/>
      </c>
      <c r="AI328" s="66" t="str">
        <f>IFERROR(VLOOKUP(TableHandbook[[#This Row],[UDC]],TableMJRUMNGMT[],7,FALSE),"")</f>
        <v/>
      </c>
      <c r="AJ328" s="66" t="str">
        <f>IFERROR(VLOOKUP(TableHandbook[[#This Row],[UDC]],TableMJRUMRKTG[],7,FALSE),"")</f>
        <v/>
      </c>
      <c r="AK328" s="66" t="str">
        <f>IFERROR(VLOOKUP(TableHandbook[[#This Row],[UDC]],TableMJRUPRPTY[],7,FALSE),"")</f>
        <v/>
      </c>
      <c r="AL328" s="66" t="str">
        <f>IFERROR(VLOOKUP(TableHandbook[[#This Row],[UDC]],TableMJRUSCRAR[],7,FALSE),"")</f>
        <v/>
      </c>
      <c r="AM328" s="66" t="str">
        <f>IFERROR(VLOOKUP(TableHandbook[[#This Row],[UDC]],TableMJRUTHTRA[],7,FALSE),"")</f>
        <v/>
      </c>
      <c r="AN328" s="66" t="str">
        <f>IFERROR(VLOOKUP(TableHandbook[[#This Row],[UDC]],TableMJRUTRHOS[],7,FALSE),"")</f>
        <v/>
      </c>
    </row>
    <row r="329" spans="1:40" x14ac:dyDescent="0.25">
      <c r="A329" s="8" t="s">
        <v>459</v>
      </c>
      <c r="B329" s="9">
        <v>1</v>
      </c>
      <c r="C329" s="8"/>
      <c r="D329" s="8" t="s">
        <v>892</v>
      </c>
      <c r="E329" s="9">
        <v>25</v>
      </c>
      <c r="F329" s="174" t="s">
        <v>526</v>
      </c>
      <c r="G329" s="67" t="str">
        <f>IFERROR(IF(VLOOKUP(TableHandbook[[#This Row],[UDC]],TableAvailabilities[],2,FALSE)&gt;0,"Y",""),"")</f>
        <v/>
      </c>
      <c r="H329" s="68" t="str">
        <f>IFERROR(IF(VLOOKUP(TableHandbook[[#This Row],[UDC]],TableAvailabilities[],3,FALSE)&gt;0,"Y",""),"")</f>
        <v/>
      </c>
      <c r="I329" s="69" t="str">
        <f>IFERROR(IF(VLOOKUP(TableHandbook[[#This Row],[UDC]],TableAvailabilities[],4,FALSE)&gt;0,"Y",""),"")</f>
        <v>Y</v>
      </c>
      <c r="J329" s="70" t="str">
        <f>IFERROR(IF(VLOOKUP(TableHandbook[[#This Row],[UDC]],TableAvailabilities[],5,FALSE)&gt;0,"Y",""),"")</f>
        <v/>
      </c>
      <c r="K329" s="164"/>
      <c r="L329" s="160" t="str">
        <f>IFERROR(VLOOKUP(TableHandbook[[#This Row],[UDC]],TableBARTS[],7,FALSE),"")</f>
        <v/>
      </c>
      <c r="M329" s="65" t="str">
        <f>IFERROR(VLOOKUP(TableHandbook[[#This Row],[UDC]],TableMJRUANTSO[],7,FALSE),"")</f>
        <v/>
      </c>
      <c r="N329" s="65" t="str">
        <f>IFERROR(VLOOKUP(TableHandbook[[#This Row],[UDC]],TableMJRUCHNSE[],7,FALSE),"")</f>
        <v/>
      </c>
      <c r="O329" s="65" t="str">
        <f>IFERROR(VLOOKUP(TableHandbook[[#This Row],[UDC]],TableMJRUCRWRI[],7,FALSE),"")</f>
        <v/>
      </c>
      <c r="P329" s="65" t="str">
        <f>IFERROR(VLOOKUP(TableHandbook[[#This Row],[UDC]],TableMJRUGEOGR[],7,FALSE),"")</f>
        <v/>
      </c>
      <c r="Q329" s="65" t="str">
        <f>IFERROR(VLOOKUP(TableHandbook[[#This Row],[UDC]],TableMJRUHISTR[],7,FALSE),"")</f>
        <v/>
      </c>
      <c r="R329" s="65" t="str">
        <f>IFERROR(VLOOKUP(TableHandbook[[#This Row],[UDC]],TableMJRUINAUC[],7,FALSE),"")</f>
        <v/>
      </c>
      <c r="S329" s="65" t="str">
        <f>IFERROR(VLOOKUP(TableHandbook[[#This Row],[UDC]],TableMJRUINTRL[],7,FALSE),"")</f>
        <v/>
      </c>
      <c r="T329" s="65" t="str">
        <f>IFERROR(VLOOKUP(TableHandbook[[#This Row],[UDC]],TableMJRUJAPAN[],7,FALSE),"")</f>
        <v/>
      </c>
      <c r="U329" s="65" t="str">
        <f>IFERROR(VLOOKUP(TableHandbook[[#This Row],[UDC]],TableMJRUJOURN[],7,FALSE),"")</f>
        <v/>
      </c>
      <c r="V329" s="65" t="str">
        <f>IFERROR(VLOOKUP(TableHandbook[[#This Row],[UDC]],TableMJRUKORES[],7,FALSE),"")</f>
        <v/>
      </c>
      <c r="W329" s="65" t="str">
        <f>IFERROR(VLOOKUP(TableHandbook[[#This Row],[UDC]],TableMJRULITCU[],7,FALSE),"")</f>
        <v/>
      </c>
      <c r="X329" s="65" t="str">
        <f>IFERROR(VLOOKUP(TableHandbook[[#This Row],[UDC]],TableMJRUNETCM[],7,FALSE),"")</f>
        <v/>
      </c>
      <c r="Y329" s="65" t="str">
        <f>IFERROR(VLOOKUP(TableHandbook[[#This Row],[UDC]],TableMJRUPRWRP[],7,FALSE),"")</f>
        <v/>
      </c>
      <c r="Z329" s="65" t="str">
        <f>IFERROR(VLOOKUP(TableHandbook[[#This Row],[UDC]],TableMJRUSCSTR[],7,FALSE),"")</f>
        <v/>
      </c>
      <c r="AA329" s="74"/>
      <c r="AB329" s="43" t="str">
        <f>IFERROR(VLOOKUP(TableHandbook[[#This Row],[UDC]],TableMJRUBSLAW[],7,FALSE),"")</f>
        <v/>
      </c>
      <c r="AC329" s="66" t="str">
        <f>IFERROR(VLOOKUP(TableHandbook[[#This Row],[UDC]],TableMJRUECONS[],7,FALSE),"")</f>
        <v/>
      </c>
      <c r="AD329" s="66" t="str">
        <f>IFERROR(VLOOKUP(TableHandbook[[#This Row],[UDC]],TableMJRUFINAR[],7,FALSE),"")</f>
        <v/>
      </c>
      <c r="AE329" s="66" t="str">
        <f>IFERROR(VLOOKUP(TableHandbook[[#This Row],[UDC]],TableMJRUFINCE[],7,FALSE),"")</f>
        <v/>
      </c>
      <c r="AF329" s="66" t="str">
        <f>IFERROR(VLOOKUP(TableHandbook[[#This Row],[UDC]],TableMJRUHRMGM[],7,FALSE),"")</f>
        <v/>
      </c>
      <c r="AG329" s="66" t="str">
        <f>IFERROR(VLOOKUP(TableHandbook[[#This Row],[UDC]],TableMJRUINTBU[],7,FALSE),"")</f>
        <v/>
      </c>
      <c r="AH329" s="66" t="str">
        <f>IFERROR(VLOOKUP(TableHandbook[[#This Row],[UDC]],TableMJRULGSCM[],7,FALSE),"")</f>
        <v/>
      </c>
      <c r="AI329" s="66" t="str">
        <f>IFERROR(VLOOKUP(TableHandbook[[#This Row],[UDC]],TableMJRUMNGMT[],7,FALSE),"")</f>
        <v/>
      </c>
      <c r="AJ329" s="66" t="str">
        <f>IFERROR(VLOOKUP(TableHandbook[[#This Row],[UDC]],TableMJRUMRKTG[],7,FALSE),"")</f>
        <v/>
      </c>
      <c r="AK329" s="66" t="str">
        <f>IFERROR(VLOOKUP(TableHandbook[[#This Row],[UDC]],TableMJRUPRPTY[],7,FALSE),"")</f>
        <v/>
      </c>
      <c r="AL329" s="66" t="str">
        <f>IFERROR(VLOOKUP(TableHandbook[[#This Row],[UDC]],TableMJRUSCRAR[],7,FALSE),"")</f>
        <v/>
      </c>
      <c r="AM329" s="66" t="str">
        <f>IFERROR(VLOOKUP(TableHandbook[[#This Row],[UDC]],TableMJRUTHTRA[],7,FALSE),"")</f>
        <v/>
      </c>
      <c r="AN329" s="66" t="str">
        <f>IFERROR(VLOOKUP(TableHandbook[[#This Row],[UDC]],TableMJRUTRHOS[],7,FALSE),"")</f>
        <v>Core</v>
      </c>
    </row>
    <row r="330" spans="1:40" x14ac:dyDescent="0.25">
      <c r="A330" s="8" t="s">
        <v>473</v>
      </c>
      <c r="B330" s="9">
        <v>1</v>
      </c>
      <c r="C330" s="8"/>
      <c r="D330" s="8" t="s">
        <v>893</v>
      </c>
      <c r="E330" s="9">
        <v>25</v>
      </c>
      <c r="F330" s="174" t="s">
        <v>526</v>
      </c>
      <c r="G330" s="67" t="str">
        <f>IFERROR(IF(VLOOKUP(TableHandbook[[#This Row],[UDC]],TableAvailabilities[],2,FALSE)&gt;0,"Y",""),"")</f>
        <v/>
      </c>
      <c r="H330" s="68" t="str">
        <f>IFERROR(IF(VLOOKUP(TableHandbook[[#This Row],[UDC]],TableAvailabilities[],3,FALSE)&gt;0,"Y",""),"")</f>
        <v/>
      </c>
      <c r="I330" s="69" t="str">
        <f>IFERROR(IF(VLOOKUP(TableHandbook[[#This Row],[UDC]],TableAvailabilities[],4,FALSE)&gt;0,"Y",""),"")</f>
        <v>Y</v>
      </c>
      <c r="J330" s="70" t="str">
        <f>IFERROR(IF(VLOOKUP(TableHandbook[[#This Row],[UDC]],TableAvailabilities[],5,FALSE)&gt;0,"Y",""),"")</f>
        <v/>
      </c>
      <c r="K330" s="164"/>
      <c r="L330" s="160" t="str">
        <f>IFERROR(VLOOKUP(TableHandbook[[#This Row],[UDC]],TableBARTS[],7,FALSE),"")</f>
        <v/>
      </c>
      <c r="M330" s="65" t="str">
        <f>IFERROR(VLOOKUP(TableHandbook[[#This Row],[UDC]],TableMJRUANTSO[],7,FALSE),"")</f>
        <v/>
      </c>
      <c r="N330" s="65" t="str">
        <f>IFERROR(VLOOKUP(TableHandbook[[#This Row],[UDC]],TableMJRUCHNSE[],7,FALSE),"")</f>
        <v/>
      </c>
      <c r="O330" s="65" t="str">
        <f>IFERROR(VLOOKUP(TableHandbook[[#This Row],[UDC]],TableMJRUCRWRI[],7,FALSE),"")</f>
        <v/>
      </c>
      <c r="P330" s="65" t="str">
        <f>IFERROR(VLOOKUP(TableHandbook[[#This Row],[UDC]],TableMJRUGEOGR[],7,FALSE),"")</f>
        <v/>
      </c>
      <c r="Q330" s="65" t="str">
        <f>IFERROR(VLOOKUP(TableHandbook[[#This Row],[UDC]],TableMJRUHISTR[],7,FALSE),"")</f>
        <v/>
      </c>
      <c r="R330" s="65" t="str">
        <f>IFERROR(VLOOKUP(TableHandbook[[#This Row],[UDC]],TableMJRUINAUC[],7,FALSE),"")</f>
        <v/>
      </c>
      <c r="S330" s="65" t="str">
        <f>IFERROR(VLOOKUP(TableHandbook[[#This Row],[UDC]],TableMJRUINTRL[],7,FALSE),"")</f>
        <v/>
      </c>
      <c r="T330" s="65" t="str">
        <f>IFERROR(VLOOKUP(TableHandbook[[#This Row],[UDC]],TableMJRUJAPAN[],7,FALSE),"")</f>
        <v/>
      </c>
      <c r="U330" s="65" t="str">
        <f>IFERROR(VLOOKUP(TableHandbook[[#This Row],[UDC]],TableMJRUJOURN[],7,FALSE),"")</f>
        <v/>
      </c>
      <c r="V330" s="65" t="str">
        <f>IFERROR(VLOOKUP(TableHandbook[[#This Row],[UDC]],TableMJRUKORES[],7,FALSE),"")</f>
        <v/>
      </c>
      <c r="W330" s="65" t="str">
        <f>IFERROR(VLOOKUP(TableHandbook[[#This Row],[UDC]],TableMJRULITCU[],7,FALSE),"")</f>
        <v/>
      </c>
      <c r="X330" s="65" t="str">
        <f>IFERROR(VLOOKUP(TableHandbook[[#This Row],[UDC]],TableMJRUNETCM[],7,FALSE),"")</f>
        <v/>
      </c>
      <c r="Y330" s="65" t="str">
        <f>IFERROR(VLOOKUP(TableHandbook[[#This Row],[UDC]],TableMJRUPRWRP[],7,FALSE),"")</f>
        <v/>
      </c>
      <c r="Z330" s="65" t="str">
        <f>IFERROR(VLOOKUP(TableHandbook[[#This Row],[UDC]],TableMJRUSCSTR[],7,FALSE),"")</f>
        <v/>
      </c>
      <c r="AA330" s="74"/>
      <c r="AB330" s="43" t="str">
        <f>IFERROR(VLOOKUP(TableHandbook[[#This Row],[UDC]],TableMJRUBSLAW[],7,FALSE),"")</f>
        <v/>
      </c>
      <c r="AC330" s="66" t="str">
        <f>IFERROR(VLOOKUP(TableHandbook[[#This Row],[UDC]],TableMJRUECONS[],7,FALSE),"")</f>
        <v/>
      </c>
      <c r="AD330" s="66" t="str">
        <f>IFERROR(VLOOKUP(TableHandbook[[#This Row],[UDC]],TableMJRUFINAR[],7,FALSE),"")</f>
        <v/>
      </c>
      <c r="AE330" s="66" t="str">
        <f>IFERROR(VLOOKUP(TableHandbook[[#This Row],[UDC]],TableMJRUFINCE[],7,FALSE),"")</f>
        <v/>
      </c>
      <c r="AF330" s="66" t="str">
        <f>IFERROR(VLOOKUP(TableHandbook[[#This Row],[UDC]],TableMJRUHRMGM[],7,FALSE),"")</f>
        <v/>
      </c>
      <c r="AG330" s="66" t="str">
        <f>IFERROR(VLOOKUP(TableHandbook[[#This Row],[UDC]],TableMJRUINTBU[],7,FALSE),"")</f>
        <v/>
      </c>
      <c r="AH330" s="66" t="str">
        <f>IFERROR(VLOOKUP(TableHandbook[[#This Row],[UDC]],TableMJRULGSCM[],7,FALSE),"")</f>
        <v/>
      </c>
      <c r="AI330" s="66" t="str">
        <f>IFERROR(VLOOKUP(TableHandbook[[#This Row],[UDC]],TableMJRUMNGMT[],7,FALSE),"")</f>
        <v/>
      </c>
      <c r="AJ330" s="66" t="str">
        <f>IFERROR(VLOOKUP(TableHandbook[[#This Row],[UDC]],TableMJRUMRKTG[],7,FALSE),"")</f>
        <v/>
      </c>
      <c r="AK330" s="66" t="str">
        <f>IFERROR(VLOOKUP(TableHandbook[[#This Row],[UDC]],TableMJRUPRPTY[],7,FALSE),"")</f>
        <v/>
      </c>
      <c r="AL330" s="66" t="str">
        <f>IFERROR(VLOOKUP(TableHandbook[[#This Row],[UDC]],TableMJRUSCRAR[],7,FALSE),"")</f>
        <v/>
      </c>
      <c r="AM330" s="66" t="str">
        <f>IFERROR(VLOOKUP(TableHandbook[[#This Row],[UDC]],TableMJRUTHTRA[],7,FALSE),"")</f>
        <v/>
      </c>
      <c r="AN330" s="66" t="str">
        <f>IFERROR(VLOOKUP(TableHandbook[[#This Row],[UDC]],TableMJRUTRHOS[],7,FALSE),"")</f>
        <v>Core</v>
      </c>
    </row>
    <row r="331" spans="1:40" x14ac:dyDescent="0.25">
      <c r="A331" s="8" t="s">
        <v>406</v>
      </c>
      <c r="B331" s="9">
        <v>2</v>
      </c>
      <c r="C331" s="8"/>
      <c r="D331" s="8" t="s">
        <v>894</v>
      </c>
      <c r="E331" s="9">
        <v>25</v>
      </c>
      <c r="F331" s="49" t="s">
        <v>388</v>
      </c>
      <c r="G331" s="67" t="str">
        <f>IFERROR(IF(VLOOKUP(TableHandbook[[#This Row],[UDC]],TableAvailabilities[],2,FALSE)&gt;0,"Y",""),"")</f>
        <v/>
      </c>
      <c r="H331" s="68" t="str">
        <f>IFERROR(IF(VLOOKUP(TableHandbook[[#This Row],[UDC]],TableAvailabilities[],3,FALSE)&gt;0,"Y",""),"")</f>
        <v/>
      </c>
      <c r="I331" s="69" t="str">
        <f>IFERROR(IF(VLOOKUP(TableHandbook[[#This Row],[UDC]],TableAvailabilities[],4,FALSE)&gt;0,"Y",""),"")</f>
        <v>Y</v>
      </c>
      <c r="J331" s="70" t="str">
        <f>IFERROR(IF(VLOOKUP(TableHandbook[[#This Row],[UDC]],TableAvailabilities[],5,FALSE)&gt;0,"Y",""),"")</f>
        <v/>
      </c>
      <c r="K331" s="164"/>
      <c r="L331" s="160" t="str">
        <f>IFERROR(VLOOKUP(TableHandbook[[#This Row],[UDC]],TableBARTS[],7,FALSE),"")</f>
        <v/>
      </c>
      <c r="M331" s="65" t="str">
        <f>IFERROR(VLOOKUP(TableHandbook[[#This Row],[UDC]],TableMJRUANTSO[],7,FALSE),"")</f>
        <v/>
      </c>
      <c r="N331" s="65" t="str">
        <f>IFERROR(VLOOKUP(TableHandbook[[#This Row],[UDC]],TableMJRUCHNSE[],7,FALSE),"")</f>
        <v/>
      </c>
      <c r="O331" s="65" t="str">
        <f>IFERROR(VLOOKUP(TableHandbook[[#This Row],[UDC]],TableMJRUCRWRI[],7,FALSE),"")</f>
        <v/>
      </c>
      <c r="P331" s="65" t="str">
        <f>IFERROR(VLOOKUP(TableHandbook[[#This Row],[UDC]],TableMJRUGEOGR[],7,FALSE),"")</f>
        <v/>
      </c>
      <c r="Q331" s="65" t="str">
        <f>IFERROR(VLOOKUP(TableHandbook[[#This Row],[UDC]],TableMJRUHISTR[],7,FALSE),"")</f>
        <v/>
      </c>
      <c r="R331" s="65" t="str">
        <f>IFERROR(VLOOKUP(TableHandbook[[#This Row],[UDC]],TableMJRUINAUC[],7,FALSE),"")</f>
        <v/>
      </c>
      <c r="S331" s="65" t="str">
        <f>IFERROR(VLOOKUP(TableHandbook[[#This Row],[UDC]],TableMJRUINTRL[],7,FALSE),"")</f>
        <v/>
      </c>
      <c r="T331" s="65" t="str">
        <f>IFERROR(VLOOKUP(TableHandbook[[#This Row],[UDC]],TableMJRUJAPAN[],7,FALSE),"")</f>
        <v/>
      </c>
      <c r="U331" s="65" t="str">
        <f>IFERROR(VLOOKUP(TableHandbook[[#This Row],[UDC]],TableMJRUJOURN[],7,FALSE),"")</f>
        <v/>
      </c>
      <c r="V331" s="65" t="str">
        <f>IFERROR(VLOOKUP(TableHandbook[[#This Row],[UDC]],TableMJRUKORES[],7,FALSE),"")</f>
        <v/>
      </c>
      <c r="W331" s="65" t="str">
        <f>IFERROR(VLOOKUP(TableHandbook[[#This Row],[UDC]],TableMJRULITCU[],7,FALSE),"")</f>
        <v/>
      </c>
      <c r="X331" s="65" t="str">
        <f>IFERROR(VLOOKUP(TableHandbook[[#This Row],[UDC]],TableMJRUNETCM[],7,FALSE),"")</f>
        <v/>
      </c>
      <c r="Y331" s="65" t="str">
        <f>IFERROR(VLOOKUP(TableHandbook[[#This Row],[UDC]],TableMJRUPRWRP[],7,FALSE),"")</f>
        <v/>
      </c>
      <c r="Z331" s="65" t="str">
        <f>IFERROR(VLOOKUP(TableHandbook[[#This Row],[UDC]],TableMJRUSCSTR[],7,FALSE),"")</f>
        <v/>
      </c>
      <c r="AA331" s="74"/>
      <c r="AB331" s="43" t="str">
        <f>IFERROR(VLOOKUP(TableHandbook[[#This Row],[UDC]],TableMJRUBSLAW[],7,FALSE),"")</f>
        <v/>
      </c>
      <c r="AC331" s="66" t="str">
        <f>IFERROR(VLOOKUP(TableHandbook[[#This Row],[UDC]],TableMJRUECONS[],7,FALSE),"")</f>
        <v/>
      </c>
      <c r="AD331" s="66" t="str">
        <f>IFERROR(VLOOKUP(TableHandbook[[#This Row],[UDC]],TableMJRUFINAR[],7,FALSE),"")</f>
        <v/>
      </c>
      <c r="AE331" s="66" t="str">
        <f>IFERROR(VLOOKUP(TableHandbook[[#This Row],[UDC]],TableMJRUFINCE[],7,FALSE),"")</f>
        <v/>
      </c>
      <c r="AF331" s="66" t="str">
        <f>IFERROR(VLOOKUP(TableHandbook[[#This Row],[UDC]],TableMJRUHRMGM[],7,FALSE),"")</f>
        <v/>
      </c>
      <c r="AG331" s="66" t="str">
        <f>IFERROR(VLOOKUP(TableHandbook[[#This Row],[UDC]],TableMJRUINTBU[],7,FALSE),"")</f>
        <v/>
      </c>
      <c r="AH331" s="66" t="str">
        <f>IFERROR(VLOOKUP(TableHandbook[[#This Row],[UDC]],TableMJRULGSCM[],7,FALSE),"")</f>
        <v/>
      </c>
      <c r="AI331" s="66" t="str">
        <f>IFERROR(VLOOKUP(TableHandbook[[#This Row],[UDC]],TableMJRUMNGMT[],7,FALSE),"")</f>
        <v/>
      </c>
      <c r="AJ331" s="66" t="str">
        <f>IFERROR(VLOOKUP(TableHandbook[[#This Row],[UDC]],TableMJRUMRKTG[],7,FALSE),"")</f>
        <v/>
      </c>
      <c r="AK331" s="66" t="str">
        <f>IFERROR(VLOOKUP(TableHandbook[[#This Row],[UDC]],TableMJRUPRPTY[],7,FALSE),"")</f>
        <v>Core</v>
      </c>
      <c r="AL331" s="66" t="str">
        <f>IFERROR(VLOOKUP(TableHandbook[[#This Row],[UDC]],TableMJRUSCRAR[],7,FALSE),"")</f>
        <v/>
      </c>
      <c r="AM331" s="66" t="str">
        <f>IFERROR(VLOOKUP(TableHandbook[[#This Row],[UDC]],TableMJRUTHTRA[],7,FALSE),"")</f>
        <v/>
      </c>
      <c r="AN331" s="66" t="str">
        <f>IFERROR(VLOOKUP(TableHandbook[[#This Row],[UDC]],TableMJRUTRHOS[],7,FALSE),"")</f>
        <v/>
      </c>
    </row>
    <row r="332" spans="1:40" x14ac:dyDescent="0.25">
      <c r="A332" s="8" t="s">
        <v>74</v>
      </c>
      <c r="B332" s="9">
        <v>2</v>
      </c>
      <c r="C332" s="8"/>
      <c r="D332" s="8" t="s">
        <v>895</v>
      </c>
      <c r="E332" s="9">
        <v>25</v>
      </c>
      <c r="F332" s="49" t="s">
        <v>526</v>
      </c>
      <c r="G332" s="67" t="str">
        <f>IFERROR(IF(VLOOKUP(TableHandbook[[#This Row],[UDC]],TableAvailabilities[],2,FALSE)&gt;0,"Y",""),"")</f>
        <v/>
      </c>
      <c r="H332" s="68" t="str">
        <f>IFERROR(IF(VLOOKUP(TableHandbook[[#This Row],[UDC]],TableAvailabilities[],3,FALSE)&gt;0,"Y",""),"")</f>
        <v/>
      </c>
      <c r="I332" s="69" t="str">
        <f>IFERROR(IF(VLOOKUP(TableHandbook[[#This Row],[UDC]],TableAvailabilities[],4,FALSE)&gt;0,"Y",""),"")</f>
        <v>Y</v>
      </c>
      <c r="J332" s="70" t="str">
        <f>IFERROR(IF(VLOOKUP(TableHandbook[[#This Row],[UDC]],TableAvailabilities[],5,FALSE)&gt;0,"Y",""),"")</f>
        <v/>
      </c>
      <c r="K332" s="164"/>
      <c r="L332" s="160" t="str">
        <f>IFERROR(VLOOKUP(TableHandbook[[#This Row],[UDC]],TableBARTS[],7,FALSE),"")</f>
        <v>Option</v>
      </c>
      <c r="M332" s="65" t="str">
        <f>IFERROR(VLOOKUP(TableHandbook[[#This Row],[UDC]],TableMJRUANTSO[],7,FALSE),"")</f>
        <v/>
      </c>
      <c r="N332" s="65" t="str">
        <f>IFERROR(VLOOKUP(TableHandbook[[#This Row],[UDC]],TableMJRUCHNSE[],7,FALSE),"")</f>
        <v/>
      </c>
      <c r="O332" s="65" t="str">
        <f>IFERROR(VLOOKUP(TableHandbook[[#This Row],[UDC]],TableMJRUCRWRI[],7,FALSE),"")</f>
        <v/>
      </c>
      <c r="P332" s="65" t="str">
        <f>IFERROR(VLOOKUP(TableHandbook[[#This Row],[UDC]],TableMJRUGEOGR[],7,FALSE),"")</f>
        <v/>
      </c>
      <c r="Q332" s="65" t="str">
        <f>IFERROR(VLOOKUP(TableHandbook[[#This Row],[UDC]],TableMJRUHISTR[],7,FALSE),"")</f>
        <v/>
      </c>
      <c r="R332" s="65" t="str">
        <f>IFERROR(VLOOKUP(TableHandbook[[#This Row],[UDC]],TableMJRUINAUC[],7,FALSE),"")</f>
        <v/>
      </c>
      <c r="S332" s="65" t="str">
        <f>IFERROR(VLOOKUP(TableHandbook[[#This Row],[UDC]],TableMJRUINTRL[],7,FALSE),"")</f>
        <v/>
      </c>
      <c r="T332" s="65" t="str">
        <f>IFERROR(VLOOKUP(TableHandbook[[#This Row],[UDC]],TableMJRUJAPAN[],7,FALSE),"")</f>
        <v/>
      </c>
      <c r="U332" s="65" t="str">
        <f>IFERROR(VLOOKUP(TableHandbook[[#This Row],[UDC]],TableMJRUJOURN[],7,FALSE),"")</f>
        <v/>
      </c>
      <c r="V332" s="65" t="str">
        <f>IFERROR(VLOOKUP(TableHandbook[[#This Row],[UDC]],TableMJRUKORES[],7,FALSE),"")</f>
        <v/>
      </c>
      <c r="W332" s="65" t="str">
        <f>IFERROR(VLOOKUP(TableHandbook[[#This Row],[UDC]],TableMJRULITCU[],7,FALSE),"")</f>
        <v/>
      </c>
      <c r="X332" s="65" t="str">
        <f>IFERROR(VLOOKUP(TableHandbook[[#This Row],[UDC]],TableMJRUNETCM[],7,FALSE),"")</f>
        <v/>
      </c>
      <c r="Y332" s="65" t="str">
        <f>IFERROR(VLOOKUP(TableHandbook[[#This Row],[UDC]],TableMJRUPRWRP[],7,FALSE),"")</f>
        <v/>
      </c>
      <c r="Z332" s="65" t="str">
        <f>IFERROR(VLOOKUP(TableHandbook[[#This Row],[UDC]],TableMJRUSCSTR[],7,FALSE),"")</f>
        <v/>
      </c>
      <c r="AA332" s="74"/>
      <c r="AB332" s="43" t="str">
        <f>IFERROR(VLOOKUP(TableHandbook[[#This Row],[UDC]],TableMJRUBSLAW[],7,FALSE),"")</f>
        <v/>
      </c>
      <c r="AC332" s="66" t="str">
        <f>IFERROR(VLOOKUP(TableHandbook[[#This Row],[UDC]],TableMJRUECONS[],7,FALSE),"")</f>
        <v/>
      </c>
      <c r="AD332" s="66" t="str">
        <f>IFERROR(VLOOKUP(TableHandbook[[#This Row],[UDC]],TableMJRUFINAR[],7,FALSE),"")</f>
        <v/>
      </c>
      <c r="AE332" s="66" t="str">
        <f>IFERROR(VLOOKUP(TableHandbook[[#This Row],[UDC]],TableMJRUFINCE[],7,FALSE),"")</f>
        <v/>
      </c>
      <c r="AF332" s="66" t="str">
        <f>IFERROR(VLOOKUP(TableHandbook[[#This Row],[UDC]],TableMJRUHRMGM[],7,FALSE),"")</f>
        <v/>
      </c>
      <c r="AG332" s="66" t="str">
        <f>IFERROR(VLOOKUP(TableHandbook[[#This Row],[UDC]],TableMJRUINTBU[],7,FALSE),"")</f>
        <v/>
      </c>
      <c r="AH332" s="66" t="str">
        <f>IFERROR(VLOOKUP(TableHandbook[[#This Row],[UDC]],TableMJRULGSCM[],7,FALSE),"")</f>
        <v/>
      </c>
      <c r="AI332" s="66" t="str">
        <f>IFERROR(VLOOKUP(TableHandbook[[#This Row],[UDC]],TableMJRUMNGMT[],7,FALSE),"")</f>
        <v/>
      </c>
      <c r="AJ332" s="66" t="str">
        <f>IFERROR(VLOOKUP(TableHandbook[[#This Row],[UDC]],TableMJRUMRKTG[],7,FALSE),"")</f>
        <v/>
      </c>
      <c r="AK332" s="66" t="str">
        <f>IFERROR(VLOOKUP(TableHandbook[[#This Row],[UDC]],TableMJRUPRPTY[],7,FALSE),"")</f>
        <v/>
      </c>
      <c r="AL332" s="66" t="str">
        <f>IFERROR(VLOOKUP(TableHandbook[[#This Row],[UDC]],TableMJRUSCRAR[],7,FALSE),"")</f>
        <v/>
      </c>
      <c r="AM332" s="66" t="str">
        <f>IFERROR(VLOOKUP(TableHandbook[[#This Row],[UDC]],TableMJRUTHTRA[],7,FALSE),"")</f>
        <v/>
      </c>
      <c r="AN332" s="66" t="str">
        <f>IFERROR(VLOOKUP(TableHandbook[[#This Row],[UDC]],TableMJRUTRHOS[],7,FALSE),"")</f>
        <v/>
      </c>
    </row>
    <row r="333" spans="1:40" x14ac:dyDescent="0.25">
      <c r="A333" s="8" t="s">
        <v>75</v>
      </c>
      <c r="B333" s="9">
        <v>2</v>
      </c>
      <c r="C333" s="8"/>
      <c r="D333" s="8" t="s">
        <v>896</v>
      </c>
      <c r="E333" s="9">
        <v>25</v>
      </c>
      <c r="F333" s="49" t="s">
        <v>526</v>
      </c>
      <c r="G333" s="67" t="str">
        <f>IFERROR(IF(VLOOKUP(TableHandbook[[#This Row],[UDC]],TableAvailabilities[],2,FALSE)&gt;0,"Y",""),"")</f>
        <v>Y</v>
      </c>
      <c r="H333" s="68" t="str">
        <f>IFERROR(IF(VLOOKUP(TableHandbook[[#This Row],[UDC]],TableAvailabilities[],3,FALSE)&gt;0,"Y",""),"")</f>
        <v/>
      </c>
      <c r="I333" s="69" t="str">
        <f>IFERROR(IF(VLOOKUP(TableHandbook[[#This Row],[UDC]],TableAvailabilities[],4,FALSE)&gt;0,"Y",""),"")</f>
        <v/>
      </c>
      <c r="J333" s="70" t="str">
        <f>IFERROR(IF(VLOOKUP(TableHandbook[[#This Row],[UDC]],TableAvailabilities[],5,FALSE)&gt;0,"Y",""),"")</f>
        <v/>
      </c>
      <c r="K333" s="164"/>
      <c r="L333" s="160" t="str">
        <f>IFERROR(VLOOKUP(TableHandbook[[#This Row],[UDC]],TableBARTS[],7,FALSE),"")</f>
        <v>Option</v>
      </c>
      <c r="M333" s="65" t="str">
        <f>IFERROR(VLOOKUP(TableHandbook[[#This Row],[UDC]],TableMJRUANTSO[],7,FALSE),"")</f>
        <v/>
      </c>
      <c r="N333" s="65" t="str">
        <f>IFERROR(VLOOKUP(TableHandbook[[#This Row],[UDC]],TableMJRUCHNSE[],7,FALSE),"")</f>
        <v/>
      </c>
      <c r="O333" s="65" t="str">
        <f>IFERROR(VLOOKUP(TableHandbook[[#This Row],[UDC]],TableMJRUCRWRI[],7,FALSE),"")</f>
        <v/>
      </c>
      <c r="P333" s="65" t="str">
        <f>IFERROR(VLOOKUP(TableHandbook[[#This Row],[UDC]],TableMJRUGEOGR[],7,FALSE),"")</f>
        <v/>
      </c>
      <c r="Q333" s="65" t="str">
        <f>IFERROR(VLOOKUP(TableHandbook[[#This Row],[UDC]],TableMJRUHISTR[],7,FALSE),"")</f>
        <v/>
      </c>
      <c r="R333" s="65" t="str">
        <f>IFERROR(VLOOKUP(TableHandbook[[#This Row],[UDC]],TableMJRUINAUC[],7,FALSE),"")</f>
        <v/>
      </c>
      <c r="S333" s="65" t="str">
        <f>IFERROR(VLOOKUP(TableHandbook[[#This Row],[UDC]],TableMJRUINTRL[],7,FALSE),"")</f>
        <v/>
      </c>
      <c r="T333" s="65" t="str">
        <f>IFERROR(VLOOKUP(TableHandbook[[#This Row],[UDC]],TableMJRUJAPAN[],7,FALSE),"")</f>
        <v/>
      </c>
      <c r="U333" s="65" t="str">
        <f>IFERROR(VLOOKUP(TableHandbook[[#This Row],[UDC]],TableMJRUJOURN[],7,FALSE),"")</f>
        <v/>
      </c>
      <c r="V333" s="65" t="str">
        <f>IFERROR(VLOOKUP(TableHandbook[[#This Row],[UDC]],TableMJRUKORES[],7,FALSE),"")</f>
        <v/>
      </c>
      <c r="W333" s="65" t="str">
        <f>IFERROR(VLOOKUP(TableHandbook[[#This Row],[UDC]],TableMJRULITCU[],7,FALSE),"")</f>
        <v/>
      </c>
      <c r="X333" s="65" t="str">
        <f>IFERROR(VLOOKUP(TableHandbook[[#This Row],[UDC]],TableMJRUNETCM[],7,FALSE),"")</f>
        <v/>
      </c>
      <c r="Y333" s="65" t="str">
        <f>IFERROR(VLOOKUP(TableHandbook[[#This Row],[UDC]],TableMJRUPRWRP[],7,FALSE),"")</f>
        <v/>
      </c>
      <c r="Z333" s="65" t="str">
        <f>IFERROR(VLOOKUP(TableHandbook[[#This Row],[UDC]],TableMJRUSCSTR[],7,FALSE),"")</f>
        <v/>
      </c>
      <c r="AA333" s="74"/>
      <c r="AB333" s="43" t="str">
        <f>IFERROR(VLOOKUP(TableHandbook[[#This Row],[UDC]],TableMJRUBSLAW[],7,FALSE),"")</f>
        <v/>
      </c>
      <c r="AC333" s="66" t="str">
        <f>IFERROR(VLOOKUP(TableHandbook[[#This Row],[UDC]],TableMJRUECONS[],7,FALSE),"")</f>
        <v/>
      </c>
      <c r="AD333" s="66" t="str">
        <f>IFERROR(VLOOKUP(TableHandbook[[#This Row],[UDC]],TableMJRUFINAR[],7,FALSE),"")</f>
        <v/>
      </c>
      <c r="AE333" s="66" t="str">
        <f>IFERROR(VLOOKUP(TableHandbook[[#This Row],[UDC]],TableMJRUFINCE[],7,FALSE),"")</f>
        <v/>
      </c>
      <c r="AF333" s="66" t="str">
        <f>IFERROR(VLOOKUP(TableHandbook[[#This Row],[UDC]],TableMJRUHRMGM[],7,FALSE),"")</f>
        <v/>
      </c>
      <c r="AG333" s="66" t="str">
        <f>IFERROR(VLOOKUP(TableHandbook[[#This Row],[UDC]],TableMJRUINTBU[],7,FALSE),"")</f>
        <v/>
      </c>
      <c r="AH333" s="66" t="str">
        <f>IFERROR(VLOOKUP(TableHandbook[[#This Row],[UDC]],TableMJRULGSCM[],7,FALSE),"")</f>
        <v/>
      </c>
      <c r="AI333" s="66" t="str">
        <f>IFERROR(VLOOKUP(TableHandbook[[#This Row],[UDC]],TableMJRUMNGMT[],7,FALSE),"")</f>
        <v/>
      </c>
      <c r="AJ333" s="66" t="str">
        <f>IFERROR(VLOOKUP(TableHandbook[[#This Row],[UDC]],TableMJRUMRKTG[],7,FALSE),"")</f>
        <v/>
      </c>
      <c r="AK333" s="66" t="str">
        <f>IFERROR(VLOOKUP(TableHandbook[[#This Row],[UDC]],TableMJRUPRPTY[],7,FALSE),"")</f>
        <v/>
      </c>
      <c r="AL333" s="66" t="str">
        <f>IFERROR(VLOOKUP(TableHandbook[[#This Row],[UDC]],TableMJRUSCRAR[],7,FALSE),"")</f>
        <v/>
      </c>
      <c r="AM333" s="66" t="str">
        <f>IFERROR(VLOOKUP(TableHandbook[[#This Row],[UDC]],TableMJRUTHTRA[],7,FALSE),"")</f>
        <v/>
      </c>
      <c r="AN333" s="66" t="str">
        <f>IFERROR(VLOOKUP(TableHandbook[[#This Row],[UDC]],TableMJRUTRHOS[],7,FALSE),"")</f>
        <v/>
      </c>
    </row>
    <row r="334" spans="1:40" x14ac:dyDescent="0.25">
      <c r="A334" s="8" t="s">
        <v>395</v>
      </c>
      <c r="B334" s="9">
        <v>2</v>
      </c>
      <c r="C334" s="8"/>
      <c r="D334" s="8" t="s">
        <v>897</v>
      </c>
      <c r="E334" s="9">
        <v>25</v>
      </c>
      <c r="F334" s="49" t="s">
        <v>543</v>
      </c>
      <c r="G334" s="67" t="str">
        <f>IFERROR(IF(VLOOKUP(TableHandbook[[#This Row],[UDC]],TableAvailabilities[],2,FALSE)&gt;0,"Y",""),"")</f>
        <v>Y</v>
      </c>
      <c r="H334" s="68" t="str">
        <f>IFERROR(IF(VLOOKUP(TableHandbook[[#This Row],[UDC]],TableAvailabilities[],3,FALSE)&gt;0,"Y",""),"")</f>
        <v/>
      </c>
      <c r="I334" s="69" t="str">
        <f>IFERROR(IF(VLOOKUP(TableHandbook[[#This Row],[UDC]],TableAvailabilities[],4,FALSE)&gt;0,"Y",""),"")</f>
        <v/>
      </c>
      <c r="J334" s="70" t="str">
        <f>IFERROR(IF(VLOOKUP(TableHandbook[[#This Row],[UDC]],TableAvailabilities[],5,FALSE)&gt;0,"Y",""),"")</f>
        <v/>
      </c>
      <c r="K334" s="164"/>
      <c r="L334" s="160" t="str">
        <f>IFERROR(VLOOKUP(TableHandbook[[#This Row],[UDC]],TableBARTS[],7,FALSE),"")</f>
        <v/>
      </c>
      <c r="M334" s="65" t="str">
        <f>IFERROR(VLOOKUP(TableHandbook[[#This Row],[UDC]],TableMJRUANTSO[],7,FALSE),"")</f>
        <v/>
      </c>
      <c r="N334" s="65" t="str">
        <f>IFERROR(VLOOKUP(TableHandbook[[#This Row],[UDC]],TableMJRUCHNSE[],7,FALSE),"")</f>
        <v/>
      </c>
      <c r="O334" s="65" t="str">
        <f>IFERROR(VLOOKUP(TableHandbook[[#This Row],[UDC]],TableMJRUCRWRI[],7,FALSE),"")</f>
        <v/>
      </c>
      <c r="P334" s="65" t="str">
        <f>IFERROR(VLOOKUP(TableHandbook[[#This Row],[UDC]],TableMJRUGEOGR[],7,FALSE),"")</f>
        <v/>
      </c>
      <c r="Q334" s="65" t="str">
        <f>IFERROR(VLOOKUP(TableHandbook[[#This Row],[UDC]],TableMJRUHISTR[],7,FALSE),"")</f>
        <v/>
      </c>
      <c r="R334" s="65" t="str">
        <f>IFERROR(VLOOKUP(TableHandbook[[#This Row],[UDC]],TableMJRUINAUC[],7,FALSE),"")</f>
        <v/>
      </c>
      <c r="S334" s="65" t="str">
        <f>IFERROR(VLOOKUP(TableHandbook[[#This Row],[UDC]],TableMJRUINTRL[],7,FALSE),"")</f>
        <v/>
      </c>
      <c r="T334" s="65" t="str">
        <f>IFERROR(VLOOKUP(TableHandbook[[#This Row],[UDC]],TableMJRUJAPAN[],7,FALSE),"")</f>
        <v/>
      </c>
      <c r="U334" s="65" t="str">
        <f>IFERROR(VLOOKUP(TableHandbook[[#This Row],[UDC]],TableMJRUJOURN[],7,FALSE),"")</f>
        <v/>
      </c>
      <c r="V334" s="65" t="str">
        <f>IFERROR(VLOOKUP(TableHandbook[[#This Row],[UDC]],TableMJRUKORES[],7,FALSE),"")</f>
        <v/>
      </c>
      <c r="W334" s="65" t="str">
        <f>IFERROR(VLOOKUP(TableHandbook[[#This Row],[UDC]],TableMJRULITCU[],7,FALSE),"")</f>
        <v/>
      </c>
      <c r="X334" s="65" t="str">
        <f>IFERROR(VLOOKUP(TableHandbook[[#This Row],[UDC]],TableMJRUNETCM[],7,FALSE),"")</f>
        <v/>
      </c>
      <c r="Y334" s="65" t="str">
        <f>IFERROR(VLOOKUP(TableHandbook[[#This Row],[UDC]],TableMJRUPRWRP[],7,FALSE),"")</f>
        <v/>
      </c>
      <c r="Z334" s="65" t="str">
        <f>IFERROR(VLOOKUP(TableHandbook[[#This Row],[UDC]],TableMJRUSCSTR[],7,FALSE),"")</f>
        <v/>
      </c>
      <c r="AA334" s="74"/>
      <c r="AB334" s="43" t="str">
        <f>IFERROR(VLOOKUP(TableHandbook[[#This Row],[UDC]],TableMJRUBSLAW[],7,FALSE),"")</f>
        <v/>
      </c>
      <c r="AC334" s="66" t="str">
        <f>IFERROR(VLOOKUP(TableHandbook[[#This Row],[UDC]],TableMJRUECONS[],7,FALSE),"")</f>
        <v/>
      </c>
      <c r="AD334" s="66" t="str">
        <f>IFERROR(VLOOKUP(TableHandbook[[#This Row],[UDC]],TableMJRUFINAR[],7,FALSE),"")</f>
        <v>Core</v>
      </c>
      <c r="AE334" s="66" t="str">
        <f>IFERROR(VLOOKUP(TableHandbook[[#This Row],[UDC]],TableMJRUFINCE[],7,FALSE),"")</f>
        <v/>
      </c>
      <c r="AF334" s="66" t="str">
        <f>IFERROR(VLOOKUP(TableHandbook[[#This Row],[UDC]],TableMJRUHRMGM[],7,FALSE),"")</f>
        <v/>
      </c>
      <c r="AG334" s="66" t="str">
        <f>IFERROR(VLOOKUP(TableHandbook[[#This Row],[UDC]],TableMJRUINTBU[],7,FALSE),"")</f>
        <v/>
      </c>
      <c r="AH334" s="66" t="str">
        <f>IFERROR(VLOOKUP(TableHandbook[[#This Row],[UDC]],TableMJRULGSCM[],7,FALSE),"")</f>
        <v/>
      </c>
      <c r="AI334" s="66" t="str">
        <f>IFERROR(VLOOKUP(TableHandbook[[#This Row],[UDC]],TableMJRUMNGMT[],7,FALSE),"")</f>
        <v/>
      </c>
      <c r="AJ334" s="66" t="str">
        <f>IFERROR(VLOOKUP(TableHandbook[[#This Row],[UDC]],TableMJRUMRKTG[],7,FALSE),"")</f>
        <v/>
      </c>
      <c r="AK334" s="66" t="str">
        <f>IFERROR(VLOOKUP(TableHandbook[[#This Row],[UDC]],TableMJRUPRPTY[],7,FALSE),"")</f>
        <v/>
      </c>
      <c r="AL334" s="66" t="str">
        <f>IFERROR(VLOOKUP(TableHandbook[[#This Row],[UDC]],TableMJRUSCRAR[],7,FALSE),"")</f>
        <v/>
      </c>
      <c r="AM334" s="66" t="str">
        <f>IFERROR(VLOOKUP(TableHandbook[[#This Row],[UDC]],TableMJRUTHTRA[],7,FALSE),"")</f>
        <v/>
      </c>
      <c r="AN334" s="66" t="str">
        <f>IFERROR(VLOOKUP(TableHandbook[[#This Row],[UDC]],TableMJRUTRHOS[],7,FALSE),"")</f>
        <v/>
      </c>
    </row>
    <row r="335" spans="1:40" x14ac:dyDescent="0.25">
      <c r="A335" s="8" t="s">
        <v>436</v>
      </c>
      <c r="B335" s="9">
        <v>2</v>
      </c>
      <c r="C335" s="8"/>
      <c r="D335" s="8" t="s">
        <v>898</v>
      </c>
      <c r="E335" s="9">
        <v>25</v>
      </c>
      <c r="F335" s="49" t="s">
        <v>899</v>
      </c>
      <c r="G335" s="67" t="str">
        <f>IFERROR(IF(VLOOKUP(TableHandbook[[#This Row],[UDC]],TableAvailabilities[],2,FALSE)&gt;0,"Y",""),"")</f>
        <v/>
      </c>
      <c r="H335" s="68" t="str">
        <f>IFERROR(IF(VLOOKUP(TableHandbook[[#This Row],[UDC]],TableAvailabilities[],3,FALSE)&gt;0,"Y",""),"")</f>
        <v/>
      </c>
      <c r="I335" s="69" t="str">
        <f>IFERROR(IF(VLOOKUP(TableHandbook[[#This Row],[UDC]],TableAvailabilities[],4,FALSE)&gt;0,"Y",""),"")</f>
        <v>Y</v>
      </c>
      <c r="J335" s="70" t="str">
        <f>IFERROR(IF(VLOOKUP(TableHandbook[[#This Row],[UDC]],TableAvailabilities[],5,FALSE)&gt;0,"Y",""),"")</f>
        <v/>
      </c>
      <c r="K335" s="164"/>
      <c r="L335" s="160" t="str">
        <f>IFERROR(VLOOKUP(TableHandbook[[#This Row],[UDC]],TableBARTS[],7,FALSE),"")</f>
        <v/>
      </c>
      <c r="M335" s="65" t="str">
        <f>IFERROR(VLOOKUP(TableHandbook[[#This Row],[UDC]],TableMJRUANTSO[],7,FALSE),"")</f>
        <v/>
      </c>
      <c r="N335" s="65" t="str">
        <f>IFERROR(VLOOKUP(TableHandbook[[#This Row],[UDC]],TableMJRUCHNSE[],7,FALSE),"")</f>
        <v/>
      </c>
      <c r="O335" s="65" t="str">
        <f>IFERROR(VLOOKUP(TableHandbook[[#This Row],[UDC]],TableMJRUCRWRI[],7,FALSE),"")</f>
        <v/>
      </c>
      <c r="P335" s="65" t="str">
        <f>IFERROR(VLOOKUP(TableHandbook[[#This Row],[UDC]],TableMJRUGEOGR[],7,FALSE),"")</f>
        <v/>
      </c>
      <c r="Q335" s="65" t="str">
        <f>IFERROR(VLOOKUP(TableHandbook[[#This Row],[UDC]],TableMJRUHISTR[],7,FALSE),"")</f>
        <v/>
      </c>
      <c r="R335" s="65" t="str">
        <f>IFERROR(VLOOKUP(TableHandbook[[#This Row],[UDC]],TableMJRUINAUC[],7,FALSE),"")</f>
        <v/>
      </c>
      <c r="S335" s="65" t="str">
        <f>IFERROR(VLOOKUP(TableHandbook[[#This Row],[UDC]],TableMJRUINTRL[],7,FALSE),"")</f>
        <v/>
      </c>
      <c r="T335" s="65" t="str">
        <f>IFERROR(VLOOKUP(TableHandbook[[#This Row],[UDC]],TableMJRUJAPAN[],7,FALSE),"")</f>
        <v/>
      </c>
      <c r="U335" s="65" t="str">
        <f>IFERROR(VLOOKUP(TableHandbook[[#This Row],[UDC]],TableMJRUJOURN[],7,FALSE),"")</f>
        <v/>
      </c>
      <c r="V335" s="65" t="str">
        <f>IFERROR(VLOOKUP(TableHandbook[[#This Row],[UDC]],TableMJRUKORES[],7,FALSE),"")</f>
        <v/>
      </c>
      <c r="W335" s="65" t="str">
        <f>IFERROR(VLOOKUP(TableHandbook[[#This Row],[UDC]],TableMJRULITCU[],7,FALSE),"")</f>
        <v/>
      </c>
      <c r="X335" s="65" t="str">
        <f>IFERROR(VLOOKUP(TableHandbook[[#This Row],[UDC]],TableMJRUNETCM[],7,FALSE),"")</f>
        <v/>
      </c>
      <c r="Y335" s="65" t="str">
        <f>IFERROR(VLOOKUP(TableHandbook[[#This Row],[UDC]],TableMJRUPRWRP[],7,FALSE),"")</f>
        <v/>
      </c>
      <c r="Z335" s="65" t="str">
        <f>IFERROR(VLOOKUP(TableHandbook[[#This Row],[UDC]],TableMJRUSCSTR[],7,FALSE),"")</f>
        <v/>
      </c>
      <c r="AA335" s="74"/>
      <c r="AB335" s="43" t="str">
        <f>IFERROR(VLOOKUP(TableHandbook[[#This Row],[UDC]],TableMJRUBSLAW[],7,FALSE),"")</f>
        <v/>
      </c>
      <c r="AC335" s="66" t="str">
        <f>IFERROR(VLOOKUP(TableHandbook[[#This Row],[UDC]],TableMJRUECONS[],7,FALSE),"")</f>
        <v/>
      </c>
      <c r="AD335" s="66" t="str">
        <f>IFERROR(VLOOKUP(TableHandbook[[#This Row],[UDC]],TableMJRUFINAR[],7,FALSE),"")</f>
        <v>Core</v>
      </c>
      <c r="AE335" s="66" t="str">
        <f>IFERROR(VLOOKUP(TableHandbook[[#This Row],[UDC]],TableMJRUFINCE[],7,FALSE),"")</f>
        <v/>
      </c>
      <c r="AF335" s="66" t="str">
        <f>IFERROR(VLOOKUP(TableHandbook[[#This Row],[UDC]],TableMJRUHRMGM[],7,FALSE),"")</f>
        <v/>
      </c>
      <c r="AG335" s="66" t="str">
        <f>IFERROR(VLOOKUP(TableHandbook[[#This Row],[UDC]],TableMJRUINTBU[],7,FALSE),"")</f>
        <v/>
      </c>
      <c r="AH335" s="66" t="str">
        <f>IFERROR(VLOOKUP(TableHandbook[[#This Row],[UDC]],TableMJRULGSCM[],7,FALSE),"")</f>
        <v/>
      </c>
      <c r="AI335" s="66" t="str">
        <f>IFERROR(VLOOKUP(TableHandbook[[#This Row],[UDC]],TableMJRUMNGMT[],7,FALSE),"")</f>
        <v/>
      </c>
      <c r="AJ335" s="66" t="str">
        <f>IFERROR(VLOOKUP(TableHandbook[[#This Row],[UDC]],TableMJRUMRKTG[],7,FALSE),"")</f>
        <v/>
      </c>
      <c r="AK335" s="66" t="str">
        <f>IFERROR(VLOOKUP(TableHandbook[[#This Row],[UDC]],TableMJRUPRPTY[],7,FALSE),"")</f>
        <v/>
      </c>
      <c r="AL335" s="66" t="str">
        <f>IFERROR(VLOOKUP(TableHandbook[[#This Row],[UDC]],TableMJRUSCRAR[],7,FALSE),"")</f>
        <v/>
      </c>
      <c r="AM335" s="66" t="str">
        <f>IFERROR(VLOOKUP(TableHandbook[[#This Row],[UDC]],TableMJRUTHTRA[],7,FALSE),"")</f>
        <v/>
      </c>
      <c r="AN335" s="66" t="str">
        <f>IFERROR(VLOOKUP(TableHandbook[[#This Row],[UDC]],TableMJRUTRHOS[],7,FALSE),"")</f>
        <v/>
      </c>
    </row>
    <row r="336" spans="1:40" x14ac:dyDescent="0.25">
      <c r="A336" s="8" t="s">
        <v>439</v>
      </c>
      <c r="B336" s="9">
        <v>2</v>
      </c>
      <c r="C336" s="8"/>
      <c r="D336" s="8" t="s">
        <v>900</v>
      </c>
      <c r="E336" s="9">
        <v>25</v>
      </c>
      <c r="F336" s="49" t="s">
        <v>901</v>
      </c>
      <c r="G336" s="67" t="str">
        <f>IFERROR(IF(VLOOKUP(TableHandbook[[#This Row],[UDC]],TableAvailabilities[],2,FALSE)&gt;0,"Y",""),"")</f>
        <v/>
      </c>
      <c r="H336" s="68" t="str">
        <f>IFERROR(IF(VLOOKUP(TableHandbook[[#This Row],[UDC]],TableAvailabilities[],3,FALSE)&gt;0,"Y",""),"")</f>
        <v/>
      </c>
      <c r="I336" s="69" t="str">
        <f>IFERROR(IF(VLOOKUP(TableHandbook[[#This Row],[UDC]],TableAvailabilities[],4,FALSE)&gt;0,"Y",""),"")</f>
        <v>Y</v>
      </c>
      <c r="J336" s="70" t="str">
        <f>IFERROR(IF(VLOOKUP(TableHandbook[[#This Row],[UDC]],TableAvailabilities[],5,FALSE)&gt;0,"Y",""),"")</f>
        <v/>
      </c>
      <c r="K336" s="164"/>
      <c r="L336" s="160" t="str">
        <f>IFERROR(VLOOKUP(TableHandbook[[#This Row],[UDC]],TableBARTS[],7,FALSE),"")</f>
        <v/>
      </c>
      <c r="M336" s="65" t="str">
        <f>IFERROR(VLOOKUP(TableHandbook[[#This Row],[UDC]],TableMJRUANTSO[],7,FALSE),"")</f>
        <v/>
      </c>
      <c r="N336" s="65" t="str">
        <f>IFERROR(VLOOKUP(TableHandbook[[#This Row],[UDC]],TableMJRUCHNSE[],7,FALSE),"")</f>
        <v/>
      </c>
      <c r="O336" s="65" t="str">
        <f>IFERROR(VLOOKUP(TableHandbook[[#This Row],[UDC]],TableMJRUCRWRI[],7,FALSE),"")</f>
        <v/>
      </c>
      <c r="P336" s="65" t="str">
        <f>IFERROR(VLOOKUP(TableHandbook[[#This Row],[UDC]],TableMJRUGEOGR[],7,FALSE),"")</f>
        <v/>
      </c>
      <c r="Q336" s="65" t="str">
        <f>IFERROR(VLOOKUP(TableHandbook[[#This Row],[UDC]],TableMJRUHISTR[],7,FALSE),"")</f>
        <v/>
      </c>
      <c r="R336" s="65" t="str">
        <f>IFERROR(VLOOKUP(TableHandbook[[#This Row],[UDC]],TableMJRUINAUC[],7,FALSE),"")</f>
        <v/>
      </c>
      <c r="S336" s="65" t="str">
        <f>IFERROR(VLOOKUP(TableHandbook[[#This Row],[UDC]],TableMJRUINTRL[],7,FALSE),"")</f>
        <v/>
      </c>
      <c r="T336" s="65" t="str">
        <f>IFERROR(VLOOKUP(TableHandbook[[#This Row],[UDC]],TableMJRUJAPAN[],7,FALSE),"")</f>
        <v/>
      </c>
      <c r="U336" s="65" t="str">
        <f>IFERROR(VLOOKUP(TableHandbook[[#This Row],[UDC]],TableMJRUJOURN[],7,FALSE),"")</f>
        <v/>
      </c>
      <c r="V336" s="65" t="str">
        <f>IFERROR(VLOOKUP(TableHandbook[[#This Row],[UDC]],TableMJRUKORES[],7,FALSE),"")</f>
        <v/>
      </c>
      <c r="W336" s="65" t="str">
        <f>IFERROR(VLOOKUP(TableHandbook[[#This Row],[UDC]],TableMJRULITCU[],7,FALSE),"")</f>
        <v/>
      </c>
      <c r="X336" s="65" t="str">
        <f>IFERROR(VLOOKUP(TableHandbook[[#This Row],[UDC]],TableMJRUNETCM[],7,FALSE),"")</f>
        <v/>
      </c>
      <c r="Y336" s="65" t="str">
        <f>IFERROR(VLOOKUP(TableHandbook[[#This Row],[UDC]],TableMJRUPRWRP[],7,FALSE),"")</f>
        <v/>
      </c>
      <c r="Z336" s="65" t="str">
        <f>IFERROR(VLOOKUP(TableHandbook[[#This Row],[UDC]],TableMJRUSCSTR[],7,FALSE),"")</f>
        <v/>
      </c>
      <c r="AA336" s="74"/>
      <c r="AB336" s="43" t="str">
        <f>IFERROR(VLOOKUP(TableHandbook[[#This Row],[UDC]],TableMJRUBSLAW[],7,FALSE),"")</f>
        <v/>
      </c>
      <c r="AC336" s="66" t="str">
        <f>IFERROR(VLOOKUP(TableHandbook[[#This Row],[UDC]],TableMJRUECONS[],7,FALSE),"")</f>
        <v/>
      </c>
      <c r="AD336" s="66" t="str">
        <f>IFERROR(VLOOKUP(TableHandbook[[#This Row],[UDC]],TableMJRUFINAR[],7,FALSE),"")</f>
        <v>Core</v>
      </c>
      <c r="AE336" s="66" t="str">
        <f>IFERROR(VLOOKUP(TableHandbook[[#This Row],[UDC]],TableMJRUFINCE[],7,FALSE),"")</f>
        <v/>
      </c>
      <c r="AF336" s="66" t="str">
        <f>IFERROR(VLOOKUP(TableHandbook[[#This Row],[UDC]],TableMJRUHRMGM[],7,FALSE),"")</f>
        <v/>
      </c>
      <c r="AG336" s="66" t="str">
        <f>IFERROR(VLOOKUP(TableHandbook[[#This Row],[UDC]],TableMJRUINTBU[],7,FALSE),"")</f>
        <v/>
      </c>
      <c r="AH336" s="66" t="str">
        <f>IFERROR(VLOOKUP(TableHandbook[[#This Row],[UDC]],TableMJRULGSCM[],7,FALSE),"")</f>
        <v/>
      </c>
      <c r="AI336" s="66" t="str">
        <f>IFERROR(VLOOKUP(TableHandbook[[#This Row],[UDC]],TableMJRUMNGMT[],7,FALSE),"")</f>
        <v/>
      </c>
      <c r="AJ336" s="66" t="str">
        <f>IFERROR(VLOOKUP(TableHandbook[[#This Row],[UDC]],TableMJRUMRKTG[],7,FALSE),"")</f>
        <v/>
      </c>
      <c r="AK336" s="66" t="str">
        <f>IFERROR(VLOOKUP(TableHandbook[[#This Row],[UDC]],TableMJRUPRPTY[],7,FALSE),"")</f>
        <v/>
      </c>
      <c r="AL336" s="66" t="str">
        <f>IFERROR(VLOOKUP(TableHandbook[[#This Row],[UDC]],TableMJRUSCRAR[],7,FALSE),"")</f>
        <v/>
      </c>
      <c r="AM336" s="66" t="str">
        <f>IFERROR(VLOOKUP(TableHandbook[[#This Row],[UDC]],TableMJRUTHTRA[],7,FALSE),"")</f>
        <v/>
      </c>
      <c r="AN336" s="66" t="str">
        <f>IFERROR(VLOOKUP(TableHandbook[[#This Row],[UDC]],TableMJRUTRHOS[],7,FALSE),"")</f>
        <v/>
      </c>
    </row>
    <row r="337" spans="1:40" x14ac:dyDescent="0.25">
      <c r="A337" s="8" t="s">
        <v>416</v>
      </c>
      <c r="B337" s="9">
        <v>2</v>
      </c>
      <c r="C337" s="8"/>
      <c r="D337" s="8" t="s">
        <v>902</v>
      </c>
      <c r="E337" s="9">
        <v>25</v>
      </c>
      <c r="F337" s="49" t="s">
        <v>543</v>
      </c>
      <c r="G337" s="67" t="str">
        <f>IFERROR(IF(VLOOKUP(TableHandbook[[#This Row],[UDC]],TableAvailabilities[],2,FALSE)&gt;0,"Y",""),"")</f>
        <v>Y</v>
      </c>
      <c r="H337" s="68" t="str">
        <f>IFERROR(IF(VLOOKUP(TableHandbook[[#This Row],[UDC]],TableAvailabilities[],3,FALSE)&gt;0,"Y",""),"")</f>
        <v/>
      </c>
      <c r="I337" s="69" t="str">
        <f>IFERROR(IF(VLOOKUP(TableHandbook[[#This Row],[UDC]],TableAvailabilities[],4,FALSE)&gt;0,"Y",""),"")</f>
        <v/>
      </c>
      <c r="J337" s="70" t="str">
        <f>IFERROR(IF(VLOOKUP(TableHandbook[[#This Row],[UDC]],TableAvailabilities[],5,FALSE)&gt;0,"Y",""),"")</f>
        <v/>
      </c>
      <c r="K337" s="164"/>
      <c r="L337" s="160" t="str">
        <f>IFERROR(VLOOKUP(TableHandbook[[#This Row],[UDC]],TableBARTS[],7,FALSE),"")</f>
        <v/>
      </c>
      <c r="M337" s="65" t="str">
        <f>IFERROR(VLOOKUP(TableHandbook[[#This Row],[UDC]],TableMJRUANTSO[],7,FALSE),"")</f>
        <v/>
      </c>
      <c r="N337" s="65" t="str">
        <f>IFERROR(VLOOKUP(TableHandbook[[#This Row],[UDC]],TableMJRUCHNSE[],7,FALSE),"")</f>
        <v/>
      </c>
      <c r="O337" s="65" t="str">
        <f>IFERROR(VLOOKUP(TableHandbook[[#This Row],[UDC]],TableMJRUCRWRI[],7,FALSE),"")</f>
        <v/>
      </c>
      <c r="P337" s="65" t="str">
        <f>IFERROR(VLOOKUP(TableHandbook[[#This Row],[UDC]],TableMJRUGEOGR[],7,FALSE),"")</f>
        <v/>
      </c>
      <c r="Q337" s="65" t="str">
        <f>IFERROR(VLOOKUP(TableHandbook[[#This Row],[UDC]],TableMJRUHISTR[],7,FALSE),"")</f>
        <v/>
      </c>
      <c r="R337" s="65" t="str">
        <f>IFERROR(VLOOKUP(TableHandbook[[#This Row],[UDC]],TableMJRUINAUC[],7,FALSE),"")</f>
        <v/>
      </c>
      <c r="S337" s="65" t="str">
        <f>IFERROR(VLOOKUP(TableHandbook[[#This Row],[UDC]],TableMJRUINTRL[],7,FALSE),"")</f>
        <v/>
      </c>
      <c r="T337" s="65" t="str">
        <f>IFERROR(VLOOKUP(TableHandbook[[#This Row],[UDC]],TableMJRUJAPAN[],7,FALSE),"")</f>
        <v/>
      </c>
      <c r="U337" s="65" t="str">
        <f>IFERROR(VLOOKUP(TableHandbook[[#This Row],[UDC]],TableMJRUJOURN[],7,FALSE),"")</f>
        <v/>
      </c>
      <c r="V337" s="65" t="str">
        <f>IFERROR(VLOOKUP(TableHandbook[[#This Row],[UDC]],TableMJRUKORES[],7,FALSE),"")</f>
        <v/>
      </c>
      <c r="W337" s="65" t="str">
        <f>IFERROR(VLOOKUP(TableHandbook[[#This Row],[UDC]],TableMJRULITCU[],7,FALSE),"")</f>
        <v/>
      </c>
      <c r="X337" s="65" t="str">
        <f>IFERROR(VLOOKUP(TableHandbook[[#This Row],[UDC]],TableMJRUNETCM[],7,FALSE),"")</f>
        <v/>
      </c>
      <c r="Y337" s="65" t="str">
        <f>IFERROR(VLOOKUP(TableHandbook[[#This Row],[UDC]],TableMJRUPRWRP[],7,FALSE),"")</f>
        <v/>
      </c>
      <c r="Z337" s="65" t="str">
        <f>IFERROR(VLOOKUP(TableHandbook[[#This Row],[UDC]],TableMJRUSCSTR[],7,FALSE),"")</f>
        <v/>
      </c>
      <c r="AA337" s="74"/>
      <c r="AB337" s="43" t="str">
        <f>IFERROR(VLOOKUP(TableHandbook[[#This Row],[UDC]],TableMJRUBSLAW[],7,FALSE),"")</f>
        <v/>
      </c>
      <c r="AC337" s="66" t="str">
        <f>IFERROR(VLOOKUP(TableHandbook[[#This Row],[UDC]],TableMJRUECONS[],7,FALSE),"")</f>
        <v/>
      </c>
      <c r="AD337" s="66" t="str">
        <f>IFERROR(VLOOKUP(TableHandbook[[#This Row],[UDC]],TableMJRUFINAR[],7,FALSE),"")</f>
        <v>Core</v>
      </c>
      <c r="AE337" s="66" t="str">
        <f>IFERROR(VLOOKUP(TableHandbook[[#This Row],[UDC]],TableMJRUFINCE[],7,FALSE),"")</f>
        <v/>
      </c>
      <c r="AF337" s="66" t="str">
        <f>IFERROR(VLOOKUP(TableHandbook[[#This Row],[UDC]],TableMJRUHRMGM[],7,FALSE),"")</f>
        <v/>
      </c>
      <c r="AG337" s="66" t="str">
        <f>IFERROR(VLOOKUP(TableHandbook[[#This Row],[UDC]],TableMJRUINTBU[],7,FALSE),"")</f>
        <v/>
      </c>
      <c r="AH337" s="66" t="str">
        <f>IFERROR(VLOOKUP(TableHandbook[[#This Row],[UDC]],TableMJRULGSCM[],7,FALSE),"")</f>
        <v/>
      </c>
      <c r="AI337" s="66" t="str">
        <f>IFERROR(VLOOKUP(TableHandbook[[#This Row],[UDC]],TableMJRUMNGMT[],7,FALSE),"")</f>
        <v/>
      </c>
      <c r="AJ337" s="66" t="str">
        <f>IFERROR(VLOOKUP(TableHandbook[[#This Row],[UDC]],TableMJRUMRKTG[],7,FALSE),"")</f>
        <v/>
      </c>
      <c r="AK337" s="66" t="str">
        <f>IFERROR(VLOOKUP(TableHandbook[[#This Row],[UDC]],TableMJRUPRPTY[],7,FALSE),"")</f>
        <v/>
      </c>
      <c r="AL337" s="66" t="str">
        <f>IFERROR(VLOOKUP(TableHandbook[[#This Row],[UDC]],TableMJRUSCRAR[],7,FALSE),"")</f>
        <v/>
      </c>
      <c r="AM337" s="66" t="str">
        <f>IFERROR(VLOOKUP(TableHandbook[[#This Row],[UDC]],TableMJRUTHTRA[],7,FALSE),"")</f>
        <v/>
      </c>
      <c r="AN337" s="66" t="str">
        <f>IFERROR(VLOOKUP(TableHandbook[[#This Row],[UDC]],TableMJRUTRHOS[],7,FALSE),"")</f>
        <v/>
      </c>
    </row>
    <row r="338" spans="1:40" x14ac:dyDescent="0.25">
      <c r="A338" s="8" t="s">
        <v>489</v>
      </c>
      <c r="B338" s="9">
        <v>2</v>
      </c>
      <c r="C338" s="8"/>
      <c r="D338" s="8" t="s">
        <v>903</v>
      </c>
      <c r="E338" s="9">
        <v>25</v>
      </c>
      <c r="F338" s="49" t="s">
        <v>526</v>
      </c>
      <c r="G338" s="67" t="str">
        <f>IFERROR(IF(VLOOKUP(TableHandbook[[#This Row],[UDC]],TableAvailabilities[],2,FALSE)&gt;0,"Y",""),"")</f>
        <v>Y</v>
      </c>
      <c r="H338" s="68" t="str">
        <f>IFERROR(IF(VLOOKUP(TableHandbook[[#This Row],[UDC]],TableAvailabilities[],3,FALSE)&gt;0,"Y",""),"")</f>
        <v/>
      </c>
      <c r="I338" s="69" t="str">
        <f>IFERROR(IF(VLOOKUP(TableHandbook[[#This Row],[UDC]],TableAvailabilities[],4,FALSE)&gt;0,"Y",""),"")</f>
        <v>Y</v>
      </c>
      <c r="J338" s="70" t="str">
        <f>IFERROR(IF(VLOOKUP(TableHandbook[[#This Row],[UDC]],TableAvailabilities[],5,FALSE)&gt;0,"Y",""),"")</f>
        <v/>
      </c>
      <c r="K338" s="164"/>
      <c r="L338" s="160" t="str">
        <f>IFERROR(VLOOKUP(TableHandbook[[#This Row],[UDC]],TableBARTS[],7,FALSE),"")</f>
        <v/>
      </c>
      <c r="M338" s="65" t="str">
        <f>IFERROR(VLOOKUP(TableHandbook[[#This Row],[UDC]],TableMJRUANTSO[],7,FALSE),"")</f>
        <v/>
      </c>
      <c r="N338" s="65" t="str">
        <f>IFERROR(VLOOKUP(TableHandbook[[#This Row],[UDC]],TableMJRUCHNSE[],7,FALSE),"")</f>
        <v/>
      </c>
      <c r="O338" s="65" t="str">
        <f>IFERROR(VLOOKUP(TableHandbook[[#This Row],[UDC]],TableMJRUCRWRI[],7,FALSE),"")</f>
        <v/>
      </c>
      <c r="P338" s="65" t="str">
        <f>IFERROR(VLOOKUP(TableHandbook[[#This Row],[UDC]],TableMJRUGEOGR[],7,FALSE),"")</f>
        <v/>
      </c>
      <c r="Q338" s="65" t="str">
        <f>IFERROR(VLOOKUP(TableHandbook[[#This Row],[UDC]],TableMJRUHISTR[],7,FALSE),"")</f>
        <v/>
      </c>
      <c r="R338" s="65" t="str">
        <f>IFERROR(VLOOKUP(TableHandbook[[#This Row],[UDC]],TableMJRUINAUC[],7,FALSE),"")</f>
        <v/>
      </c>
      <c r="S338" s="65" t="str">
        <f>IFERROR(VLOOKUP(TableHandbook[[#This Row],[UDC]],TableMJRUINTRL[],7,FALSE),"")</f>
        <v/>
      </c>
      <c r="T338" s="65" t="str">
        <f>IFERROR(VLOOKUP(TableHandbook[[#This Row],[UDC]],TableMJRUJAPAN[],7,FALSE),"")</f>
        <v/>
      </c>
      <c r="U338" s="65" t="str">
        <f>IFERROR(VLOOKUP(TableHandbook[[#This Row],[UDC]],TableMJRUJOURN[],7,FALSE),"")</f>
        <v/>
      </c>
      <c r="V338" s="65" t="str">
        <f>IFERROR(VLOOKUP(TableHandbook[[#This Row],[UDC]],TableMJRUKORES[],7,FALSE),"")</f>
        <v/>
      </c>
      <c r="W338" s="65" t="str">
        <f>IFERROR(VLOOKUP(TableHandbook[[#This Row],[UDC]],TableMJRULITCU[],7,FALSE),"")</f>
        <v/>
      </c>
      <c r="X338" s="65" t="str">
        <f>IFERROR(VLOOKUP(TableHandbook[[#This Row],[UDC]],TableMJRUNETCM[],7,FALSE),"")</f>
        <v/>
      </c>
      <c r="Y338" s="65" t="str">
        <f>IFERROR(VLOOKUP(TableHandbook[[#This Row],[UDC]],TableMJRUPRWRP[],7,FALSE),"")</f>
        <v/>
      </c>
      <c r="Z338" s="65" t="str">
        <f>IFERROR(VLOOKUP(TableHandbook[[#This Row],[UDC]],TableMJRUSCSTR[],7,FALSE),"")</f>
        <v/>
      </c>
      <c r="AA338" s="74"/>
      <c r="AB338" s="43" t="str">
        <f>IFERROR(VLOOKUP(TableHandbook[[#This Row],[UDC]],TableMJRUBSLAW[],7,FALSE),"")</f>
        <v/>
      </c>
      <c r="AC338" s="66" t="str">
        <f>IFERROR(VLOOKUP(TableHandbook[[#This Row],[UDC]],TableMJRUECONS[],7,FALSE),"")</f>
        <v/>
      </c>
      <c r="AD338" s="66" t="str">
        <f>IFERROR(VLOOKUP(TableHandbook[[#This Row],[UDC]],TableMJRUFINAR[],7,FALSE),"")</f>
        <v/>
      </c>
      <c r="AE338" s="66" t="str">
        <f>IFERROR(VLOOKUP(TableHandbook[[#This Row],[UDC]],TableMJRUFINCE[],7,FALSE),"")</f>
        <v/>
      </c>
      <c r="AF338" s="66" t="str">
        <f>IFERROR(VLOOKUP(TableHandbook[[#This Row],[UDC]],TableMJRUHRMGM[],7,FALSE),"")</f>
        <v/>
      </c>
      <c r="AG338" s="66" t="str">
        <f>IFERROR(VLOOKUP(TableHandbook[[#This Row],[UDC]],TableMJRUINTBU[],7,FALSE),"")</f>
        <v/>
      </c>
      <c r="AH338" s="66" t="str">
        <f>IFERROR(VLOOKUP(TableHandbook[[#This Row],[UDC]],TableMJRULGSCM[],7,FALSE),"")</f>
        <v/>
      </c>
      <c r="AI338" s="66" t="str">
        <f>IFERROR(VLOOKUP(TableHandbook[[#This Row],[UDC]],TableMJRUMNGMT[],7,FALSE),"")</f>
        <v/>
      </c>
      <c r="AJ338" s="66" t="str">
        <f>IFERROR(VLOOKUP(TableHandbook[[#This Row],[UDC]],TableMJRUMRKTG[],7,FALSE),"")</f>
        <v/>
      </c>
      <c r="AK338" s="66" t="str">
        <f>IFERROR(VLOOKUP(TableHandbook[[#This Row],[UDC]],TableMJRUPRPTY[],7,FALSE),"")</f>
        <v/>
      </c>
      <c r="AL338" s="66" t="str">
        <f>IFERROR(VLOOKUP(TableHandbook[[#This Row],[UDC]],TableMJRUSCRAR[],7,FALSE),"")</f>
        <v>Option</v>
      </c>
      <c r="AM338" s="66" t="str">
        <f>IFERROR(VLOOKUP(TableHandbook[[#This Row],[UDC]],TableMJRUTHTRA[],7,FALSE),"")</f>
        <v>Option</v>
      </c>
      <c r="AN338" s="66" t="str">
        <f>IFERROR(VLOOKUP(TableHandbook[[#This Row],[UDC]],TableMJRUTRHOS[],7,FALSE),"")</f>
        <v/>
      </c>
    </row>
    <row r="339" spans="1:40" x14ac:dyDescent="0.25">
      <c r="A339" s="8" t="s">
        <v>474</v>
      </c>
      <c r="B339" s="9">
        <v>2</v>
      </c>
      <c r="C339" s="8"/>
      <c r="D339" s="8" t="s">
        <v>904</v>
      </c>
      <c r="E339" s="9">
        <v>25</v>
      </c>
      <c r="F339" s="49" t="s">
        <v>905</v>
      </c>
      <c r="G339" s="67" t="str">
        <f>IFERROR(IF(VLOOKUP(TableHandbook[[#This Row],[UDC]],TableAvailabilities[],2,FALSE)&gt;0,"Y",""),"")</f>
        <v>Y</v>
      </c>
      <c r="H339" s="68" t="str">
        <f>IFERROR(IF(VLOOKUP(TableHandbook[[#This Row],[UDC]],TableAvailabilities[],3,FALSE)&gt;0,"Y",""),"")</f>
        <v/>
      </c>
      <c r="I339" s="69" t="str">
        <f>IFERROR(IF(VLOOKUP(TableHandbook[[#This Row],[UDC]],TableAvailabilities[],4,FALSE)&gt;0,"Y",""),"")</f>
        <v/>
      </c>
      <c r="J339" s="70" t="str">
        <f>IFERROR(IF(VLOOKUP(TableHandbook[[#This Row],[UDC]],TableAvailabilities[],5,FALSE)&gt;0,"Y",""),"")</f>
        <v/>
      </c>
      <c r="K339" s="164"/>
      <c r="L339" s="160" t="str">
        <f>IFERROR(VLOOKUP(TableHandbook[[#This Row],[UDC]],TableBARTS[],7,FALSE),"")</f>
        <v/>
      </c>
      <c r="M339" s="65" t="str">
        <f>IFERROR(VLOOKUP(TableHandbook[[#This Row],[UDC]],TableMJRUANTSO[],7,FALSE),"")</f>
        <v/>
      </c>
      <c r="N339" s="65" t="str">
        <f>IFERROR(VLOOKUP(TableHandbook[[#This Row],[UDC]],TableMJRUCHNSE[],7,FALSE),"")</f>
        <v/>
      </c>
      <c r="O339" s="65" t="str">
        <f>IFERROR(VLOOKUP(TableHandbook[[#This Row],[UDC]],TableMJRUCRWRI[],7,FALSE),"")</f>
        <v/>
      </c>
      <c r="P339" s="65" t="str">
        <f>IFERROR(VLOOKUP(TableHandbook[[#This Row],[UDC]],TableMJRUGEOGR[],7,FALSE),"")</f>
        <v/>
      </c>
      <c r="Q339" s="65" t="str">
        <f>IFERROR(VLOOKUP(TableHandbook[[#This Row],[UDC]],TableMJRUHISTR[],7,FALSE),"")</f>
        <v/>
      </c>
      <c r="R339" s="65" t="str">
        <f>IFERROR(VLOOKUP(TableHandbook[[#This Row],[UDC]],TableMJRUINAUC[],7,FALSE),"")</f>
        <v/>
      </c>
      <c r="S339" s="65" t="str">
        <f>IFERROR(VLOOKUP(TableHandbook[[#This Row],[UDC]],TableMJRUINTRL[],7,FALSE),"")</f>
        <v/>
      </c>
      <c r="T339" s="65" t="str">
        <f>IFERROR(VLOOKUP(TableHandbook[[#This Row],[UDC]],TableMJRUJAPAN[],7,FALSE),"")</f>
        <v/>
      </c>
      <c r="U339" s="65" t="str">
        <f>IFERROR(VLOOKUP(TableHandbook[[#This Row],[UDC]],TableMJRUJOURN[],7,FALSE),"")</f>
        <v/>
      </c>
      <c r="V339" s="65" t="str">
        <f>IFERROR(VLOOKUP(TableHandbook[[#This Row],[UDC]],TableMJRUKORES[],7,FALSE),"")</f>
        <v/>
      </c>
      <c r="W339" s="65" t="str">
        <f>IFERROR(VLOOKUP(TableHandbook[[#This Row],[UDC]],TableMJRULITCU[],7,FALSE),"")</f>
        <v/>
      </c>
      <c r="X339" s="65" t="str">
        <f>IFERROR(VLOOKUP(TableHandbook[[#This Row],[UDC]],TableMJRUNETCM[],7,FALSE),"")</f>
        <v/>
      </c>
      <c r="Y339" s="65" t="str">
        <f>IFERROR(VLOOKUP(TableHandbook[[#This Row],[UDC]],TableMJRUPRWRP[],7,FALSE),"")</f>
        <v/>
      </c>
      <c r="Z339" s="65" t="str">
        <f>IFERROR(VLOOKUP(TableHandbook[[#This Row],[UDC]],TableMJRUSCSTR[],7,FALSE),"")</f>
        <v/>
      </c>
      <c r="AA339" s="74"/>
      <c r="AB339" s="43" t="str">
        <f>IFERROR(VLOOKUP(TableHandbook[[#This Row],[UDC]],TableMJRUBSLAW[],7,FALSE),"")</f>
        <v/>
      </c>
      <c r="AC339" s="66" t="str">
        <f>IFERROR(VLOOKUP(TableHandbook[[#This Row],[UDC]],TableMJRUECONS[],7,FALSE),"")</f>
        <v/>
      </c>
      <c r="AD339" s="66" t="str">
        <f>IFERROR(VLOOKUP(TableHandbook[[#This Row],[UDC]],TableMJRUFINAR[],7,FALSE),"")</f>
        <v>Core</v>
      </c>
      <c r="AE339" s="66" t="str">
        <f>IFERROR(VLOOKUP(TableHandbook[[#This Row],[UDC]],TableMJRUFINCE[],7,FALSE),"")</f>
        <v/>
      </c>
      <c r="AF339" s="66" t="str">
        <f>IFERROR(VLOOKUP(TableHandbook[[#This Row],[UDC]],TableMJRUHRMGM[],7,FALSE),"")</f>
        <v/>
      </c>
      <c r="AG339" s="66" t="str">
        <f>IFERROR(VLOOKUP(TableHandbook[[#This Row],[UDC]],TableMJRUINTBU[],7,FALSE),"")</f>
        <v/>
      </c>
      <c r="AH339" s="66" t="str">
        <f>IFERROR(VLOOKUP(TableHandbook[[#This Row],[UDC]],TableMJRULGSCM[],7,FALSE),"")</f>
        <v/>
      </c>
      <c r="AI339" s="66" t="str">
        <f>IFERROR(VLOOKUP(TableHandbook[[#This Row],[UDC]],TableMJRUMNGMT[],7,FALSE),"")</f>
        <v/>
      </c>
      <c r="AJ339" s="66" t="str">
        <f>IFERROR(VLOOKUP(TableHandbook[[#This Row],[UDC]],TableMJRUMRKTG[],7,FALSE),"")</f>
        <v/>
      </c>
      <c r="AK339" s="66" t="str">
        <f>IFERROR(VLOOKUP(TableHandbook[[#This Row],[UDC]],TableMJRUPRPTY[],7,FALSE),"")</f>
        <v/>
      </c>
      <c r="AL339" s="66" t="str">
        <f>IFERROR(VLOOKUP(TableHandbook[[#This Row],[UDC]],TableMJRUSCRAR[],7,FALSE),"")</f>
        <v/>
      </c>
      <c r="AM339" s="66" t="str">
        <f>IFERROR(VLOOKUP(TableHandbook[[#This Row],[UDC]],TableMJRUTHTRA[],7,FALSE),"")</f>
        <v/>
      </c>
      <c r="AN339" s="66" t="str">
        <f>IFERROR(VLOOKUP(TableHandbook[[#This Row],[UDC]],TableMJRUTRHOS[],7,FALSE),"")</f>
        <v/>
      </c>
    </row>
    <row r="340" spans="1:40" x14ac:dyDescent="0.25">
      <c r="A340" s="8" t="s">
        <v>445</v>
      </c>
      <c r="B340" s="9">
        <v>2</v>
      </c>
      <c r="C340" s="8"/>
      <c r="D340" s="8" t="s">
        <v>906</v>
      </c>
      <c r="E340" s="9">
        <v>25</v>
      </c>
      <c r="F340" s="49" t="s">
        <v>907</v>
      </c>
      <c r="G340" s="67" t="str">
        <f>IFERROR(IF(VLOOKUP(TableHandbook[[#This Row],[UDC]],TableAvailabilities[],2,FALSE)&gt;0,"Y",""),"")</f>
        <v>Y</v>
      </c>
      <c r="H340" s="68" t="str">
        <f>IFERROR(IF(VLOOKUP(TableHandbook[[#This Row],[UDC]],TableAvailabilities[],3,FALSE)&gt;0,"Y",""),"")</f>
        <v/>
      </c>
      <c r="I340" s="69" t="str">
        <f>IFERROR(IF(VLOOKUP(TableHandbook[[#This Row],[UDC]],TableAvailabilities[],4,FALSE)&gt;0,"Y",""),"")</f>
        <v/>
      </c>
      <c r="J340" s="70" t="str">
        <f>IFERROR(IF(VLOOKUP(TableHandbook[[#This Row],[UDC]],TableAvailabilities[],5,FALSE)&gt;0,"Y",""),"")</f>
        <v/>
      </c>
      <c r="K340" s="164"/>
      <c r="L340" s="160" t="str">
        <f>IFERROR(VLOOKUP(TableHandbook[[#This Row],[UDC]],TableBARTS[],7,FALSE),"")</f>
        <v/>
      </c>
      <c r="M340" s="65" t="str">
        <f>IFERROR(VLOOKUP(TableHandbook[[#This Row],[UDC]],TableMJRUANTSO[],7,FALSE),"")</f>
        <v/>
      </c>
      <c r="N340" s="65" t="str">
        <f>IFERROR(VLOOKUP(TableHandbook[[#This Row],[UDC]],TableMJRUCHNSE[],7,FALSE),"")</f>
        <v/>
      </c>
      <c r="O340" s="65" t="str">
        <f>IFERROR(VLOOKUP(TableHandbook[[#This Row],[UDC]],TableMJRUCRWRI[],7,FALSE),"")</f>
        <v/>
      </c>
      <c r="P340" s="65" t="str">
        <f>IFERROR(VLOOKUP(TableHandbook[[#This Row],[UDC]],TableMJRUGEOGR[],7,FALSE),"")</f>
        <v/>
      </c>
      <c r="Q340" s="65" t="str">
        <f>IFERROR(VLOOKUP(TableHandbook[[#This Row],[UDC]],TableMJRUHISTR[],7,FALSE),"")</f>
        <v/>
      </c>
      <c r="R340" s="65" t="str">
        <f>IFERROR(VLOOKUP(TableHandbook[[#This Row],[UDC]],TableMJRUINAUC[],7,FALSE),"")</f>
        <v/>
      </c>
      <c r="S340" s="65" t="str">
        <f>IFERROR(VLOOKUP(TableHandbook[[#This Row],[UDC]],TableMJRUINTRL[],7,FALSE),"")</f>
        <v/>
      </c>
      <c r="T340" s="65" t="str">
        <f>IFERROR(VLOOKUP(TableHandbook[[#This Row],[UDC]],TableMJRUJAPAN[],7,FALSE),"")</f>
        <v/>
      </c>
      <c r="U340" s="65" t="str">
        <f>IFERROR(VLOOKUP(TableHandbook[[#This Row],[UDC]],TableMJRUJOURN[],7,FALSE),"")</f>
        <v/>
      </c>
      <c r="V340" s="65" t="str">
        <f>IFERROR(VLOOKUP(TableHandbook[[#This Row],[UDC]],TableMJRUKORES[],7,FALSE),"")</f>
        <v/>
      </c>
      <c r="W340" s="65" t="str">
        <f>IFERROR(VLOOKUP(TableHandbook[[#This Row],[UDC]],TableMJRULITCU[],7,FALSE),"")</f>
        <v/>
      </c>
      <c r="X340" s="65" t="str">
        <f>IFERROR(VLOOKUP(TableHandbook[[#This Row],[UDC]],TableMJRUNETCM[],7,FALSE),"")</f>
        <v/>
      </c>
      <c r="Y340" s="65" t="str">
        <f>IFERROR(VLOOKUP(TableHandbook[[#This Row],[UDC]],TableMJRUPRWRP[],7,FALSE),"")</f>
        <v/>
      </c>
      <c r="Z340" s="65" t="str">
        <f>IFERROR(VLOOKUP(TableHandbook[[#This Row],[UDC]],TableMJRUSCSTR[],7,FALSE),"")</f>
        <v/>
      </c>
      <c r="AA340" s="74"/>
      <c r="AB340" s="43" t="str">
        <f>IFERROR(VLOOKUP(TableHandbook[[#This Row],[UDC]],TableMJRUBSLAW[],7,FALSE),"")</f>
        <v/>
      </c>
      <c r="AC340" s="66" t="str">
        <f>IFERROR(VLOOKUP(TableHandbook[[#This Row],[UDC]],TableMJRUECONS[],7,FALSE),"")</f>
        <v/>
      </c>
      <c r="AD340" s="66" t="str">
        <f>IFERROR(VLOOKUP(TableHandbook[[#This Row],[UDC]],TableMJRUFINAR[],7,FALSE),"")</f>
        <v>Core</v>
      </c>
      <c r="AE340" s="66" t="str">
        <f>IFERROR(VLOOKUP(TableHandbook[[#This Row],[UDC]],TableMJRUFINCE[],7,FALSE),"")</f>
        <v/>
      </c>
      <c r="AF340" s="66" t="str">
        <f>IFERROR(VLOOKUP(TableHandbook[[#This Row],[UDC]],TableMJRUHRMGM[],7,FALSE),"")</f>
        <v/>
      </c>
      <c r="AG340" s="66" t="str">
        <f>IFERROR(VLOOKUP(TableHandbook[[#This Row],[UDC]],TableMJRUINTBU[],7,FALSE),"")</f>
        <v/>
      </c>
      <c r="AH340" s="66" t="str">
        <f>IFERROR(VLOOKUP(TableHandbook[[#This Row],[UDC]],TableMJRULGSCM[],7,FALSE),"")</f>
        <v/>
      </c>
      <c r="AI340" s="66" t="str">
        <f>IFERROR(VLOOKUP(TableHandbook[[#This Row],[UDC]],TableMJRUMNGMT[],7,FALSE),"")</f>
        <v/>
      </c>
      <c r="AJ340" s="66" t="str">
        <f>IFERROR(VLOOKUP(TableHandbook[[#This Row],[UDC]],TableMJRUMRKTG[],7,FALSE),"")</f>
        <v/>
      </c>
      <c r="AK340" s="66" t="str">
        <f>IFERROR(VLOOKUP(TableHandbook[[#This Row],[UDC]],TableMJRUPRPTY[],7,FALSE),"")</f>
        <v/>
      </c>
      <c r="AL340" s="66" t="str">
        <f>IFERROR(VLOOKUP(TableHandbook[[#This Row],[UDC]],TableMJRUSCRAR[],7,FALSE),"")</f>
        <v/>
      </c>
      <c r="AM340" s="66" t="str">
        <f>IFERROR(VLOOKUP(TableHandbook[[#This Row],[UDC]],TableMJRUTHTRA[],7,FALSE),"")</f>
        <v/>
      </c>
      <c r="AN340" s="66" t="str">
        <f>IFERROR(VLOOKUP(TableHandbook[[#This Row],[UDC]],TableMJRUTRHOS[],7,FALSE),"")</f>
        <v/>
      </c>
    </row>
    <row r="341" spans="1:40" x14ac:dyDescent="0.25">
      <c r="A341" s="8" t="s">
        <v>462</v>
      </c>
      <c r="B341" s="9">
        <v>2</v>
      </c>
      <c r="C341" s="8"/>
      <c r="D341" s="8" t="s">
        <v>908</v>
      </c>
      <c r="E341" s="9">
        <v>25</v>
      </c>
      <c r="F341" s="49" t="s">
        <v>436</v>
      </c>
      <c r="G341" s="82" t="str">
        <f>IFERROR(IF(VLOOKUP(TableHandbook[[#This Row],[UDC]],TableAvailabilities[],2,FALSE)&gt;0,"Y",""),"")</f>
        <v>Y</v>
      </c>
      <c r="H341" s="83" t="str">
        <f>IFERROR(IF(VLOOKUP(TableHandbook[[#This Row],[UDC]],TableAvailabilities[],3,FALSE)&gt;0,"Y",""),"")</f>
        <v/>
      </c>
      <c r="I341" s="84" t="str">
        <f>IFERROR(IF(VLOOKUP(TableHandbook[[#This Row],[UDC]],TableAvailabilities[],4,FALSE)&gt;0,"Y",""),"")</f>
        <v/>
      </c>
      <c r="J341" s="85" t="str">
        <f>IFERROR(IF(VLOOKUP(TableHandbook[[#This Row],[UDC]],TableAvailabilities[],5,FALSE)&gt;0,"Y",""),"")</f>
        <v/>
      </c>
      <c r="K341" s="168"/>
      <c r="L341" s="160" t="str">
        <f>IFERROR(VLOOKUP(TableHandbook[[#This Row],[UDC]],TableBARTS[],7,FALSE),"")</f>
        <v/>
      </c>
      <c r="M341" s="65" t="str">
        <f>IFERROR(VLOOKUP(TableHandbook[[#This Row],[UDC]],TableMJRUANTSO[],7,FALSE),"")</f>
        <v/>
      </c>
      <c r="N341" s="65" t="str">
        <f>IFERROR(VLOOKUP(TableHandbook[[#This Row],[UDC]],TableMJRUCHNSE[],7,FALSE),"")</f>
        <v/>
      </c>
      <c r="O341" s="65" t="str">
        <f>IFERROR(VLOOKUP(TableHandbook[[#This Row],[UDC]],TableMJRUCRWRI[],7,FALSE),"")</f>
        <v/>
      </c>
      <c r="P341" s="65" t="str">
        <f>IFERROR(VLOOKUP(TableHandbook[[#This Row],[UDC]],TableMJRUGEOGR[],7,FALSE),"")</f>
        <v/>
      </c>
      <c r="Q341" s="65" t="str">
        <f>IFERROR(VLOOKUP(TableHandbook[[#This Row],[UDC]],TableMJRUHISTR[],7,FALSE),"")</f>
        <v/>
      </c>
      <c r="R341" s="65" t="str">
        <f>IFERROR(VLOOKUP(TableHandbook[[#This Row],[UDC]],TableMJRUINAUC[],7,FALSE),"")</f>
        <v/>
      </c>
      <c r="S341" s="65" t="str">
        <f>IFERROR(VLOOKUP(TableHandbook[[#This Row],[UDC]],TableMJRUINTRL[],7,FALSE),"")</f>
        <v/>
      </c>
      <c r="T341" s="65" t="str">
        <f>IFERROR(VLOOKUP(TableHandbook[[#This Row],[UDC]],TableMJRUJAPAN[],7,FALSE),"")</f>
        <v/>
      </c>
      <c r="U341" s="65" t="str">
        <f>IFERROR(VLOOKUP(TableHandbook[[#This Row],[UDC]],TableMJRUJOURN[],7,FALSE),"")</f>
        <v/>
      </c>
      <c r="V341" s="65" t="str">
        <f>IFERROR(VLOOKUP(TableHandbook[[#This Row],[UDC]],TableMJRUKORES[],7,FALSE),"")</f>
        <v/>
      </c>
      <c r="W341" s="65" t="str">
        <f>IFERROR(VLOOKUP(TableHandbook[[#This Row],[UDC]],TableMJRULITCU[],7,FALSE),"")</f>
        <v/>
      </c>
      <c r="X341" s="65" t="str">
        <f>IFERROR(VLOOKUP(TableHandbook[[#This Row],[UDC]],TableMJRUNETCM[],7,FALSE),"")</f>
        <v/>
      </c>
      <c r="Y341" s="65" t="str">
        <f>IFERROR(VLOOKUP(TableHandbook[[#This Row],[UDC]],TableMJRUPRWRP[],7,FALSE),"")</f>
        <v/>
      </c>
      <c r="Z341" s="65" t="str">
        <f>IFERROR(VLOOKUP(TableHandbook[[#This Row],[UDC]],TableMJRUSCSTR[],7,FALSE),"")</f>
        <v/>
      </c>
      <c r="AA341" s="74"/>
      <c r="AB341" s="43" t="str">
        <f>IFERROR(VLOOKUP(TableHandbook[[#This Row],[UDC]],TableMJRUBSLAW[],7,FALSE),"")</f>
        <v/>
      </c>
      <c r="AC341" s="66" t="str">
        <f>IFERROR(VLOOKUP(TableHandbook[[#This Row],[UDC]],TableMJRUECONS[],7,FALSE),"")</f>
        <v/>
      </c>
      <c r="AD341" s="66" t="str">
        <f>IFERROR(VLOOKUP(TableHandbook[[#This Row],[UDC]],TableMJRUFINAR[],7,FALSE),"")</f>
        <v>Core</v>
      </c>
      <c r="AE341" s="66" t="str">
        <f>IFERROR(VLOOKUP(TableHandbook[[#This Row],[UDC]],TableMJRUFINCE[],7,FALSE),"")</f>
        <v/>
      </c>
      <c r="AF341" s="66" t="str">
        <f>IFERROR(VLOOKUP(TableHandbook[[#This Row],[UDC]],TableMJRUHRMGM[],7,FALSE),"")</f>
        <v/>
      </c>
      <c r="AG341" s="66" t="str">
        <f>IFERROR(VLOOKUP(TableHandbook[[#This Row],[UDC]],TableMJRUINTBU[],7,FALSE),"")</f>
        <v/>
      </c>
      <c r="AH341" s="66" t="str">
        <f>IFERROR(VLOOKUP(TableHandbook[[#This Row],[UDC]],TableMJRULGSCM[],7,FALSE),"")</f>
        <v/>
      </c>
      <c r="AI341" s="66" t="str">
        <f>IFERROR(VLOOKUP(TableHandbook[[#This Row],[UDC]],TableMJRUMNGMT[],7,FALSE),"")</f>
        <v/>
      </c>
      <c r="AJ341" s="66" t="str">
        <f>IFERROR(VLOOKUP(TableHandbook[[#This Row],[UDC]],TableMJRUMRKTG[],7,FALSE),"")</f>
        <v/>
      </c>
      <c r="AK341" s="66" t="str">
        <f>IFERROR(VLOOKUP(TableHandbook[[#This Row],[UDC]],TableMJRUPRPTY[],7,FALSE),"")</f>
        <v/>
      </c>
      <c r="AL341" s="66" t="str">
        <f>IFERROR(VLOOKUP(TableHandbook[[#This Row],[UDC]],TableMJRUSCRAR[],7,FALSE),"")</f>
        <v/>
      </c>
      <c r="AM341" s="66" t="str">
        <f>IFERROR(VLOOKUP(TableHandbook[[#This Row],[UDC]],TableMJRUTHTRA[],7,FALSE),"")</f>
        <v/>
      </c>
      <c r="AN341" s="66" t="str">
        <f>IFERROR(VLOOKUP(TableHandbook[[#This Row],[UDC]],TableMJRUTRHOS[],7,FALSE),"")</f>
        <v/>
      </c>
    </row>
    <row r="342" spans="1:40" ht="26.25" x14ac:dyDescent="0.25">
      <c r="A342" s="8" t="s">
        <v>476</v>
      </c>
      <c r="B342" s="9">
        <v>1</v>
      </c>
      <c r="C342" s="8"/>
      <c r="D342" s="8" t="s">
        <v>909</v>
      </c>
      <c r="E342" s="9">
        <v>25</v>
      </c>
      <c r="F342" s="49" t="s">
        <v>910</v>
      </c>
      <c r="G342" s="82" t="str">
        <f>IFERROR(IF(VLOOKUP(TableHandbook[[#This Row],[UDC]],TableAvailabilities[],2,FALSE)&gt;0,"Y",""),"")</f>
        <v/>
      </c>
      <c r="H342" s="83" t="str">
        <f>IFERROR(IF(VLOOKUP(TableHandbook[[#This Row],[UDC]],TableAvailabilities[],3,FALSE)&gt;0,"Y",""),"")</f>
        <v/>
      </c>
      <c r="I342" s="84" t="str">
        <f>IFERROR(IF(VLOOKUP(TableHandbook[[#This Row],[UDC]],TableAvailabilities[],4,FALSE)&gt;0,"Y",""),"")</f>
        <v>Y</v>
      </c>
      <c r="J342" s="85" t="str">
        <f>IFERROR(IF(VLOOKUP(TableHandbook[[#This Row],[UDC]],TableAvailabilities[],5,FALSE)&gt;0,"Y",""),"")</f>
        <v/>
      </c>
      <c r="K342" s="168"/>
      <c r="L342" s="160" t="str">
        <f>IFERROR(VLOOKUP(TableHandbook[[#This Row],[UDC]],TableBARTS[],7,FALSE),"")</f>
        <v/>
      </c>
      <c r="M342" s="65" t="str">
        <f>IFERROR(VLOOKUP(TableHandbook[[#This Row],[UDC]],TableMJRUANTSO[],7,FALSE),"")</f>
        <v/>
      </c>
      <c r="N342" s="47" t="str">
        <f>IFERROR(VLOOKUP(TableHandbook[[#This Row],[UDC]],TableMJRUCHNSE[],7,FALSE),"")</f>
        <v/>
      </c>
      <c r="O342" s="47" t="str">
        <f>IFERROR(VLOOKUP(TableHandbook[[#This Row],[UDC]],TableMJRUCRWRI[],7,FALSE),"")</f>
        <v/>
      </c>
      <c r="P342" s="47" t="str">
        <f>IFERROR(VLOOKUP(TableHandbook[[#This Row],[UDC]],TableMJRUGEOGR[],7,FALSE),"")</f>
        <v/>
      </c>
      <c r="Q342" s="47" t="str">
        <f>IFERROR(VLOOKUP(TableHandbook[[#This Row],[UDC]],TableMJRUHISTR[],7,FALSE),"")</f>
        <v/>
      </c>
      <c r="R342" s="47" t="str">
        <f>IFERROR(VLOOKUP(TableHandbook[[#This Row],[UDC]],TableMJRUINAUC[],7,FALSE),"")</f>
        <v/>
      </c>
      <c r="S342" s="47" t="str">
        <f>IFERROR(VLOOKUP(TableHandbook[[#This Row],[UDC]],TableMJRUINTRL[],7,FALSE),"")</f>
        <v/>
      </c>
      <c r="T342" s="47" t="str">
        <f>IFERROR(VLOOKUP(TableHandbook[[#This Row],[UDC]],TableMJRUJAPAN[],7,FALSE),"")</f>
        <v/>
      </c>
      <c r="U342" s="47" t="str">
        <f>IFERROR(VLOOKUP(TableHandbook[[#This Row],[UDC]],TableMJRUJOURN[],7,FALSE),"")</f>
        <v/>
      </c>
      <c r="V342" s="65" t="str">
        <f>IFERROR(VLOOKUP(TableHandbook[[#This Row],[UDC]],TableMJRUKORES[],7,FALSE),"")</f>
        <v/>
      </c>
      <c r="W342" s="65" t="str">
        <f>IFERROR(VLOOKUP(TableHandbook[[#This Row],[UDC]],TableMJRULITCU[],7,FALSE),"")</f>
        <v/>
      </c>
      <c r="X342" s="65" t="str">
        <f>IFERROR(VLOOKUP(TableHandbook[[#This Row],[UDC]],TableMJRUNETCM[],7,FALSE),"")</f>
        <v/>
      </c>
      <c r="Y342" s="65" t="str">
        <f>IFERROR(VLOOKUP(TableHandbook[[#This Row],[UDC]],TableMJRUPRWRP[],7,FALSE),"")</f>
        <v/>
      </c>
      <c r="Z342" s="65" t="str">
        <f>IFERROR(VLOOKUP(TableHandbook[[#This Row],[UDC]],TableMJRUSCSTR[],7,FALSE),"")</f>
        <v/>
      </c>
      <c r="AA342" s="74"/>
      <c r="AB342" s="43" t="str">
        <f>IFERROR(VLOOKUP(TableHandbook[[#This Row],[UDC]],TableMJRUBSLAW[],7,FALSE),"")</f>
        <v/>
      </c>
      <c r="AC342" s="66" t="str">
        <f>IFERROR(VLOOKUP(TableHandbook[[#This Row],[UDC]],TableMJRUECONS[],7,FALSE),"")</f>
        <v/>
      </c>
      <c r="AD342" s="66" t="str">
        <f>IFERROR(VLOOKUP(TableHandbook[[#This Row],[UDC]],TableMJRUFINAR[],7,FALSE),"")</f>
        <v>Core</v>
      </c>
      <c r="AE342" s="66" t="str">
        <f>IFERROR(VLOOKUP(TableHandbook[[#This Row],[UDC]],TableMJRUFINCE[],7,FALSE),"")</f>
        <v/>
      </c>
      <c r="AF342" s="66" t="str">
        <f>IFERROR(VLOOKUP(TableHandbook[[#This Row],[UDC]],TableMJRUHRMGM[],7,FALSE),"")</f>
        <v/>
      </c>
      <c r="AG342" s="66" t="str">
        <f>IFERROR(VLOOKUP(TableHandbook[[#This Row],[UDC]],TableMJRUINTBU[],7,FALSE),"")</f>
        <v/>
      </c>
      <c r="AH342" s="66" t="str">
        <f>IFERROR(VLOOKUP(TableHandbook[[#This Row],[UDC]],TableMJRULGSCM[],7,FALSE),"")</f>
        <v/>
      </c>
      <c r="AI342" s="66" t="str">
        <f>IFERROR(VLOOKUP(TableHandbook[[#This Row],[UDC]],TableMJRUMNGMT[],7,FALSE),"")</f>
        <v/>
      </c>
      <c r="AJ342" s="66" t="str">
        <f>IFERROR(VLOOKUP(TableHandbook[[#This Row],[UDC]],TableMJRUMRKTG[],7,FALSE),"")</f>
        <v/>
      </c>
      <c r="AK342" s="66" t="str">
        <f>IFERROR(VLOOKUP(TableHandbook[[#This Row],[UDC]],TableMJRUPRPTY[],7,FALSE),"")</f>
        <v/>
      </c>
      <c r="AL342" s="66" t="str">
        <f>IFERROR(VLOOKUP(TableHandbook[[#This Row],[UDC]],TableMJRUSCRAR[],7,FALSE),"")</f>
        <v/>
      </c>
      <c r="AM342" s="66" t="str">
        <f>IFERROR(VLOOKUP(TableHandbook[[#This Row],[UDC]],TableMJRUTHTRA[],7,FALSE),"")</f>
        <v/>
      </c>
      <c r="AN342" s="66" t="str">
        <f>IFERROR(VLOOKUP(TableHandbook[[#This Row],[UDC]],TableMJRUTRHOS[],7,FALSE),"")</f>
        <v/>
      </c>
    </row>
    <row r="343" spans="1:40" x14ac:dyDescent="0.25">
      <c r="A343" s="8" t="s">
        <v>287</v>
      </c>
      <c r="B343" s="9">
        <v>1</v>
      </c>
      <c r="C343" s="8"/>
      <c r="D343" s="8" t="s">
        <v>911</v>
      </c>
      <c r="E343" s="9">
        <v>25</v>
      </c>
      <c r="F343" s="49" t="s">
        <v>594</v>
      </c>
      <c r="G343" s="82" t="str">
        <f>IFERROR(IF(VLOOKUP(TableHandbook[[#This Row],[UDC]],TableAvailabilities[],2,FALSE)&gt;0,"Y",""),"")</f>
        <v/>
      </c>
      <c r="H343" s="83" t="str">
        <f>IFERROR(IF(VLOOKUP(TableHandbook[[#This Row],[UDC]],TableAvailabilities[],3,FALSE)&gt;0,"Y",""),"")</f>
        <v/>
      </c>
      <c r="I343" s="84" t="str">
        <f>IFERROR(IF(VLOOKUP(TableHandbook[[#This Row],[UDC]],TableAvailabilities[],4,FALSE)&gt;0,"Y",""),"")</f>
        <v/>
      </c>
      <c r="J343" s="85" t="str">
        <f>IFERROR(IF(VLOOKUP(TableHandbook[[#This Row],[UDC]],TableAvailabilities[],5,FALSE)&gt;0,"Y",""),"")</f>
        <v/>
      </c>
      <c r="K343" s="167"/>
      <c r="L343" s="160" t="str">
        <f>IFERROR(VLOOKUP(TableHandbook[[#This Row],[UDC]],TableBARTS[],7,FALSE),"")</f>
        <v/>
      </c>
      <c r="M343" s="65" t="str">
        <f>IFERROR(VLOOKUP(TableHandbook[[#This Row],[UDC]],TableMJRUANTSO[],7,FALSE),"")</f>
        <v/>
      </c>
      <c r="N343" s="47" t="str">
        <f>IFERROR(VLOOKUP(TableHandbook[[#This Row],[UDC]],TableMJRUCHNSE[],7,FALSE),"")</f>
        <v/>
      </c>
      <c r="O343" s="47" t="str">
        <f>IFERROR(VLOOKUP(TableHandbook[[#This Row],[UDC]],TableMJRUCRWRI[],7,FALSE),"")</f>
        <v/>
      </c>
      <c r="P343" s="47" t="str">
        <f>IFERROR(VLOOKUP(TableHandbook[[#This Row],[UDC]],TableMJRUGEOGR[],7,FALSE),"")</f>
        <v/>
      </c>
      <c r="Q343" s="47" t="str">
        <f>IFERROR(VLOOKUP(TableHandbook[[#This Row],[UDC]],TableMJRUHISTR[],7,FALSE),"")</f>
        <v/>
      </c>
      <c r="R343" s="47" t="str">
        <f>IFERROR(VLOOKUP(TableHandbook[[#This Row],[UDC]],TableMJRUINAUC[],7,FALSE),"")</f>
        <v/>
      </c>
      <c r="S343" s="47" t="str">
        <f>IFERROR(VLOOKUP(TableHandbook[[#This Row],[UDC]],TableMJRUINTRL[],7,FALSE),"")</f>
        <v/>
      </c>
      <c r="T343" s="47" t="str">
        <f>IFERROR(VLOOKUP(TableHandbook[[#This Row],[UDC]],TableMJRUJAPAN[],7,FALSE),"")</f>
        <v/>
      </c>
      <c r="U343" s="47" t="str">
        <f>IFERROR(VLOOKUP(TableHandbook[[#This Row],[UDC]],TableMJRUJOURN[],7,FALSE),"")</f>
        <v/>
      </c>
      <c r="V343" s="65" t="str">
        <f>IFERROR(VLOOKUP(TableHandbook[[#This Row],[UDC]],TableMJRUKORES[],7,FALSE),"")</f>
        <v>Core</v>
      </c>
      <c r="W343" s="65" t="str">
        <f>IFERROR(VLOOKUP(TableHandbook[[#This Row],[UDC]],TableMJRULITCU[],7,FALSE),"")</f>
        <v/>
      </c>
      <c r="X343" s="65" t="str">
        <f>IFERROR(VLOOKUP(TableHandbook[[#This Row],[UDC]],TableMJRUNETCM[],7,FALSE),"")</f>
        <v/>
      </c>
      <c r="Y343" s="65" t="str">
        <f>IFERROR(VLOOKUP(TableHandbook[[#This Row],[UDC]],TableMJRUPRWRP[],7,FALSE),"")</f>
        <v/>
      </c>
      <c r="Z343" s="65" t="str">
        <f>IFERROR(VLOOKUP(TableHandbook[[#This Row],[UDC]],TableMJRUSCSTR[],7,FALSE),"")</f>
        <v/>
      </c>
      <c r="AA343" s="74"/>
      <c r="AB343" s="43" t="str">
        <f>IFERROR(VLOOKUP(TableHandbook[[#This Row],[UDC]],TableMJRUBSLAW[],7,FALSE),"")</f>
        <v/>
      </c>
      <c r="AC343" s="66" t="str">
        <f>IFERROR(VLOOKUP(TableHandbook[[#This Row],[UDC]],TableMJRUECONS[],7,FALSE),"")</f>
        <v/>
      </c>
      <c r="AD343" s="66" t="str">
        <f>IFERROR(VLOOKUP(TableHandbook[[#This Row],[UDC]],TableMJRUFINAR[],7,FALSE),"")</f>
        <v/>
      </c>
      <c r="AE343" s="66" t="str">
        <f>IFERROR(VLOOKUP(TableHandbook[[#This Row],[UDC]],TableMJRUFINCE[],7,FALSE),"")</f>
        <v/>
      </c>
      <c r="AF343" s="66" t="str">
        <f>IFERROR(VLOOKUP(TableHandbook[[#This Row],[UDC]],TableMJRUHRMGM[],7,FALSE),"")</f>
        <v/>
      </c>
      <c r="AG343" s="66" t="str">
        <f>IFERROR(VLOOKUP(TableHandbook[[#This Row],[UDC]],TableMJRUINTBU[],7,FALSE),"")</f>
        <v/>
      </c>
      <c r="AH343" s="66" t="str">
        <f>IFERROR(VLOOKUP(TableHandbook[[#This Row],[UDC]],TableMJRULGSCM[],7,FALSE),"")</f>
        <v/>
      </c>
      <c r="AI343" s="66" t="str">
        <f>IFERROR(VLOOKUP(TableHandbook[[#This Row],[UDC]],TableMJRUMNGMT[],7,FALSE),"")</f>
        <v/>
      </c>
      <c r="AJ343" s="66" t="str">
        <f>IFERROR(VLOOKUP(TableHandbook[[#This Row],[UDC]],TableMJRUMRKTG[],7,FALSE),"")</f>
        <v/>
      </c>
      <c r="AK343" s="66" t="str">
        <f>IFERROR(VLOOKUP(TableHandbook[[#This Row],[UDC]],TableMJRUPRPTY[],7,FALSE),"")</f>
        <v/>
      </c>
      <c r="AL343" s="66" t="str">
        <f>IFERROR(VLOOKUP(TableHandbook[[#This Row],[UDC]],TableMJRUSCRAR[],7,FALSE),"")</f>
        <v/>
      </c>
      <c r="AM343" s="66" t="str">
        <f>IFERROR(VLOOKUP(TableHandbook[[#This Row],[UDC]],TableMJRUTHTRA[],7,FALSE),"")</f>
        <v/>
      </c>
      <c r="AN343" s="66" t="str">
        <f>IFERROR(VLOOKUP(TableHandbook[[#This Row],[UDC]],TableMJRUTRHOS[],7,FALSE),"")</f>
        <v/>
      </c>
    </row>
  </sheetData>
  <sortState ref="A24:D37">
    <sortCondition ref="A24"/>
  </sortState>
  <conditionalFormatting sqref="A4:A343">
    <cfRule type="duplicateValues" dxfId="340" priority="269"/>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U421"/>
  <sheetViews>
    <sheetView zoomScale="70" zoomScaleNormal="70" workbookViewId="0">
      <selection activeCell="G63" sqref="G63"/>
    </sheetView>
  </sheetViews>
  <sheetFormatPr defaultRowHeight="15.75" x14ac:dyDescent="0.25"/>
  <cols>
    <col min="1" max="1" width="15" bestFit="1" customWidth="1"/>
    <col min="2" max="2" width="6.875" style="2" bestFit="1" customWidth="1"/>
    <col min="3" max="3" width="12" bestFit="1" customWidth="1"/>
    <col min="4" max="4" width="61.875" bestFit="1" customWidth="1"/>
    <col min="5" max="5" width="8.625" style="2" bestFit="1" customWidth="1"/>
    <col min="6" max="6" width="6.5" bestFit="1" customWidth="1"/>
    <col min="7" max="7" width="18.5" bestFit="1" customWidth="1"/>
    <col min="8" max="8" width="12" bestFit="1" customWidth="1"/>
    <col min="9" max="9" width="14.5" bestFit="1" customWidth="1"/>
    <col min="10" max="10" width="21.125" bestFit="1" customWidth="1"/>
    <col min="11" max="11" width="6.25" style="2" bestFit="1" customWidth="1"/>
    <col min="12" max="12" width="56.875" customWidth="1"/>
    <col min="13" max="13" width="14.375" bestFit="1" customWidth="1"/>
    <col min="14" max="14" width="12.5" bestFit="1" customWidth="1"/>
    <col min="15" max="15" width="11.25" bestFit="1" customWidth="1"/>
    <col min="17" max="17" width="14.625" bestFit="1" customWidth="1"/>
    <col min="18" max="18" width="11.5" bestFit="1" customWidth="1"/>
  </cols>
  <sheetData>
    <row r="1" spans="1:18" x14ac:dyDescent="0.25">
      <c r="B1"/>
      <c r="E1"/>
      <c r="F1" s="39"/>
      <c r="G1" s="40" t="s">
        <v>913</v>
      </c>
      <c r="H1" s="156">
        <v>44927</v>
      </c>
      <c r="I1" s="39"/>
      <c r="J1" s="155" t="s">
        <v>90</v>
      </c>
      <c r="K1" s="41" t="s">
        <v>91</v>
      </c>
      <c r="L1" s="39" t="s">
        <v>10</v>
      </c>
      <c r="M1" s="39"/>
      <c r="N1" s="179" t="s">
        <v>914</v>
      </c>
      <c r="O1" s="180">
        <v>45327</v>
      </c>
    </row>
    <row r="2" spans="1:18" x14ac:dyDescent="0.25">
      <c r="A2" t="s">
        <v>0</v>
      </c>
      <c r="B2" s="2" t="s">
        <v>915</v>
      </c>
      <c r="C2" t="s">
        <v>916</v>
      </c>
      <c r="D2" t="s">
        <v>3</v>
      </c>
      <c r="E2" s="42" t="s">
        <v>917</v>
      </c>
      <c r="F2" t="s">
        <v>918</v>
      </c>
      <c r="G2" t="s">
        <v>919</v>
      </c>
      <c r="H2" t="s">
        <v>920</v>
      </c>
      <c r="I2" t="s">
        <v>23</v>
      </c>
      <c r="J2" t="s">
        <v>921</v>
      </c>
      <c r="K2" s="2" t="s">
        <v>1</v>
      </c>
      <c r="L2" t="s">
        <v>922</v>
      </c>
      <c r="M2" t="s">
        <v>86</v>
      </c>
      <c r="N2" t="s">
        <v>923</v>
      </c>
      <c r="O2" t="s">
        <v>924</v>
      </c>
      <c r="Q2" t="s">
        <v>925</v>
      </c>
      <c r="R2" t="s">
        <v>926</v>
      </c>
    </row>
    <row r="3" spans="1:18" x14ac:dyDescent="0.25">
      <c r="A3" t="str">
        <f>TableBARTS[[#This Row],[Study Package Code]]</f>
        <v>COMS1010</v>
      </c>
      <c r="B3" s="2">
        <f>TableBARTS[[#This Row],[Ver]]</f>
        <v>2</v>
      </c>
      <c r="D3" t="str">
        <f>TableBARTS[[#This Row],[Structure Line]]</f>
        <v>Academic and Professional Communications</v>
      </c>
      <c r="E3" s="42">
        <f>TableBARTS[[#This Row],[Credit Points]]</f>
        <v>25</v>
      </c>
      <c r="F3">
        <v>1</v>
      </c>
      <c r="G3" t="s">
        <v>927</v>
      </c>
      <c r="H3">
        <v>1</v>
      </c>
      <c r="I3" t="s">
        <v>928</v>
      </c>
      <c r="J3" t="s">
        <v>81</v>
      </c>
      <c r="K3" s="2">
        <v>2</v>
      </c>
      <c r="L3" t="s">
        <v>562</v>
      </c>
      <c r="M3">
        <v>25</v>
      </c>
      <c r="N3" s="152">
        <v>42917</v>
      </c>
      <c r="O3" s="152"/>
      <c r="Q3" t="s">
        <v>81</v>
      </c>
      <c r="R3">
        <v>2</v>
      </c>
    </row>
    <row r="4" spans="1:18" x14ac:dyDescent="0.25">
      <c r="A4" t="str">
        <f>TableBARTS[[#This Row],[Study Package Code]]</f>
        <v>Opt-ARTSY1</v>
      </c>
      <c r="B4" s="2">
        <f>TableBARTS[[#This Row],[Ver]]</f>
        <v>0</v>
      </c>
      <c r="D4" t="str">
        <f>TableBARTS[[#This Row],[Structure Line]]</f>
        <v>Choose First Year Options</v>
      </c>
      <c r="E4" s="42">
        <f>TableBARTS[[#This Row],[Credit Points]]</f>
        <v>50</v>
      </c>
      <c r="F4">
        <v>2</v>
      </c>
      <c r="G4" t="s">
        <v>929</v>
      </c>
      <c r="H4">
        <v>1</v>
      </c>
      <c r="I4" t="s">
        <v>928</v>
      </c>
      <c r="J4" t="s">
        <v>930</v>
      </c>
      <c r="K4" s="2">
        <v>0</v>
      </c>
      <c r="L4" t="s">
        <v>931</v>
      </c>
      <c r="M4">
        <v>50</v>
      </c>
      <c r="N4" s="152"/>
      <c r="O4" s="152"/>
      <c r="Q4" t="s">
        <v>932</v>
      </c>
      <c r="R4">
        <v>0</v>
      </c>
    </row>
    <row r="5" spans="1:18" x14ac:dyDescent="0.25">
      <c r="A5" t="str">
        <f>TableBARTS[[#This Row],[Study Package Code]]</f>
        <v>Elective</v>
      </c>
      <c r="B5" s="2">
        <f>TableBARTS[[#This Row],[Ver]]</f>
        <v>0</v>
      </c>
      <c r="D5" t="str">
        <f>TableBARTS[[#This Row],[Structure Line]]</f>
        <v>Choose Elective</v>
      </c>
      <c r="E5" s="42">
        <f>TableBARTS[[#This Row],[Credit Points]]</f>
        <v>25</v>
      </c>
      <c r="F5">
        <v>3</v>
      </c>
      <c r="G5" t="s">
        <v>94</v>
      </c>
      <c r="H5">
        <v>1</v>
      </c>
      <c r="I5" t="s">
        <v>928</v>
      </c>
      <c r="J5" t="s">
        <v>94</v>
      </c>
      <c r="K5" s="2">
        <v>0</v>
      </c>
      <c r="L5" t="s">
        <v>933</v>
      </c>
      <c r="M5">
        <v>25</v>
      </c>
      <c r="N5" s="152"/>
      <c r="O5" s="152"/>
      <c r="Q5" t="s">
        <v>94</v>
      </c>
      <c r="R5">
        <v>0</v>
      </c>
    </row>
    <row r="6" spans="1:18" x14ac:dyDescent="0.25">
      <c r="A6" t="str">
        <f>TableBARTS[[#This Row],[Study Package Code]]</f>
        <v>COMS1003</v>
      </c>
      <c r="B6" s="2">
        <f>TableBARTS[[#This Row],[Ver]]</f>
        <v>3</v>
      </c>
      <c r="D6" t="str">
        <f>TableBARTS[[#This Row],[Structure Line]]</f>
        <v>Culture to Cultures</v>
      </c>
      <c r="E6" s="42">
        <f>TableBARTS[[#This Row],[Credit Points]]</f>
        <v>25</v>
      </c>
      <c r="F6">
        <v>4</v>
      </c>
      <c r="G6" t="s">
        <v>927</v>
      </c>
      <c r="H6">
        <v>1</v>
      </c>
      <c r="I6" t="s">
        <v>934</v>
      </c>
      <c r="J6" t="s">
        <v>96</v>
      </c>
      <c r="K6" s="2">
        <v>3</v>
      </c>
      <c r="L6" t="s">
        <v>561</v>
      </c>
      <c r="M6">
        <v>25</v>
      </c>
      <c r="N6" s="152">
        <v>44562</v>
      </c>
      <c r="O6" s="152"/>
      <c r="Q6" t="s">
        <v>96</v>
      </c>
      <c r="R6">
        <v>3</v>
      </c>
    </row>
    <row r="7" spans="1:18" x14ac:dyDescent="0.25">
      <c r="A7" t="str">
        <f>TableBARTS[[#This Row],[Study Package Code]]</f>
        <v>Opt-ARTSY1</v>
      </c>
      <c r="B7" s="2">
        <f>TableBARTS[[#This Row],[Ver]]</f>
        <v>0</v>
      </c>
      <c r="D7" t="str">
        <f>TableBARTS[[#This Row],[Structure Line]]</f>
        <v>Choose First Year Options</v>
      </c>
      <c r="E7" s="42">
        <f>TableBARTS[[#This Row],[Credit Points]]</f>
        <v>50</v>
      </c>
      <c r="F7">
        <v>5</v>
      </c>
      <c r="G7" t="s">
        <v>929</v>
      </c>
      <c r="H7">
        <v>1</v>
      </c>
      <c r="I7" t="s">
        <v>934</v>
      </c>
      <c r="J7" t="s">
        <v>930</v>
      </c>
      <c r="K7" s="2">
        <v>0</v>
      </c>
      <c r="L7" t="s">
        <v>931</v>
      </c>
      <c r="M7">
        <v>50</v>
      </c>
      <c r="N7" s="152"/>
      <c r="O7" s="152"/>
      <c r="Q7" t="s">
        <v>932</v>
      </c>
      <c r="R7">
        <v>0</v>
      </c>
    </row>
    <row r="8" spans="1:18" x14ac:dyDescent="0.25">
      <c r="A8" t="str">
        <f>TableBARTS[[#This Row],[Study Package Code]]</f>
        <v>Elective</v>
      </c>
      <c r="B8" s="2">
        <f>TableBARTS[[#This Row],[Ver]]</f>
        <v>0</v>
      </c>
      <c r="D8" t="str">
        <f>TableBARTS[[#This Row],[Structure Line]]</f>
        <v>Choose Elective</v>
      </c>
      <c r="E8" s="42">
        <f>TableBARTS[[#This Row],[Credit Points]]</f>
        <v>25</v>
      </c>
      <c r="F8">
        <v>6</v>
      </c>
      <c r="G8" t="s">
        <v>94</v>
      </c>
      <c r="H8">
        <v>1</v>
      </c>
      <c r="I8" s="50" t="s">
        <v>934</v>
      </c>
      <c r="J8" t="s">
        <v>94</v>
      </c>
      <c r="K8" s="151">
        <v>0</v>
      </c>
      <c r="L8" s="50" t="s">
        <v>933</v>
      </c>
      <c r="M8">
        <v>25</v>
      </c>
      <c r="N8" s="152"/>
      <c r="O8" s="152"/>
      <c r="Q8" t="s">
        <v>94</v>
      </c>
      <c r="R8">
        <v>0</v>
      </c>
    </row>
    <row r="9" spans="1:18" x14ac:dyDescent="0.25">
      <c r="A9" t="str">
        <f>TableBARTS[[#This Row],[Study Package Code]]</f>
        <v>MajorArts</v>
      </c>
      <c r="B9" s="2">
        <f>TableBARTS[[#This Row],[Ver]]</f>
        <v>0</v>
      </c>
      <c r="D9" t="str">
        <f>TableBARTS[[#This Row],[Structure Line]]</f>
        <v>Choose an Arts Major</v>
      </c>
      <c r="E9" s="42">
        <f>TableBARTS[[#This Row],[Credit Points]]</f>
        <v>200</v>
      </c>
      <c r="F9">
        <v>7</v>
      </c>
      <c r="G9" t="s">
        <v>927</v>
      </c>
      <c r="H9">
        <v>2</v>
      </c>
      <c r="I9" s="50" t="s">
        <v>935</v>
      </c>
      <c r="J9" s="50" t="s">
        <v>689</v>
      </c>
      <c r="K9" s="151">
        <v>0</v>
      </c>
      <c r="L9" s="50" t="s">
        <v>690</v>
      </c>
      <c r="M9">
        <v>200</v>
      </c>
      <c r="N9" s="152"/>
      <c r="O9" s="152"/>
      <c r="Q9" t="s">
        <v>689</v>
      </c>
      <c r="R9">
        <v>0</v>
      </c>
    </row>
    <row r="10" spans="1:18" x14ac:dyDescent="0.25">
      <c r="A10" t="str">
        <f>TableBARTS[[#This Row],[Study Package Code]]</f>
        <v>MajorOption</v>
      </c>
      <c r="B10" s="2">
        <f>TableBARTS[[#This Row],[Ver]]</f>
        <v>0</v>
      </c>
      <c r="D10" t="str">
        <f>TableBARTS[[#This Row],[Structure Line]]</f>
        <v>Choose a Second Major or a combination of Specialisations and Electives</v>
      </c>
      <c r="E10" s="42">
        <f>TableBARTS[[#This Row],[Credit Points]]</f>
        <v>200</v>
      </c>
      <c r="F10">
        <v>8</v>
      </c>
      <c r="G10" t="s">
        <v>929</v>
      </c>
      <c r="H10">
        <v>2</v>
      </c>
      <c r="I10" s="50" t="s">
        <v>935</v>
      </c>
      <c r="J10" s="50" t="s">
        <v>691</v>
      </c>
      <c r="K10" s="151"/>
      <c r="L10" s="50" t="s">
        <v>692</v>
      </c>
      <c r="M10">
        <v>200</v>
      </c>
      <c r="N10" s="152"/>
      <c r="O10" s="152"/>
      <c r="Q10" t="s">
        <v>691</v>
      </c>
    </row>
    <row r="11" spans="1:18" x14ac:dyDescent="0.25">
      <c r="A11" t="str">
        <f>TableBARTS[[#This Row],[Study Package Code]]</f>
        <v>ANTH1000</v>
      </c>
      <c r="B11" s="2">
        <f>TableBARTS[[#This Row],[Ver]]</f>
        <v>1</v>
      </c>
      <c r="D11" t="str">
        <f>TableBARTS[[#This Row],[Structure Line]]</f>
        <v>Self, Culture and Society</v>
      </c>
      <c r="E11" s="42">
        <f>TableBARTS[[#This Row],[Credit Points]]</f>
        <v>25</v>
      </c>
      <c r="G11" t="s">
        <v>929</v>
      </c>
      <c r="H11">
        <v>1</v>
      </c>
      <c r="I11" s="50"/>
      <c r="J11" s="50" t="s">
        <v>39</v>
      </c>
      <c r="K11" s="151">
        <v>1</v>
      </c>
      <c r="L11" s="50" t="s">
        <v>525</v>
      </c>
      <c r="M11">
        <v>25</v>
      </c>
      <c r="N11" s="152">
        <v>42005</v>
      </c>
      <c r="O11" s="152"/>
      <c r="Q11" t="s">
        <v>39</v>
      </c>
      <c r="R11">
        <v>1</v>
      </c>
    </row>
    <row r="12" spans="1:18" x14ac:dyDescent="0.25">
      <c r="A12" t="str">
        <f>TableBARTS[[#This Row],[Study Package Code]]</f>
        <v>ANTH1001</v>
      </c>
      <c r="B12" s="2">
        <f>TableBARTS[[#This Row],[Ver]]</f>
        <v>2</v>
      </c>
      <c r="D12" t="str">
        <f>TableBARTS[[#This Row],[Structure Line]]</f>
        <v>Society and Culture in a Globalising World</v>
      </c>
      <c r="E12" s="42">
        <f>TableBARTS[[#This Row],[Credit Points]]</f>
        <v>25</v>
      </c>
      <c r="G12" t="s">
        <v>929</v>
      </c>
      <c r="H12">
        <v>1</v>
      </c>
      <c r="J12" t="s">
        <v>41</v>
      </c>
      <c r="K12" s="2">
        <v>2</v>
      </c>
      <c r="L12" t="s">
        <v>527</v>
      </c>
      <c r="M12">
        <v>25</v>
      </c>
      <c r="N12" s="152">
        <v>42736</v>
      </c>
      <c r="O12" s="152"/>
      <c r="Q12" t="s">
        <v>41</v>
      </c>
      <c r="R12">
        <v>2</v>
      </c>
    </row>
    <row r="13" spans="1:18" x14ac:dyDescent="0.25">
      <c r="A13" t="str">
        <f>TableBARTS[[#This Row],[Study Package Code]]</f>
        <v>CHIN1000</v>
      </c>
      <c r="B13" s="2">
        <f>TableBARTS[[#This Row],[Ver]]</f>
        <v>2</v>
      </c>
      <c r="D13" t="str">
        <f>TableBARTS[[#This Row],[Structure Line]]</f>
        <v>Chinese for Beginners</v>
      </c>
      <c r="E13" s="42">
        <f>TableBARTS[[#This Row],[Credit Points]]</f>
        <v>25</v>
      </c>
      <c r="G13" t="s">
        <v>929</v>
      </c>
      <c r="H13">
        <v>1</v>
      </c>
      <c r="J13" t="s">
        <v>43</v>
      </c>
      <c r="K13" s="2">
        <v>2</v>
      </c>
      <c r="L13" t="s">
        <v>550</v>
      </c>
      <c r="M13">
        <v>25</v>
      </c>
      <c r="N13" s="152">
        <v>44562</v>
      </c>
      <c r="O13" s="152"/>
      <c r="Q13" t="s">
        <v>43</v>
      </c>
      <c r="R13">
        <v>2</v>
      </c>
    </row>
    <row r="14" spans="1:18" x14ac:dyDescent="0.25">
      <c r="A14" t="str">
        <f>TableBARTS[[#This Row],[Study Package Code]]</f>
        <v>CHIN1001</v>
      </c>
      <c r="B14" s="2">
        <f>TableBARTS[[#This Row],[Ver]]</f>
        <v>2</v>
      </c>
      <c r="D14" t="str">
        <f>TableBARTS[[#This Row],[Structure Line]]</f>
        <v>Foundations of Chinese</v>
      </c>
      <c r="E14" s="42">
        <f>TableBARTS[[#This Row],[Credit Points]]</f>
        <v>25</v>
      </c>
      <c r="G14" t="s">
        <v>929</v>
      </c>
      <c r="H14">
        <v>1</v>
      </c>
      <c r="J14" t="s">
        <v>44</v>
      </c>
      <c r="K14" s="2">
        <v>2</v>
      </c>
      <c r="L14" t="s">
        <v>552</v>
      </c>
      <c r="M14">
        <v>25</v>
      </c>
      <c r="N14" s="152">
        <v>44562</v>
      </c>
      <c r="O14" s="152"/>
      <c r="Q14" t="s">
        <v>44</v>
      </c>
      <c r="R14">
        <v>2</v>
      </c>
    </row>
    <row r="15" spans="1:18" x14ac:dyDescent="0.25">
      <c r="A15" t="str">
        <f>TableBARTS[[#This Row],[Study Package Code]]</f>
        <v>CWRI1000</v>
      </c>
      <c r="B15" s="2">
        <f>TableBARTS[[#This Row],[Ver]]</f>
        <v>1</v>
      </c>
      <c r="D15" t="str">
        <f>TableBARTS[[#This Row],[Structure Line]]</f>
        <v>Creative Writing</v>
      </c>
      <c r="E15" s="42">
        <f>TableBARTS[[#This Row],[Credit Points]]</f>
        <v>25</v>
      </c>
      <c r="G15" t="s">
        <v>929</v>
      </c>
      <c r="H15">
        <v>1</v>
      </c>
      <c r="J15" t="s">
        <v>46</v>
      </c>
      <c r="K15" s="2">
        <v>1</v>
      </c>
      <c r="L15" t="s">
        <v>567</v>
      </c>
      <c r="M15">
        <v>25</v>
      </c>
      <c r="N15" s="152">
        <v>42005</v>
      </c>
      <c r="O15" s="152"/>
      <c r="Q15" t="s">
        <v>46</v>
      </c>
      <c r="R15">
        <v>1</v>
      </c>
    </row>
    <row r="16" spans="1:18" x14ac:dyDescent="0.25">
      <c r="A16" t="str">
        <f>TableBARTS[[#This Row],[Study Package Code]]</f>
        <v>CWRI1003</v>
      </c>
      <c r="B16" s="2">
        <f>TableBARTS[[#This Row],[Ver]]</f>
        <v>2</v>
      </c>
      <c r="D16" t="str">
        <f>TableBARTS[[#This Row],[Structure Line]]</f>
        <v>Engaging Narrative</v>
      </c>
      <c r="E16" s="42">
        <f>TableBARTS[[#This Row],[Credit Points]]</f>
        <v>25</v>
      </c>
      <c r="G16" t="s">
        <v>929</v>
      </c>
      <c r="H16">
        <v>1</v>
      </c>
      <c r="J16" t="s">
        <v>48</v>
      </c>
      <c r="K16" s="2">
        <v>2</v>
      </c>
      <c r="L16" t="s">
        <v>568</v>
      </c>
      <c r="M16">
        <v>25</v>
      </c>
      <c r="N16" s="152">
        <v>43831</v>
      </c>
      <c r="O16" s="152"/>
      <c r="Q16" t="s">
        <v>48</v>
      </c>
      <c r="R16">
        <v>2</v>
      </c>
    </row>
    <row r="17" spans="1:18" x14ac:dyDescent="0.25">
      <c r="A17" t="str">
        <f>TableBARTS[[#This Row],[Study Package Code]]</f>
        <v>GEOG1000</v>
      </c>
      <c r="B17" s="2">
        <f>TableBARTS[[#This Row],[Ver]]</f>
        <v>1</v>
      </c>
      <c r="D17" t="str">
        <f>TableBARTS[[#This Row],[Structure Line]]</f>
        <v>Human Geography</v>
      </c>
      <c r="E17" s="42">
        <f>TableBARTS[[#This Row],[Credit Points]]</f>
        <v>25</v>
      </c>
      <c r="G17" t="s">
        <v>929</v>
      </c>
      <c r="H17">
        <v>1</v>
      </c>
      <c r="J17" t="s">
        <v>49</v>
      </c>
      <c r="K17" s="2">
        <v>1</v>
      </c>
      <c r="L17" t="s">
        <v>601</v>
      </c>
      <c r="M17">
        <v>25</v>
      </c>
      <c r="N17" s="152">
        <v>42005</v>
      </c>
      <c r="O17" s="152"/>
      <c r="Q17" t="s">
        <v>49</v>
      </c>
      <c r="R17">
        <v>1</v>
      </c>
    </row>
    <row r="18" spans="1:18" x14ac:dyDescent="0.25">
      <c r="A18" t="str">
        <f>TableBARTS[[#This Row],[Study Package Code]]</f>
        <v>HIST1000</v>
      </c>
      <c r="B18" s="2">
        <f>TableBARTS[[#This Row],[Ver]]</f>
        <v>1</v>
      </c>
      <c r="D18" t="str">
        <f>TableBARTS[[#This Row],[Structure Line]]</f>
        <v>Legacies of Empire</v>
      </c>
      <c r="E18" s="42">
        <f>TableBARTS[[#This Row],[Credit Points]]</f>
        <v>25</v>
      </c>
      <c r="G18" t="s">
        <v>929</v>
      </c>
      <c r="H18">
        <v>1</v>
      </c>
      <c r="J18" t="s">
        <v>51</v>
      </c>
      <c r="K18" s="2">
        <v>1</v>
      </c>
      <c r="L18" t="s">
        <v>608</v>
      </c>
      <c r="M18">
        <v>25</v>
      </c>
      <c r="N18" s="152">
        <v>42736</v>
      </c>
      <c r="O18" s="152"/>
      <c r="Q18" t="s">
        <v>51</v>
      </c>
      <c r="R18">
        <v>1</v>
      </c>
    </row>
    <row r="19" spans="1:18" x14ac:dyDescent="0.25">
      <c r="A19" t="str">
        <f>TableBARTS[[#This Row],[Study Package Code]]</f>
        <v>INTR1001</v>
      </c>
      <c r="B19" s="2">
        <f>TableBARTS[[#This Row],[Ver]]</f>
        <v>2</v>
      </c>
      <c r="D19" t="str">
        <f>TableBARTS[[#This Row],[Structure Line]]</f>
        <v>Australia's Global Politics</v>
      </c>
      <c r="E19" s="42">
        <f>TableBARTS[[#This Row],[Credit Points]]</f>
        <v>25</v>
      </c>
      <c r="G19" t="s">
        <v>929</v>
      </c>
      <c r="H19">
        <v>1</v>
      </c>
      <c r="J19" t="s">
        <v>52</v>
      </c>
      <c r="K19" s="2">
        <v>2</v>
      </c>
      <c r="L19" t="s">
        <v>626</v>
      </c>
      <c r="M19">
        <v>25</v>
      </c>
      <c r="N19" s="152">
        <v>45292</v>
      </c>
      <c r="O19" s="152"/>
      <c r="Q19" t="s">
        <v>52</v>
      </c>
      <c r="R19">
        <v>2</v>
      </c>
    </row>
    <row r="20" spans="1:18" x14ac:dyDescent="0.25">
      <c r="A20" t="str">
        <f>TableBARTS[[#This Row],[Study Package Code]]</f>
        <v>INTR1002</v>
      </c>
      <c r="B20" s="2">
        <f>TableBARTS[[#This Row],[Ver]]</f>
        <v>1</v>
      </c>
      <c r="D20" t="str">
        <f>TableBARTS[[#This Row],[Structure Line]]</f>
        <v>Foundations of International Relations</v>
      </c>
      <c r="E20" s="42">
        <f>TableBARTS[[#This Row],[Credit Points]]</f>
        <v>25</v>
      </c>
      <c r="G20" t="s">
        <v>929</v>
      </c>
      <c r="H20">
        <v>1</v>
      </c>
      <c r="J20" t="s">
        <v>53</v>
      </c>
      <c r="K20" s="2">
        <v>1</v>
      </c>
      <c r="L20" t="s">
        <v>629</v>
      </c>
      <c r="M20">
        <v>25</v>
      </c>
      <c r="N20" s="152">
        <v>45292</v>
      </c>
      <c r="O20" s="152"/>
      <c r="Q20" t="s">
        <v>53</v>
      </c>
      <c r="R20">
        <v>1</v>
      </c>
    </row>
    <row r="21" spans="1:18" x14ac:dyDescent="0.25">
      <c r="A21" t="str">
        <f>TableBARTS[[#This Row],[Study Package Code]]</f>
        <v>JAPN1000</v>
      </c>
      <c r="B21" s="2">
        <f>TableBARTS[[#This Row],[Ver]]</f>
        <v>2</v>
      </c>
      <c r="D21" t="str">
        <f>TableBARTS[[#This Row],[Structure Line]]</f>
        <v>Japanese for Beginners</v>
      </c>
      <c r="E21" s="42">
        <f>TableBARTS[[#This Row],[Credit Points]]</f>
        <v>25</v>
      </c>
      <c r="G21" t="s">
        <v>929</v>
      </c>
      <c r="H21">
        <v>1</v>
      </c>
      <c r="J21" t="s">
        <v>54</v>
      </c>
      <c r="K21" s="2">
        <v>2</v>
      </c>
      <c r="L21" t="s">
        <v>645</v>
      </c>
      <c r="M21">
        <v>25</v>
      </c>
      <c r="N21" s="152">
        <v>44562</v>
      </c>
      <c r="O21" s="152"/>
      <c r="Q21" t="s">
        <v>54</v>
      </c>
      <c r="R21">
        <v>2</v>
      </c>
    </row>
    <row r="22" spans="1:18" x14ac:dyDescent="0.25">
      <c r="A22" t="str">
        <f>TableBARTS[[#This Row],[Study Package Code]]</f>
        <v>JAPN1001</v>
      </c>
      <c r="B22" s="2">
        <f>TableBARTS[[#This Row],[Ver]]</f>
        <v>2</v>
      </c>
      <c r="D22" t="str">
        <f>TableBARTS[[#This Row],[Structure Line]]</f>
        <v>Foundations of Japanese</v>
      </c>
      <c r="E22" s="42">
        <f>TableBARTS[[#This Row],[Credit Points]]</f>
        <v>25</v>
      </c>
      <c r="G22" t="s">
        <v>929</v>
      </c>
      <c r="H22">
        <v>1</v>
      </c>
      <c r="J22" t="s">
        <v>55</v>
      </c>
      <c r="K22" s="2">
        <v>2</v>
      </c>
      <c r="L22" t="s">
        <v>646</v>
      </c>
      <c r="M22">
        <v>25</v>
      </c>
      <c r="N22" s="152">
        <v>44562</v>
      </c>
      <c r="O22" s="152"/>
      <c r="Q22" t="s">
        <v>55</v>
      </c>
      <c r="R22">
        <v>2</v>
      </c>
    </row>
    <row r="23" spans="1:18" x14ac:dyDescent="0.25">
      <c r="A23" t="str">
        <f>TableBARTS[[#This Row],[Study Package Code]]</f>
        <v>JAPN2001</v>
      </c>
      <c r="B23" s="2">
        <f>TableBARTS[[#This Row],[Ver]]</f>
        <v>2</v>
      </c>
      <c r="D23" t="str">
        <f>TableBARTS[[#This Row],[Structure Line]]</f>
        <v>Intermediate Japanese: Everyday Contexts</v>
      </c>
      <c r="E23" s="42">
        <f>TableBARTS[[#This Row],[Credit Points]]</f>
        <v>25</v>
      </c>
      <c r="G23" t="s">
        <v>929</v>
      </c>
      <c r="H23">
        <v>1</v>
      </c>
      <c r="J23" t="s">
        <v>56</v>
      </c>
      <c r="K23" s="2">
        <v>2</v>
      </c>
      <c r="L23" t="s">
        <v>648</v>
      </c>
      <c r="M23">
        <v>25</v>
      </c>
      <c r="N23" s="152">
        <v>44562</v>
      </c>
      <c r="O23" s="152"/>
      <c r="Q23" t="s">
        <v>56</v>
      </c>
      <c r="R23">
        <v>2</v>
      </c>
    </row>
    <row r="24" spans="1:18" x14ac:dyDescent="0.25">
      <c r="A24" t="str">
        <f>TableBARTS[[#This Row],[Study Package Code]]</f>
        <v>JAPN2002</v>
      </c>
      <c r="B24" s="2">
        <f>TableBARTS[[#This Row],[Ver]]</f>
        <v>2</v>
      </c>
      <c r="D24" t="str">
        <f>TableBARTS[[#This Row],[Structure Line]]</f>
        <v>Intermediate Japanese: Extending Everyday Contexts</v>
      </c>
      <c r="E24" s="42">
        <f>TableBARTS[[#This Row],[Credit Points]]</f>
        <v>25</v>
      </c>
      <c r="G24" t="s">
        <v>929</v>
      </c>
      <c r="H24">
        <v>1</v>
      </c>
      <c r="J24" t="s">
        <v>57</v>
      </c>
      <c r="K24" s="2">
        <v>2</v>
      </c>
      <c r="L24" t="s">
        <v>649</v>
      </c>
      <c r="M24">
        <v>25</v>
      </c>
      <c r="N24" s="152">
        <v>44562</v>
      </c>
      <c r="O24" s="152"/>
      <c r="Q24" t="s">
        <v>57</v>
      </c>
      <c r="R24">
        <v>2</v>
      </c>
    </row>
    <row r="25" spans="1:18" x14ac:dyDescent="0.25">
      <c r="A25" t="str">
        <f>TableBARTS[[#This Row],[Study Package Code]]</f>
        <v>JOUR1000</v>
      </c>
      <c r="B25" s="2">
        <f>TableBARTS[[#This Row],[Ver]]</f>
        <v>2</v>
      </c>
      <c r="D25" t="str">
        <f>TableBARTS[[#This Row],[Structure Line]]</f>
        <v>Introduction to Journalism - Writing</v>
      </c>
      <c r="E25" s="42">
        <f>TableBARTS[[#This Row],[Credit Points]]</f>
        <v>25</v>
      </c>
      <c r="G25" t="s">
        <v>929</v>
      </c>
      <c r="H25">
        <v>1</v>
      </c>
      <c r="J25" t="s">
        <v>58</v>
      </c>
      <c r="K25" s="2">
        <v>2</v>
      </c>
      <c r="L25" t="s">
        <v>655</v>
      </c>
      <c r="M25">
        <v>25</v>
      </c>
      <c r="N25" s="152">
        <v>43101</v>
      </c>
      <c r="O25" s="152"/>
      <c r="Q25" t="s">
        <v>58</v>
      </c>
      <c r="R25">
        <v>2</v>
      </c>
    </row>
    <row r="26" spans="1:18" x14ac:dyDescent="0.25">
      <c r="A26" t="str">
        <f>TableBARTS[[#This Row],[Study Package Code]]</f>
        <v>JOUR1001</v>
      </c>
      <c r="B26" s="2">
        <f>TableBARTS[[#This Row],[Ver]]</f>
        <v>2</v>
      </c>
      <c r="D26" t="str">
        <f>TableBARTS[[#This Row],[Structure Line]]</f>
        <v>Introduction to Journalism - Broadcast</v>
      </c>
      <c r="E26" s="42">
        <f>TableBARTS[[#This Row],[Credit Points]]</f>
        <v>25</v>
      </c>
      <c r="G26" t="s">
        <v>929</v>
      </c>
      <c r="H26">
        <v>1</v>
      </c>
      <c r="J26" t="s">
        <v>59</v>
      </c>
      <c r="K26" s="2">
        <v>2</v>
      </c>
      <c r="L26" t="s">
        <v>656</v>
      </c>
      <c r="M26">
        <v>25</v>
      </c>
      <c r="N26" s="152">
        <v>43101</v>
      </c>
      <c r="O26" s="152"/>
      <c r="Q26" t="s">
        <v>59</v>
      </c>
      <c r="R26">
        <v>2</v>
      </c>
    </row>
    <row r="27" spans="1:18" x14ac:dyDescent="0.25">
      <c r="A27" t="str">
        <f>TableBARTS[[#This Row],[Study Package Code]]</f>
        <v>KORE1000</v>
      </c>
      <c r="B27" s="2">
        <f>TableBARTS[[#This Row],[Ver]]</f>
        <v>1</v>
      </c>
      <c r="D27" t="str">
        <f>TableBARTS[[#This Row],[Structure Line]]</f>
        <v>Korean Beginners 1</v>
      </c>
      <c r="E27" s="42">
        <f>TableBARTS[[#This Row],[Credit Points]]</f>
        <v>25</v>
      </c>
      <c r="G27" t="s">
        <v>929</v>
      </c>
      <c r="H27">
        <v>1</v>
      </c>
      <c r="J27" t="s">
        <v>60</v>
      </c>
      <c r="K27" s="2">
        <v>1</v>
      </c>
      <c r="L27" t="s">
        <v>672</v>
      </c>
      <c r="M27">
        <v>25</v>
      </c>
      <c r="N27" s="152">
        <v>44927</v>
      </c>
      <c r="O27" s="152"/>
      <c r="Q27" t="s">
        <v>60</v>
      </c>
      <c r="R27">
        <v>1</v>
      </c>
    </row>
    <row r="28" spans="1:18" x14ac:dyDescent="0.25">
      <c r="A28" t="str">
        <f>TableBARTS[[#This Row],[Study Package Code]]</f>
        <v>KORE1001</v>
      </c>
      <c r="B28" s="2">
        <f>TableBARTS[[#This Row],[Ver]]</f>
        <v>1</v>
      </c>
      <c r="D28" t="str">
        <f>TableBARTS[[#This Row],[Structure Line]]</f>
        <v>Korean Beginners 2</v>
      </c>
      <c r="E28" s="42">
        <f>TableBARTS[[#This Row],[Credit Points]]</f>
        <v>25</v>
      </c>
      <c r="G28" t="s">
        <v>929</v>
      </c>
      <c r="H28">
        <v>1</v>
      </c>
      <c r="J28" t="s">
        <v>61</v>
      </c>
      <c r="K28" s="2">
        <v>1</v>
      </c>
      <c r="L28" t="s">
        <v>673</v>
      </c>
      <c r="M28">
        <v>25</v>
      </c>
      <c r="N28" s="152">
        <v>44927</v>
      </c>
      <c r="O28" s="152"/>
      <c r="Q28" t="s">
        <v>61</v>
      </c>
      <c r="R28">
        <v>1</v>
      </c>
    </row>
    <row r="29" spans="1:18" x14ac:dyDescent="0.25">
      <c r="A29" t="str">
        <f>TableBARTS[[#This Row],[Study Package Code]]</f>
        <v>LCST1004</v>
      </c>
      <c r="B29" s="2">
        <f>TableBARTS[[#This Row],[Ver]]</f>
        <v>1</v>
      </c>
      <c r="D29" t="str">
        <f>TableBARTS[[#This Row],[Structure Line]]</f>
        <v>Introduction to Cultural Studies</v>
      </c>
      <c r="E29" s="42">
        <f>TableBARTS[[#This Row],[Credit Points]]</f>
        <v>25</v>
      </c>
      <c r="G29" t="s">
        <v>929</v>
      </c>
      <c r="H29">
        <v>1</v>
      </c>
      <c r="J29" t="s">
        <v>62</v>
      </c>
      <c r="K29" s="2">
        <v>1</v>
      </c>
      <c r="L29" t="s">
        <v>682</v>
      </c>
      <c r="M29">
        <v>25</v>
      </c>
      <c r="N29" s="152">
        <v>42370</v>
      </c>
      <c r="O29" s="152"/>
      <c r="Q29" t="s">
        <v>62</v>
      </c>
      <c r="R29">
        <v>1</v>
      </c>
    </row>
    <row r="30" spans="1:18" x14ac:dyDescent="0.25">
      <c r="A30" t="str">
        <f>TableBARTS[[#This Row],[Study Package Code]]</f>
        <v>NETS1000</v>
      </c>
      <c r="B30" s="2">
        <f>TableBARTS[[#This Row],[Ver]]</f>
        <v>2</v>
      </c>
      <c r="D30" t="str">
        <f>TableBARTS[[#This Row],[Structure Line]]</f>
        <v>Digital Culture and Everyday Life</v>
      </c>
      <c r="E30" s="42">
        <f>TableBARTS[[#This Row],[Credit Points]]</f>
        <v>25</v>
      </c>
      <c r="G30" t="s">
        <v>929</v>
      </c>
      <c r="H30">
        <v>1</v>
      </c>
      <c r="J30" t="s">
        <v>63</v>
      </c>
      <c r="K30" s="2">
        <v>2</v>
      </c>
      <c r="L30" t="s">
        <v>761</v>
      </c>
      <c r="M30">
        <v>25</v>
      </c>
      <c r="N30" s="152">
        <v>42736</v>
      </c>
      <c r="O30" s="152"/>
      <c r="Q30" t="s">
        <v>63</v>
      </c>
      <c r="R30">
        <v>2</v>
      </c>
    </row>
    <row r="31" spans="1:18" x14ac:dyDescent="0.25">
      <c r="A31" t="str">
        <f>TableBARTS[[#This Row],[Study Package Code]]</f>
        <v>NETS1001</v>
      </c>
      <c r="B31" s="2">
        <f>TableBARTS[[#This Row],[Ver]]</f>
        <v>1</v>
      </c>
      <c r="D31" t="str">
        <f>TableBARTS[[#This Row],[Structure Line]]</f>
        <v>Web Communications</v>
      </c>
      <c r="E31" s="42">
        <f>TableBARTS[[#This Row],[Credit Points]]</f>
        <v>25</v>
      </c>
      <c r="G31" t="s">
        <v>929</v>
      </c>
      <c r="H31">
        <v>1</v>
      </c>
      <c r="J31" t="s">
        <v>64</v>
      </c>
      <c r="K31" s="2">
        <v>1</v>
      </c>
      <c r="L31" t="s">
        <v>762</v>
      </c>
      <c r="M31">
        <v>25</v>
      </c>
      <c r="N31" s="152">
        <v>42005</v>
      </c>
      <c r="O31" s="152"/>
      <c r="Q31" t="s">
        <v>64</v>
      </c>
      <c r="R31">
        <v>1</v>
      </c>
    </row>
    <row r="32" spans="1:18" x14ac:dyDescent="0.25">
      <c r="A32" t="str">
        <f>TableBARTS[[#This Row],[Study Package Code]]</f>
        <v>PHGY1000</v>
      </c>
      <c r="B32" s="2">
        <f>TableBARTS[[#This Row],[Ver]]</f>
        <v>1</v>
      </c>
      <c r="D32" t="str">
        <f>TableBARTS[[#This Row],[Structure Line]]</f>
        <v>Physical Geography</v>
      </c>
      <c r="E32" s="42">
        <f>TableBARTS[[#This Row],[Credit Points]]</f>
        <v>25</v>
      </c>
      <c r="G32" t="s">
        <v>929</v>
      </c>
      <c r="H32">
        <v>1</v>
      </c>
      <c r="J32" t="s">
        <v>65</v>
      </c>
      <c r="K32" s="2">
        <v>1</v>
      </c>
      <c r="L32" t="s">
        <v>790</v>
      </c>
      <c r="M32">
        <v>25</v>
      </c>
      <c r="N32" s="152">
        <v>42005</v>
      </c>
      <c r="O32" s="152"/>
      <c r="Q32" t="s">
        <v>65</v>
      </c>
      <c r="R32">
        <v>1</v>
      </c>
    </row>
    <row r="33" spans="1:18" x14ac:dyDescent="0.25">
      <c r="A33" t="str">
        <f>TableBARTS[[#This Row],[Study Package Code]]</f>
        <v>PWRP1000</v>
      </c>
      <c r="B33" s="2">
        <f>TableBARTS[[#This Row],[Ver]]</f>
        <v>2</v>
      </c>
      <c r="D33" t="str">
        <f>TableBARTS[[#This Row],[Structure Line]]</f>
        <v>Introduction to Creative and Professional Writing</v>
      </c>
      <c r="E33" s="42">
        <f>TableBARTS[[#This Row],[Credit Points]]</f>
        <v>25</v>
      </c>
      <c r="G33" t="s">
        <v>929</v>
      </c>
      <c r="H33">
        <v>1</v>
      </c>
      <c r="J33" t="s">
        <v>66</v>
      </c>
      <c r="K33" s="2">
        <v>2</v>
      </c>
      <c r="L33" t="s">
        <v>806</v>
      </c>
      <c r="M33">
        <v>25</v>
      </c>
      <c r="N33" s="152">
        <v>44197</v>
      </c>
      <c r="O33" s="152"/>
      <c r="Q33" t="s">
        <v>66</v>
      </c>
      <c r="R33">
        <v>2</v>
      </c>
    </row>
    <row r="34" spans="1:18" x14ac:dyDescent="0.25">
      <c r="A34" t="str">
        <f>TableBARTS[[#This Row],[Study Package Code]]</f>
        <v>PWRP1003</v>
      </c>
      <c r="B34" s="2">
        <f>TableBARTS[[#This Row],[Ver]]</f>
        <v>2</v>
      </c>
      <c r="D34" t="str">
        <f>TableBARTS[[#This Row],[Structure Line]]</f>
        <v>Skills in Professional Writing</v>
      </c>
      <c r="E34" s="42">
        <f>TableBARTS[[#This Row],[Credit Points]]</f>
        <v>25</v>
      </c>
      <c r="G34" t="s">
        <v>929</v>
      </c>
      <c r="H34">
        <v>1</v>
      </c>
      <c r="J34" t="s">
        <v>67</v>
      </c>
      <c r="K34" s="2">
        <v>2</v>
      </c>
      <c r="L34" t="s">
        <v>807</v>
      </c>
      <c r="M34">
        <v>25</v>
      </c>
      <c r="N34" s="152">
        <v>45292</v>
      </c>
      <c r="O34" s="152"/>
      <c r="Q34" t="s">
        <v>67</v>
      </c>
      <c r="R34">
        <v>2</v>
      </c>
    </row>
    <row r="35" spans="1:18" x14ac:dyDescent="0.25">
      <c r="A35" t="str">
        <f>TableBARTS[[#This Row],[Study Package Code]]</f>
        <v>SCST1000</v>
      </c>
      <c r="B35" s="2">
        <f>TableBARTS[[#This Row],[Ver]]</f>
        <v>2</v>
      </c>
      <c r="D35" t="str">
        <f>TableBARTS[[#This Row],[Structure Line]]</f>
        <v>Introduction to Screen Creativity</v>
      </c>
      <c r="E35" s="42">
        <f>TableBARTS[[#This Row],[Credit Points]]</f>
        <v>25</v>
      </c>
      <c r="G35" t="s">
        <v>929</v>
      </c>
      <c r="H35">
        <v>1</v>
      </c>
      <c r="J35" t="s">
        <v>68</v>
      </c>
      <c r="K35" s="2">
        <v>2</v>
      </c>
      <c r="L35" t="s">
        <v>837</v>
      </c>
      <c r="M35">
        <v>25</v>
      </c>
      <c r="N35" s="152">
        <v>43831</v>
      </c>
      <c r="O35" s="152"/>
      <c r="Q35" t="s">
        <v>68</v>
      </c>
      <c r="R35">
        <v>2</v>
      </c>
    </row>
    <row r="36" spans="1:18" x14ac:dyDescent="0.25">
      <c r="A36" t="str">
        <f>TableBARTS[[#This Row],[Study Package Code]]</f>
        <v>SPRO1000</v>
      </c>
      <c r="B36" s="2">
        <f>TableBARTS[[#This Row],[Ver]]</f>
        <v>2</v>
      </c>
      <c r="D36" t="str">
        <f>TableBARTS[[#This Row],[Structure Line]]</f>
        <v>Introduction to Screen Industries</v>
      </c>
      <c r="E36" s="42">
        <f>TableBARTS[[#This Row],[Credit Points]]</f>
        <v>25</v>
      </c>
      <c r="G36" t="s">
        <v>929</v>
      </c>
      <c r="H36">
        <v>1</v>
      </c>
      <c r="J36" t="s">
        <v>69</v>
      </c>
      <c r="K36" s="2">
        <v>2</v>
      </c>
      <c r="L36" t="s">
        <v>842</v>
      </c>
      <c r="M36">
        <v>25</v>
      </c>
      <c r="N36" s="152">
        <v>43831</v>
      </c>
      <c r="O36" s="152"/>
      <c r="Q36" t="s">
        <v>69</v>
      </c>
      <c r="R36">
        <v>2</v>
      </c>
    </row>
    <row r="37" spans="1:18" x14ac:dyDescent="0.25">
      <c r="A37" t="str">
        <f>TableBARTS[[#This Row],[Study Package Code]]</f>
        <v>STRD1000</v>
      </c>
      <c r="B37" s="2">
        <f>TableBARTS[[#This Row],[Ver]]</f>
        <v>1</v>
      </c>
      <c r="D37" t="str">
        <f>TableBARTS[[#This Row],[Structure Line]]</f>
        <v>Power, Politics and Government</v>
      </c>
      <c r="E37" s="42">
        <f>TableBARTS[[#This Row],[Credit Points]]</f>
        <v>25</v>
      </c>
      <c r="G37" t="s">
        <v>929</v>
      </c>
      <c r="H37">
        <v>1</v>
      </c>
      <c r="J37" t="s">
        <v>70</v>
      </c>
      <c r="K37" s="2">
        <v>1</v>
      </c>
      <c r="L37" t="s">
        <v>856</v>
      </c>
      <c r="M37">
        <v>25</v>
      </c>
      <c r="N37" s="152">
        <v>44562</v>
      </c>
      <c r="O37" s="152"/>
      <c r="Q37" t="s">
        <v>70</v>
      </c>
      <c r="R37">
        <v>1</v>
      </c>
    </row>
    <row r="38" spans="1:18" x14ac:dyDescent="0.25">
      <c r="A38" t="str">
        <f>TableBARTS[[#This Row],[Study Package Code]]</f>
        <v>STRD1001</v>
      </c>
      <c r="B38" s="2">
        <f>TableBARTS[[#This Row],[Ver]]</f>
        <v>1</v>
      </c>
      <c r="D38" t="str">
        <f>TableBARTS[[#This Row],[Structure Line]]</f>
        <v>Foundations to Strategic Studies</v>
      </c>
      <c r="E38" s="42">
        <f>TableBARTS[[#This Row],[Credit Points]]</f>
        <v>25</v>
      </c>
      <c r="G38" t="s">
        <v>929</v>
      </c>
      <c r="H38">
        <v>1</v>
      </c>
      <c r="J38" t="s">
        <v>71</v>
      </c>
      <c r="K38" s="2">
        <v>1</v>
      </c>
      <c r="L38" t="s">
        <v>857</v>
      </c>
      <c r="M38">
        <v>25</v>
      </c>
      <c r="N38" s="152">
        <v>44562</v>
      </c>
      <c r="O38" s="152"/>
      <c r="Q38" t="s">
        <v>71</v>
      </c>
      <c r="R38">
        <v>1</v>
      </c>
    </row>
    <row r="39" spans="1:18" x14ac:dyDescent="0.25">
      <c r="A39" t="str">
        <f>TableBARTS[[#This Row],[Study Package Code]]</f>
        <v>THTR1001</v>
      </c>
      <c r="B39" s="2">
        <f>TableBARTS[[#This Row],[Ver]]</f>
        <v>1</v>
      </c>
      <c r="D39" t="str">
        <f>TableBARTS[[#This Row],[Structure Line]]</f>
        <v>Acting Fundamentals</v>
      </c>
      <c r="E39" s="42">
        <f>TableBARTS[[#This Row],[Credit Points]]</f>
        <v>25</v>
      </c>
      <c r="G39" t="s">
        <v>929</v>
      </c>
      <c r="H39">
        <v>1</v>
      </c>
      <c r="J39" t="s">
        <v>72</v>
      </c>
      <c r="K39" s="2">
        <v>1</v>
      </c>
      <c r="L39" t="s">
        <v>870</v>
      </c>
      <c r="M39">
        <v>25</v>
      </c>
      <c r="N39" s="152">
        <v>42005</v>
      </c>
      <c r="O39" s="152"/>
      <c r="Q39" t="s">
        <v>72</v>
      </c>
      <c r="R39">
        <v>1</v>
      </c>
    </row>
    <row r="40" spans="1:18" x14ac:dyDescent="0.25">
      <c r="A40" t="str">
        <f>TableBARTS[[#This Row],[Study Package Code]]</f>
        <v>THTR1002</v>
      </c>
      <c r="B40" s="2">
        <f>TableBARTS[[#This Row],[Ver]]</f>
        <v>1</v>
      </c>
      <c r="D40" t="str">
        <f>TableBARTS[[#This Row],[Structure Line]]</f>
        <v>Devising Fundamentals</v>
      </c>
      <c r="E40" s="42">
        <f>TableBARTS[[#This Row],[Credit Points]]</f>
        <v>25</v>
      </c>
      <c r="G40" t="s">
        <v>929</v>
      </c>
      <c r="H40">
        <v>1</v>
      </c>
      <c r="J40" t="s">
        <v>73</v>
      </c>
      <c r="K40" s="2">
        <v>1</v>
      </c>
      <c r="L40" t="s">
        <v>871</v>
      </c>
      <c r="M40">
        <v>25</v>
      </c>
      <c r="N40" s="152">
        <v>43647</v>
      </c>
      <c r="O40" s="152"/>
      <c r="Q40" t="s">
        <v>73</v>
      </c>
      <c r="R40">
        <v>1</v>
      </c>
    </row>
    <row r="41" spans="1:18" x14ac:dyDescent="0.25">
      <c r="A41" t="str">
        <f>TableBARTS[[#This Row],[Study Package Code]]</f>
        <v>VISA1004</v>
      </c>
      <c r="B41" s="2">
        <f>TableBARTS[[#This Row],[Ver]]</f>
        <v>2</v>
      </c>
      <c r="D41" t="str">
        <f>TableBARTS[[#This Row],[Structure Line]]</f>
        <v>Fine Art Studio Methods</v>
      </c>
      <c r="E41" s="42">
        <f>TableBARTS[[#This Row],[Credit Points]]</f>
        <v>25</v>
      </c>
      <c r="G41" t="s">
        <v>929</v>
      </c>
      <c r="H41">
        <v>1</v>
      </c>
      <c r="J41" t="s">
        <v>74</v>
      </c>
      <c r="K41" s="2">
        <v>2</v>
      </c>
      <c r="L41" t="s">
        <v>895</v>
      </c>
      <c r="M41">
        <v>25</v>
      </c>
      <c r="N41" s="152">
        <v>42370</v>
      </c>
      <c r="O41" s="152"/>
      <c r="Q41" t="s">
        <v>74</v>
      </c>
      <c r="R41">
        <v>2</v>
      </c>
    </row>
    <row r="42" spans="1:18" x14ac:dyDescent="0.25">
      <c r="A42" t="str">
        <f>TableBARTS[[#This Row],[Study Package Code]]</f>
        <v>VISA1005</v>
      </c>
      <c r="B42" s="2">
        <f>TableBARTS[[#This Row],[Ver]]</f>
        <v>2</v>
      </c>
      <c r="D42" t="str">
        <f>TableBARTS[[#This Row],[Structure Line]]</f>
        <v>Fine Art Studio Materials</v>
      </c>
      <c r="E42" s="42">
        <f>TableBARTS[[#This Row],[Credit Points]]</f>
        <v>25</v>
      </c>
      <c r="G42" t="s">
        <v>929</v>
      </c>
      <c r="H42">
        <v>1</v>
      </c>
      <c r="J42" t="s">
        <v>75</v>
      </c>
      <c r="K42" s="2">
        <v>2</v>
      </c>
      <c r="L42" t="s">
        <v>896</v>
      </c>
      <c r="M42">
        <v>25</v>
      </c>
      <c r="N42" s="152">
        <v>42370</v>
      </c>
      <c r="O42" s="152"/>
      <c r="Q42" t="s">
        <v>75</v>
      </c>
      <c r="R42">
        <v>2</v>
      </c>
    </row>
    <row r="43" spans="1:18" x14ac:dyDescent="0.25">
      <c r="A43">
        <f>TableBARTS[[#This Row],[Study Package Code]]</f>
        <v>0</v>
      </c>
      <c r="B43" s="2">
        <f>TableBARTS[[#This Row],[Ver]]</f>
        <v>0</v>
      </c>
      <c r="D43">
        <f>TableBARTS[[#This Row],[Structure Line]]</f>
        <v>0</v>
      </c>
      <c r="E43" s="42">
        <f>TableBARTS[[#This Row],[Credit Points]]</f>
        <v>0</v>
      </c>
      <c r="N43" s="152"/>
      <c r="O43" s="152"/>
      <c r="Q43" t="s">
        <v>52</v>
      </c>
      <c r="R43">
        <v>1</v>
      </c>
    </row>
    <row r="44" spans="1:18" x14ac:dyDescent="0.25">
      <c r="A44">
        <f>TableBARTS[[#This Row],[Study Package Code]]</f>
        <v>0</v>
      </c>
      <c r="B44" s="2">
        <f>TableBARTS[[#This Row],[Ver]]</f>
        <v>0</v>
      </c>
      <c r="D44">
        <f>TableBARTS[[#This Row],[Structure Line]]</f>
        <v>0</v>
      </c>
      <c r="E44" s="42">
        <f>TableBARTS[[#This Row],[Credit Points]]</f>
        <v>0</v>
      </c>
      <c r="N44" s="152"/>
      <c r="O44" s="152"/>
      <c r="Q44" t="s">
        <v>67</v>
      </c>
      <c r="R44">
        <v>1</v>
      </c>
    </row>
    <row r="45" spans="1:18" x14ac:dyDescent="0.25">
      <c r="A45" t="str">
        <f>TableBARTS[[#This Row],[Study Package Code]]</f>
        <v>MJRU-ANTSO</v>
      </c>
      <c r="B45" s="2">
        <f>TableBARTS[[#This Row],[Ver]]</f>
        <v>2</v>
      </c>
      <c r="D45" t="str">
        <f>TableBARTS[[#This Row],[Structure Line]]</f>
        <v>Anthropology and Sociology Major (BA)</v>
      </c>
      <c r="E45" s="42">
        <f>TableBARTS[[#This Row],[Credit Points]]</f>
        <v>200</v>
      </c>
      <c r="F45">
        <v>7</v>
      </c>
      <c r="G45" t="s">
        <v>936</v>
      </c>
      <c r="J45" t="s">
        <v>110</v>
      </c>
      <c r="K45" s="2">
        <v>2</v>
      </c>
      <c r="L45" t="s">
        <v>109</v>
      </c>
      <c r="M45">
        <v>200</v>
      </c>
      <c r="N45" s="152">
        <v>42736</v>
      </c>
      <c r="O45" s="152"/>
      <c r="Q45" t="s">
        <v>110</v>
      </c>
      <c r="R45">
        <v>2</v>
      </c>
    </row>
    <row r="46" spans="1:18" x14ac:dyDescent="0.25">
      <c r="A46" t="str">
        <f>TableBARTS[[#This Row],[Study Package Code]]</f>
        <v>MJRU-CHNSE</v>
      </c>
      <c r="B46" s="2">
        <f>TableBARTS[[#This Row],[Ver]]</f>
        <v>1</v>
      </c>
      <c r="D46" t="str">
        <f>TableBARTS[[#This Row],[Structure Line]]</f>
        <v>Chinese Major (BA)</v>
      </c>
      <c r="E46" s="42">
        <f>TableBARTS[[#This Row],[Credit Points]]</f>
        <v>200</v>
      </c>
      <c r="F46">
        <v>7</v>
      </c>
      <c r="G46" t="s">
        <v>936</v>
      </c>
      <c r="J46" t="s">
        <v>115</v>
      </c>
      <c r="K46" s="2">
        <v>1</v>
      </c>
      <c r="L46" t="s">
        <v>114</v>
      </c>
      <c r="M46">
        <v>200</v>
      </c>
      <c r="N46" s="152">
        <v>42005</v>
      </c>
      <c r="O46" s="152"/>
      <c r="Q46" t="s">
        <v>115</v>
      </c>
      <c r="R46">
        <v>1</v>
      </c>
    </row>
    <row r="47" spans="1:18" x14ac:dyDescent="0.25">
      <c r="A47" t="str">
        <f>TableBARTS[[#This Row],[Study Package Code]]</f>
        <v>MJRU-CRWRI</v>
      </c>
      <c r="B47" s="2">
        <f>TableBARTS[[#This Row],[Ver]]</f>
        <v>1</v>
      </c>
      <c r="D47" t="str">
        <f>TableBARTS[[#This Row],[Structure Line]]</f>
        <v>Creative Writing Major (BA)</v>
      </c>
      <c r="E47" s="42">
        <f>TableBARTS[[#This Row],[Credit Points]]</f>
        <v>200</v>
      </c>
      <c r="F47">
        <v>7</v>
      </c>
      <c r="G47" t="s">
        <v>936</v>
      </c>
      <c r="J47" t="s">
        <v>119</v>
      </c>
      <c r="K47" s="2">
        <v>1</v>
      </c>
      <c r="L47" t="s">
        <v>118</v>
      </c>
      <c r="M47">
        <v>200</v>
      </c>
      <c r="N47" s="152">
        <v>42005</v>
      </c>
      <c r="O47" s="152"/>
      <c r="Q47" t="s">
        <v>119</v>
      </c>
      <c r="R47">
        <v>1</v>
      </c>
    </row>
    <row r="48" spans="1:18" x14ac:dyDescent="0.25">
      <c r="A48" t="str">
        <f>TableBARTS[[#This Row],[Study Package Code]]</f>
        <v>MJRU-GEOGR</v>
      </c>
      <c r="B48" s="2">
        <f>TableBARTS[[#This Row],[Ver]]</f>
        <v>2</v>
      </c>
      <c r="D48" t="str">
        <f>TableBARTS[[#This Row],[Structure Line]]</f>
        <v>Geography Major (BA)</v>
      </c>
      <c r="E48" s="42">
        <f>TableBARTS[[#This Row],[Credit Points]]</f>
        <v>200</v>
      </c>
      <c r="F48">
        <v>7</v>
      </c>
      <c r="G48" t="s">
        <v>936</v>
      </c>
      <c r="J48" t="s">
        <v>130</v>
      </c>
      <c r="K48" s="2">
        <v>2</v>
      </c>
      <c r="L48" t="s">
        <v>129</v>
      </c>
      <c r="M48">
        <v>200</v>
      </c>
      <c r="N48" s="152">
        <v>45292</v>
      </c>
      <c r="O48" s="152"/>
      <c r="Q48" t="s">
        <v>130</v>
      </c>
      <c r="R48">
        <v>2</v>
      </c>
    </row>
    <row r="49" spans="1:18" x14ac:dyDescent="0.25">
      <c r="A49" t="str">
        <f>TableBARTS[[#This Row],[Study Package Code]]</f>
        <v>MJRU-HISTR</v>
      </c>
      <c r="B49" s="2">
        <f>TableBARTS[[#This Row],[Ver]]</f>
        <v>2</v>
      </c>
      <c r="D49" t="str">
        <f>TableBARTS[[#This Row],[Structure Line]]</f>
        <v>History Major (BA)</v>
      </c>
      <c r="E49" s="42">
        <f>TableBARTS[[#This Row],[Credit Points]]</f>
        <v>200</v>
      </c>
      <c r="F49">
        <v>7</v>
      </c>
      <c r="G49" t="s">
        <v>936</v>
      </c>
      <c r="J49" t="s">
        <v>133</v>
      </c>
      <c r="K49" s="2">
        <v>2</v>
      </c>
      <c r="L49" t="s">
        <v>132</v>
      </c>
      <c r="M49">
        <v>200</v>
      </c>
      <c r="N49" s="152">
        <v>45292</v>
      </c>
      <c r="O49" s="152"/>
      <c r="Q49" t="s">
        <v>133</v>
      </c>
      <c r="R49">
        <v>1</v>
      </c>
    </row>
    <row r="50" spans="1:18" x14ac:dyDescent="0.25">
      <c r="A50" t="str">
        <f>TableBARTS[[#This Row],[Study Package Code]]</f>
        <v>MJRU-INAUC</v>
      </c>
      <c r="B50" s="2">
        <f>TableBARTS[[#This Row],[Ver]]</f>
        <v>1</v>
      </c>
      <c r="D50" t="str">
        <f>TableBARTS[[#This Row],[Structure Line]]</f>
        <v>Indigenous Australian Culture Major</v>
      </c>
      <c r="E50" s="42">
        <f>TableBARTS[[#This Row],[Credit Points]]</f>
        <v>200</v>
      </c>
      <c r="F50">
        <v>7</v>
      </c>
      <c r="G50" t="s">
        <v>936</v>
      </c>
      <c r="J50" t="s">
        <v>136</v>
      </c>
      <c r="K50" s="2">
        <v>1</v>
      </c>
      <c r="L50" t="s">
        <v>135</v>
      </c>
      <c r="M50">
        <v>200</v>
      </c>
      <c r="N50" s="152">
        <v>45292</v>
      </c>
      <c r="O50" s="152"/>
      <c r="Q50" t="s">
        <v>136</v>
      </c>
      <c r="R50">
        <v>1</v>
      </c>
    </row>
    <row r="51" spans="1:18" x14ac:dyDescent="0.25">
      <c r="A51" t="str">
        <f>TableBARTS[[#This Row],[Study Package Code]]</f>
        <v>MJRU-INTRL</v>
      </c>
      <c r="B51" s="2">
        <f>TableBARTS[[#This Row],[Ver]]</f>
        <v>2</v>
      </c>
      <c r="D51" t="str">
        <f>TableBARTS[[#This Row],[Structure Line]]</f>
        <v>International Relations Major (BA)</v>
      </c>
      <c r="E51" s="42">
        <f>TableBARTS[[#This Row],[Credit Points]]</f>
        <v>200</v>
      </c>
      <c r="F51">
        <v>7</v>
      </c>
      <c r="G51" t="s">
        <v>936</v>
      </c>
      <c r="J51" t="s">
        <v>139</v>
      </c>
      <c r="K51" s="2">
        <v>2</v>
      </c>
      <c r="L51" t="s">
        <v>138</v>
      </c>
      <c r="M51">
        <v>200</v>
      </c>
      <c r="N51" s="152">
        <v>45292</v>
      </c>
      <c r="O51" s="152"/>
      <c r="Q51" t="s">
        <v>139</v>
      </c>
      <c r="R51">
        <v>2</v>
      </c>
    </row>
    <row r="52" spans="1:18" x14ac:dyDescent="0.25">
      <c r="A52" t="str">
        <f>TableBARTS[[#This Row],[Study Package Code]]</f>
        <v>MJRU-JAPAN</v>
      </c>
      <c r="B52" s="2">
        <f>TableBARTS[[#This Row],[Ver]]</f>
        <v>1</v>
      </c>
      <c r="D52" t="str">
        <f>TableBARTS[[#This Row],[Structure Line]]</f>
        <v>Japanese Major (BA)</v>
      </c>
      <c r="E52" s="42">
        <f>TableBARTS[[#This Row],[Credit Points]]</f>
        <v>200</v>
      </c>
      <c r="F52">
        <v>7</v>
      </c>
      <c r="G52" t="s">
        <v>936</v>
      </c>
      <c r="J52" t="s">
        <v>142</v>
      </c>
      <c r="K52" s="2">
        <v>1</v>
      </c>
      <c r="L52" t="s">
        <v>141</v>
      </c>
      <c r="M52">
        <v>200</v>
      </c>
      <c r="N52" s="152">
        <v>42005</v>
      </c>
      <c r="O52" s="152"/>
      <c r="Q52" t="s">
        <v>142</v>
      </c>
      <c r="R52">
        <v>1</v>
      </c>
    </row>
    <row r="53" spans="1:18" x14ac:dyDescent="0.25">
      <c r="A53" t="str">
        <f>TableBARTS[[#This Row],[Study Package Code]]</f>
        <v>MJRU-JOURN</v>
      </c>
      <c r="B53" s="2">
        <f>TableBARTS[[#This Row],[Ver]]</f>
        <v>2</v>
      </c>
      <c r="D53" t="str">
        <f>TableBARTS[[#This Row],[Structure Line]]</f>
        <v>Journalism Major (BA)</v>
      </c>
      <c r="E53" s="42">
        <f>TableBARTS[[#This Row],[Credit Points]]</f>
        <v>200</v>
      </c>
      <c r="F53">
        <v>7</v>
      </c>
      <c r="G53" t="s">
        <v>936</v>
      </c>
      <c r="J53" t="s">
        <v>144</v>
      </c>
      <c r="K53" s="2">
        <v>2</v>
      </c>
      <c r="L53" t="s">
        <v>143</v>
      </c>
      <c r="M53">
        <v>200</v>
      </c>
      <c r="N53" s="152">
        <v>43101</v>
      </c>
      <c r="O53" s="152"/>
      <c r="Q53" t="s">
        <v>144</v>
      </c>
      <c r="R53">
        <v>2</v>
      </c>
    </row>
    <row r="54" spans="1:18" x14ac:dyDescent="0.25">
      <c r="A54" t="str">
        <f>TableBARTS[[#This Row],[Study Package Code]]</f>
        <v>MJRU-KORES</v>
      </c>
      <c r="B54" s="2">
        <f>TableBARTS[[#This Row],[Ver]]</f>
        <v>1</v>
      </c>
      <c r="D54" t="str">
        <f>TableBARTS[[#This Row],[Structure Line]]</f>
        <v>Korean Studies Major (BA)</v>
      </c>
      <c r="E54" s="42">
        <f>TableBARTS[[#This Row],[Credit Points]]</f>
        <v>200</v>
      </c>
      <c r="F54">
        <v>7</v>
      </c>
      <c r="G54" t="s">
        <v>936</v>
      </c>
      <c r="J54" t="s">
        <v>147</v>
      </c>
      <c r="K54" s="2">
        <v>1</v>
      </c>
      <c r="L54" t="s">
        <v>146</v>
      </c>
      <c r="M54">
        <v>200</v>
      </c>
      <c r="N54" s="152">
        <v>44927</v>
      </c>
      <c r="O54" s="152"/>
      <c r="Q54" t="s">
        <v>147</v>
      </c>
      <c r="R54">
        <v>1</v>
      </c>
    </row>
    <row r="55" spans="1:18" x14ac:dyDescent="0.25">
      <c r="A55" t="str">
        <f>TableBARTS[[#This Row],[Study Package Code]]</f>
        <v>MJRU-LITCU</v>
      </c>
      <c r="B55" s="2">
        <f>TableBARTS[[#This Row],[Ver]]</f>
        <v>4</v>
      </c>
      <c r="D55" t="str">
        <f>TableBARTS[[#This Row],[Structure Line]]</f>
        <v>English and Cultural Studies Major (BA)</v>
      </c>
      <c r="E55" s="42">
        <f>TableBARTS[[#This Row],[Credit Points]]</f>
        <v>200</v>
      </c>
      <c r="F55">
        <v>7</v>
      </c>
      <c r="G55" t="s">
        <v>936</v>
      </c>
      <c r="J55" t="s">
        <v>124</v>
      </c>
      <c r="K55" s="2">
        <v>4</v>
      </c>
      <c r="L55" t="s">
        <v>123</v>
      </c>
      <c r="M55">
        <v>200</v>
      </c>
      <c r="N55" s="152">
        <v>44562</v>
      </c>
      <c r="O55" s="152"/>
      <c r="Q55" t="s">
        <v>124</v>
      </c>
      <c r="R55">
        <v>4</v>
      </c>
    </row>
    <row r="56" spans="1:18" x14ac:dyDescent="0.25">
      <c r="A56" t="str">
        <f>TableBARTS[[#This Row],[Study Package Code]]</f>
        <v>MJRU-NETCM</v>
      </c>
      <c r="B56" s="2">
        <f>TableBARTS[[#This Row],[Ver]]</f>
        <v>2</v>
      </c>
      <c r="D56" t="str">
        <f>TableBARTS[[#This Row],[Structure Line]]</f>
        <v>Digital and Social Media Major (BA)</v>
      </c>
      <c r="E56" s="42">
        <f>TableBARTS[[#This Row],[Credit Points]]</f>
        <v>200</v>
      </c>
      <c r="F56">
        <v>7</v>
      </c>
      <c r="G56" t="s">
        <v>936</v>
      </c>
      <c r="J56" t="s">
        <v>121</v>
      </c>
      <c r="K56" s="2">
        <v>2</v>
      </c>
      <c r="L56" t="s">
        <v>13</v>
      </c>
      <c r="M56">
        <v>200</v>
      </c>
      <c r="N56" s="152">
        <v>43831</v>
      </c>
      <c r="O56" s="152"/>
      <c r="Q56" t="s">
        <v>121</v>
      </c>
      <c r="R56">
        <v>2</v>
      </c>
    </row>
    <row r="57" spans="1:18" x14ac:dyDescent="0.25">
      <c r="A57" t="str">
        <f>TableBARTS[[#This Row],[Study Package Code]]</f>
        <v>MJRU-PRWRP</v>
      </c>
      <c r="B57" s="2">
        <f>TableBARTS[[#This Row],[Ver]]</f>
        <v>2</v>
      </c>
      <c r="D57" t="str">
        <f>TableBARTS[[#This Row],[Structure Line]]</f>
        <v>Professional Writing and Publishing Major (BA)</v>
      </c>
      <c r="E57" s="42">
        <f>TableBARTS[[#This Row],[Credit Points]]</f>
        <v>200</v>
      </c>
      <c r="F57">
        <v>7</v>
      </c>
      <c r="G57" t="s">
        <v>936</v>
      </c>
      <c r="J57" t="s">
        <v>151</v>
      </c>
      <c r="K57" s="2">
        <v>2</v>
      </c>
      <c r="L57" t="s">
        <v>150</v>
      </c>
      <c r="M57">
        <v>200</v>
      </c>
      <c r="N57" s="152">
        <v>45292</v>
      </c>
      <c r="O57" s="152"/>
      <c r="Q57" t="s">
        <v>151</v>
      </c>
      <c r="R57">
        <v>2</v>
      </c>
    </row>
    <row r="58" spans="1:18" x14ac:dyDescent="0.25">
      <c r="A58" t="str">
        <f>TableBARTS[[#This Row],[Study Package Code]]</f>
        <v>MJRU-SCSTR</v>
      </c>
      <c r="B58" s="2">
        <f>TableBARTS[[#This Row],[Ver]]</f>
        <v>1</v>
      </c>
      <c r="D58" t="str">
        <f>TableBARTS[[#This Row],[Structure Line]]</f>
        <v>Security and Strategic Studies Major (BA)</v>
      </c>
      <c r="E58" s="42">
        <f>TableBARTS[[#This Row],[Credit Points]]</f>
        <v>200</v>
      </c>
      <c r="F58">
        <v>7</v>
      </c>
      <c r="G58" t="s">
        <v>936</v>
      </c>
      <c r="J58" t="s">
        <v>154</v>
      </c>
      <c r="K58" s="2">
        <v>1</v>
      </c>
      <c r="L58" t="s">
        <v>153</v>
      </c>
      <c r="M58">
        <v>200</v>
      </c>
      <c r="N58" s="152">
        <v>44927</v>
      </c>
      <c r="O58" s="152"/>
      <c r="Q58" t="s">
        <v>154</v>
      </c>
      <c r="R58">
        <v>1</v>
      </c>
    </row>
    <row r="59" spans="1:18" x14ac:dyDescent="0.25">
      <c r="A59">
        <f>TableBARTS[[#This Row],[Study Package Code]]</f>
        <v>0</v>
      </c>
      <c r="B59" s="2">
        <f>TableBARTS[[#This Row],[Ver]]</f>
        <v>0</v>
      </c>
      <c r="D59">
        <f>TableBARTS[[#This Row],[Structure Line]]</f>
        <v>0</v>
      </c>
      <c r="E59" s="42">
        <f>TableBARTS[[#This Row],[Credit Points]]</f>
        <v>0</v>
      </c>
      <c r="N59" s="152"/>
      <c r="O59" s="152"/>
      <c r="Q59" t="s">
        <v>130</v>
      </c>
      <c r="R59">
        <v>1</v>
      </c>
    </row>
    <row r="60" spans="1:18" x14ac:dyDescent="0.25">
      <c r="A60">
        <f>TableBARTS[[#This Row],[Study Package Code]]</f>
        <v>0</v>
      </c>
      <c r="B60" s="2">
        <f>TableBARTS[[#This Row],[Ver]]</f>
        <v>0</v>
      </c>
      <c r="D60">
        <f>TableBARTS[[#This Row],[Structure Line]]</f>
        <v>0</v>
      </c>
      <c r="E60" s="42">
        <f>TableBARTS[[#This Row],[Credit Points]]</f>
        <v>0</v>
      </c>
      <c r="N60" s="152"/>
      <c r="O60" s="152"/>
      <c r="Q60" t="s">
        <v>139</v>
      </c>
      <c r="R60">
        <v>1</v>
      </c>
    </row>
    <row r="61" spans="1:18" x14ac:dyDescent="0.25">
      <c r="A61">
        <f>TableBARTS[[#This Row],[Study Package Code]]</f>
        <v>0</v>
      </c>
      <c r="B61" s="2">
        <f>TableBARTS[[#This Row],[Ver]]</f>
        <v>0</v>
      </c>
      <c r="D61">
        <f>TableBARTS[[#This Row],[Structure Line]]</f>
        <v>0</v>
      </c>
      <c r="E61" s="42">
        <f>TableBARTS[[#This Row],[Credit Points]]</f>
        <v>0</v>
      </c>
      <c r="N61" s="152"/>
      <c r="O61" s="152"/>
      <c r="Q61" t="s">
        <v>151</v>
      </c>
      <c r="R61">
        <v>1</v>
      </c>
    </row>
    <row r="62" spans="1:18" x14ac:dyDescent="0.25">
      <c r="A62" t="str">
        <f>TableBARTS[[#This Row],[Study Package Code]]</f>
        <v>MJRU-ANTSO</v>
      </c>
      <c r="B62" s="2">
        <f>TableBARTS[[#This Row],[Ver]]</f>
        <v>2</v>
      </c>
      <c r="D62" t="str">
        <f>TableBARTS[[#This Row],[Structure Line]]</f>
        <v>Anthropology and Sociology Major (BA)</v>
      </c>
      <c r="E62" s="42">
        <f>TableBARTS[[#This Row],[Credit Points]]</f>
        <v>200</v>
      </c>
      <c r="F62">
        <v>8</v>
      </c>
      <c r="G62" t="s">
        <v>929</v>
      </c>
      <c r="J62" t="s">
        <v>110</v>
      </c>
      <c r="K62" s="2">
        <v>2</v>
      </c>
      <c r="L62" t="s">
        <v>109</v>
      </c>
      <c r="M62">
        <v>200</v>
      </c>
      <c r="N62" s="152">
        <v>42736</v>
      </c>
      <c r="O62" s="152"/>
      <c r="Q62" t="s">
        <v>110</v>
      </c>
      <c r="R62">
        <v>2</v>
      </c>
    </row>
    <row r="63" spans="1:18" x14ac:dyDescent="0.25">
      <c r="A63" t="str">
        <f>TableBARTS[[#This Row],[Study Package Code]]</f>
        <v>MJRU-BSLAW</v>
      </c>
      <c r="B63" s="2">
        <f>TableBARTS[[#This Row],[Ver]]</f>
        <v>2</v>
      </c>
      <c r="D63" t="str">
        <f>TableBARTS[[#This Row],[Structure Line]]</f>
        <v>Business Law Major</v>
      </c>
      <c r="E63" s="42">
        <f>TableBARTS[[#This Row],[Credit Points]]</f>
        <v>200</v>
      </c>
      <c r="F63">
        <v>8</v>
      </c>
      <c r="G63" t="s">
        <v>929</v>
      </c>
      <c r="J63" t="s">
        <v>313</v>
      </c>
      <c r="K63" s="2">
        <v>2</v>
      </c>
      <c r="L63" t="s">
        <v>312</v>
      </c>
      <c r="M63">
        <v>200</v>
      </c>
      <c r="N63" s="152">
        <v>45292</v>
      </c>
      <c r="O63" s="152"/>
      <c r="Q63" t="s">
        <v>313</v>
      </c>
      <c r="R63">
        <v>1</v>
      </c>
    </row>
    <row r="64" spans="1:18" x14ac:dyDescent="0.25">
      <c r="A64" t="str">
        <f>TableBARTS[[#This Row],[Study Package Code]]</f>
        <v>MJRU-CHNSE</v>
      </c>
      <c r="B64" s="2">
        <f>TableBARTS[[#This Row],[Ver]]</f>
        <v>1</v>
      </c>
      <c r="D64" t="str">
        <f>TableBARTS[[#This Row],[Structure Line]]</f>
        <v>Chinese Major (BA)</v>
      </c>
      <c r="E64" s="42">
        <f>TableBARTS[[#This Row],[Credit Points]]</f>
        <v>200</v>
      </c>
      <c r="F64">
        <v>8</v>
      </c>
      <c r="G64" t="s">
        <v>929</v>
      </c>
      <c r="J64" t="s">
        <v>115</v>
      </c>
      <c r="K64" s="2">
        <v>1</v>
      </c>
      <c r="L64" t="s">
        <v>114</v>
      </c>
      <c r="M64">
        <v>200</v>
      </c>
      <c r="N64" s="152">
        <v>42005</v>
      </c>
      <c r="O64" s="152"/>
      <c r="Q64" t="s">
        <v>115</v>
      </c>
      <c r="R64">
        <v>1</v>
      </c>
    </row>
    <row r="65" spans="1:18" x14ac:dyDescent="0.25">
      <c r="A65" t="str">
        <f>TableBARTS[[#This Row],[Study Package Code]]</f>
        <v>MJRU-CRWRI</v>
      </c>
      <c r="B65" s="2">
        <f>TableBARTS[[#This Row],[Ver]]</f>
        <v>1</v>
      </c>
      <c r="D65" t="str">
        <f>TableBARTS[[#This Row],[Structure Line]]</f>
        <v>Creative Writing Major (BA)</v>
      </c>
      <c r="E65" s="42">
        <f>TableBARTS[[#This Row],[Credit Points]]</f>
        <v>200</v>
      </c>
      <c r="F65">
        <v>8</v>
      </c>
      <c r="G65" t="s">
        <v>929</v>
      </c>
      <c r="J65" t="s">
        <v>119</v>
      </c>
      <c r="K65" s="2">
        <v>1</v>
      </c>
      <c r="L65" t="s">
        <v>118</v>
      </c>
      <c r="M65">
        <v>200</v>
      </c>
      <c r="N65" s="152">
        <v>42005</v>
      </c>
      <c r="O65" s="152"/>
      <c r="Q65" t="s">
        <v>119</v>
      </c>
      <c r="R65">
        <v>1</v>
      </c>
    </row>
    <row r="66" spans="1:18" x14ac:dyDescent="0.25">
      <c r="A66" t="str">
        <f>TableBARTS[[#This Row],[Study Package Code]]</f>
        <v>MJRU-ECONS</v>
      </c>
      <c r="B66" s="2">
        <f>TableBARTS[[#This Row],[Ver]]</f>
        <v>2</v>
      </c>
      <c r="D66" t="str">
        <f>TableBARTS[[#This Row],[Structure Line]]</f>
        <v>Economics Major</v>
      </c>
      <c r="E66" s="42">
        <f>TableBARTS[[#This Row],[Credit Points]]</f>
        <v>200</v>
      </c>
      <c r="F66">
        <v>8</v>
      </c>
      <c r="G66" t="s">
        <v>929</v>
      </c>
      <c r="J66" t="s">
        <v>315</v>
      </c>
      <c r="K66" s="2">
        <v>2</v>
      </c>
      <c r="L66" t="s">
        <v>314</v>
      </c>
      <c r="M66">
        <v>200</v>
      </c>
      <c r="N66" s="152">
        <v>45292</v>
      </c>
      <c r="O66" s="152"/>
      <c r="Q66" t="s">
        <v>315</v>
      </c>
      <c r="R66">
        <v>1</v>
      </c>
    </row>
    <row r="67" spans="1:18" x14ac:dyDescent="0.25">
      <c r="A67" t="str">
        <f>TableBARTS[[#This Row],[Study Package Code]]</f>
        <v>MJRU-FINAR</v>
      </c>
      <c r="B67" s="2">
        <f>TableBARTS[[#This Row],[Ver]]</f>
        <v>1</v>
      </c>
      <c r="D67" t="str">
        <f>TableBARTS[[#This Row],[Structure Line]]</f>
        <v>Fine Art Major (BCA)</v>
      </c>
      <c r="E67" s="42">
        <f>TableBARTS[[#This Row],[Credit Points]]</f>
        <v>200</v>
      </c>
      <c r="F67">
        <v>8</v>
      </c>
      <c r="G67" t="s">
        <v>929</v>
      </c>
      <c r="J67" t="s">
        <v>347</v>
      </c>
      <c r="K67" s="2">
        <v>1</v>
      </c>
      <c r="L67" t="s">
        <v>346</v>
      </c>
      <c r="M67">
        <v>200</v>
      </c>
      <c r="N67" s="152">
        <v>43831</v>
      </c>
      <c r="O67" s="152"/>
      <c r="Q67" t="s">
        <v>347</v>
      </c>
      <c r="R67">
        <v>1</v>
      </c>
    </row>
    <row r="68" spans="1:18" x14ac:dyDescent="0.25">
      <c r="A68" t="str">
        <f>TableBARTS[[#This Row],[Study Package Code]]</f>
        <v>MJRU-FINCE</v>
      </c>
      <c r="B68" s="2">
        <f>TableBARTS[[#This Row],[Ver]]</f>
        <v>2</v>
      </c>
      <c r="D68" t="str">
        <f>TableBARTS[[#This Row],[Structure Line]]</f>
        <v>Finance Major</v>
      </c>
      <c r="E68" s="42">
        <f>TableBARTS[[#This Row],[Credit Points]]</f>
        <v>200</v>
      </c>
      <c r="F68">
        <v>8</v>
      </c>
      <c r="G68" t="s">
        <v>929</v>
      </c>
      <c r="J68" t="s">
        <v>317</v>
      </c>
      <c r="K68" s="2">
        <v>2</v>
      </c>
      <c r="L68" t="s">
        <v>316</v>
      </c>
      <c r="M68">
        <v>200</v>
      </c>
      <c r="N68" s="152">
        <v>45292</v>
      </c>
      <c r="O68" s="152"/>
      <c r="Q68" t="s">
        <v>317</v>
      </c>
      <c r="R68">
        <v>1</v>
      </c>
    </row>
    <row r="69" spans="1:18" x14ac:dyDescent="0.25">
      <c r="A69" t="str">
        <f>TableBARTS[[#This Row],[Study Package Code]]</f>
        <v>MJRU-GEOGR</v>
      </c>
      <c r="B69" s="2">
        <f>TableBARTS[[#This Row],[Ver]]</f>
        <v>2</v>
      </c>
      <c r="D69" t="str">
        <f>TableBARTS[[#This Row],[Structure Line]]</f>
        <v>Geography Major (BA)</v>
      </c>
      <c r="E69" s="42">
        <f>TableBARTS[[#This Row],[Credit Points]]</f>
        <v>200</v>
      </c>
      <c r="F69">
        <v>8</v>
      </c>
      <c r="G69" t="s">
        <v>929</v>
      </c>
      <c r="J69" t="s">
        <v>130</v>
      </c>
      <c r="K69" s="2">
        <v>2</v>
      </c>
      <c r="L69" t="s">
        <v>129</v>
      </c>
      <c r="M69">
        <v>200</v>
      </c>
      <c r="N69" s="152">
        <v>45292</v>
      </c>
      <c r="O69" s="152"/>
      <c r="Q69" t="s">
        <v>130</v>
      </c>
      <c r="R69">
        <v>2</v>
      </c>
    </row>
    <row r="70" spans="1:18" x14ac:dyDescent="0.25">
      <c r="A70" t="str">
        <f>TableBARTS[[#This Row],[Study Package Code]]</f>
        <v>MJRU-HISTR</v>
      </c>
      <c r="B70" s="2">
        <f>TableBARTS[[#This Row],[Ver]]</f>
        <v>2</v>
      </c>
      <c r="D70" t="str">
        <f>TableBARTS[[#This Row],[Structure Line]]</f>
        <v>History Major (BA)</v>
      </c>
      <c r="E70" s="42">
        <f>TableBARTS[[#This Row],[Credit Points]]</f>
        <v>200</v>
      </c>
      <c r="F70">
        <v>8</v>
      </c>
      <c r="G70" t="s">
        <v>929</v>
      </c>
      <c r="J70" t="s">
        <v>133</v>
      </c>
      <c r="K70" s="2">
        <v>2</v>
      </c>
      <c r="L70" t="s">
        <v>132</v>
      </c>
      <c r="M70">
        <v>200</v>
      </c>
      <c r="N70" s="152">
        <v>45292</v>
      </c>
      <c r="O70" s="152"/>
      <c r="Q70" t="s">
        <v>133</v>
      </c>
      <c r="R70">
        <v>1</v>
      </c>
    </row>
    <row r="71" spans="1:18" x14ac:dyDescent="0.25">
      <c r="A71" t="str">
        <f>TableBARTS[[#This Row],[Study Package Code]]</f>
        <v>MJRU-HRMGM</v>
      </c>
      <c r="B71" s="2">
        <f>TableBARTS[[#This Row],[Ver]]</f>
        <v>1</v>
      </c>
      <c r="D71" t="str">
        <f>TableBARTS[[#This Row],[Structure Line]]</f>
        <v>Human Resource Management Major (BCom)</v>
      </c>
      <c r="E71" s="42">
        <f>TableBARTS[[#This Row],[Credit Points]]</f>
        <v>200</v>
      </c>
      <c r="F71">
        <v>8</v>
      </c>
      <c r="G71" t="s">
        <v>929</v>
      </c>
      <c r="J71" t="s">
        <v>320</v>
      </c>
      <c r="K71" s="2">
        <v>1</v>
      </c>
      <c r="L71" t="s">
        <v>319</v>
      </c>
      <c r="M71">
        <v>200</v>
      </c>
      <c r="N71" s="152">
        <v>42005</v>
      </c>
      <c r="O71" s="152"/>
      <c r="Q71" t="s">
        <v>320</v>
      </c>
      <c r="R71">
        <v>1</v>
      </c>
    </row>
    <row r="72" spans="1:18" x14ac:dyDescent="0.25">
      <c r="A72" t="str">
        <f>TableBARTS[[#This Row],[Study Package Code]]</f>
        <v>MJRU-INAUC</v>
      </c>
      <c r="B72" s="2">
        <f>TableBARTS[[#This Row],[Ver]]</f>
        <v>1</v>
      </c>
      <c r="D72" t="str">
        <f>TableBARTS[[#This Row],[Structure Line]]</f>
        <v>Indigenous Australian Culture Major</v>
      </c>
      <c r="E72" s="42">
        <f>TableBARTS[[#This Row],[Credit Points]]</f>
        <v>200</v>
      </c>
      <c r="F72">
        <v>8</v>
      </c>
      <c r="G72" t="s">
        <v>929</v>
      </c>
      <c r="J72" t="s">
        <v>136</v>
      </c>
      <c r="K72" s="2">
        <v>1</v>
      </c>
      <c r="L72" t="s">
        <v>135</v>
      </c>
      <c r="M72">
        <v>200</v>
      </c>
      <c r="N72" s="152">
        <v>45292</v>
      </c>
      <c r="O72" s="152"/>
    </row>
    <row r="73" spans="1:18" x14ac:dyDescent="0.25">
      <c r="A73" t="str">
        <f>TableBARTS[[#This Row],[Study Package Code]]</f>
        <v>MJRU-INTBU</v>
      </c>
      <c r="B73" s="2">
        <f>TableBARTS[[#This Row],[Ver]]</f>
        <v>2</v>
      </c>
      <c r="D73" t="str">
        <f>TableBARTS[[#This Row],[Structure Line]]</f>
        <v>International Business Major</v>
      </c>
      <c r="E73" s="42">
        <f>TableBARTS[[#This Row],[Credit Points]]</f>
        <v>200</v>
      </c>
      <c r="F73">
        <v>8</v>
      </c>
      <c r="G73" t="s">
        <v>929</v>
      </c>
      <c r="J73" t="s">
        <v>322</v>
      </c>
      <c r="K73" s="2">
        <v>2</v>
      </c>
      <c r="L73" t="s">
        <v>321</v>
      </c>
      <c r="M73">
        <v>200</v>
      </c>
      <c r="N73" s="152">
        <v>45292</v>
      </c>
      <c r="O73" s="152"/>
      <c r="Q73" t="s">
        <v>322</v>
      </c>
      <c r="R73">
        <v>1</v>
      </c>
    </row>
    <row r="74" spans="1:18" x14ac:dyDescent="0.25">
      <c r="A74" t="str">
        <f>TableBARTS[[#This Row],[Study Package Code]]</f>
        <v>MJRU-INTRL</v>
      </c>
      <c r="B74" s="2">
        <f>TableBARTS[[#This Row],[Ver]]</f>
        <v>2</v>
      </c>
      <c r="D74" t="str">
        <f>TableBARTS[[#This Row],[Structure Line]]</f>
        <v>International Relations Major (BA)</v>
      </c>
      <c r="E74" s="42">
        <f>TableBARTS[[#This Row],[Credit Points]]</f>
        <v>200</v>
      </c>
      <c r="F74">
        <v>8</v>
      </c>
      <c r="G74" t="s">
        <v>929</v>
      </c>
      <c r="J74" t="s">
        <v>139</v>
      </c>
      <c r="K74" s="2">
        <v>2</v>
      </c>
      <c r="L74" t="s">
        <v>138</v>
      </c>
      <c r="M74">
        <v>200</v>
      </c>
      <c r="N74" s="152">
        <v>45292</v>
      </c>
      <c r="O74" s="152"/>
      <c r="Q74" t="s">
        <v>139</v>
      </c>
      <c r="R74">
        <v>2</v>
      </c>
    </row>
    <row r="75" spans="1:18" x14ac:dyDescent="0.25">
      <c r="A75" t="str">
        <f>TableBARTS[[#This Row],[Study Package Code]]</f>
        <v>MJRU-JAPAN</v>
      </c>
      <c r="B75" s="2">
        <f>TableBARTS[[#This Row],[Ver]]</f>
        <v>1</v>
      </c>
      <c r="D75" t="str">
        <f>TableBARTS[[#This Row],[Structure Line]]</f>
        <v>Japanese Major (BA)</v>
      </c>
      <c r="E75" s="42">
        <f>TableBARTS[[#This Row],[Credit Points]]</f>
        <v>200</v>
      </c>
      <c r="F75">
        <v>8</v>
      </c>
      <c r="G75" t="s">
        <v>929</v>
      </c>
      <c r="J75" t="s">
        <v>142</v>
      </c>
      <c r="K75" s="2">
        <v>1</v>
      </c>
      <c r="L75" t="s">
        <v>141</v>
      </c>
      <c r="M75">
        <v>200</v>
      </c>
      <c r="N75" s="152">
        <v>42005</v>
      </c>
      <c r="O75" s="152"/>
      <c r="Q75" t="s">
        <v>142</v>
      </c>
      <c r="R75">
        <v>1</v>
      </c>
    </row>
    <row r="76" spans="1:18" x14ac:dyDescent="0.25">
      <c r="A76" t="str">
        <f>TableBARTS[[#This Row],[Study Package Code]]</f>
        <v>MJRU-JOURN</v>
      </c>
      <c r="B76" s="2">
        <f>TableBARTS[[#This Row],[Ver]]</f>
        <v>2</v>
      </c>
      <c r="D76" t="str">
        <f>TableBARTS[[#This Row],[Structure Line]]</f>
        <v>Journalism Major (BA)</v>
      </c>
      <c r="E76" s="42">
        <f>TableBARTS[[#This Row],[Credit Points]]</f>
        <v>200</v>
      </c>
      <c r="F76">
        <v>8</v>
      </c>
      <c r="G76" t="s">
        <v>929</v>
      </c>
      <c r="J76" t="s">
        <v>144</v>
      </c>
      <c r="K76" s="2">
        <v>2</v>
      </c>
      <c r="L76" t="s">
        <v>143</v>
      </c>
      <c r="M76">
        <v>200</v>
      </c>
      <c r="N76" s="152">
        <v>43101</v>
      </c>
      <c r="O76" s="152"/>
      <c r="Q76" t="s">
        <v>144</v>
      </c>
      <c r="R76">
        <v>2</v>
      </c>
    </row>
    <row r="77" spans="1:18" x14ac:dyDescent="0.25">
      <c r="A77" t="str">
        <f>TableBARTS[[#This Row],[Study Package Code]]</f>
        <v>MJRU-KORES</v>
      </c>
      <c r="B77" s="2">
        <f>TableBARTS[[#This Row],[Ver]]</f>
        <v>1</v>
      </c>
      <c r="D77" t="str">
        <f>TableBARTS[[#This Row],[Structure Line]]</f>
        <v>Korean Studies Major (BA)</v>
      </c>
      <c r="E77" s="42">
        <f>TableBARTS[[#This Row],[Credit Points]]</f>
        <v>200</v>
      </c>
      <c r="F77">
        <v>8</v>
      </c>
      <c r="G77" t="s">
        <v>929</v>
      </c>
      <c r="J77" t="s">
        <v>147</v>
      </c>
      <c r="K77" s="2">
        <v>1</v>
      </c>
      <c r="L77" t="s">
        <v>146</v>
      </c>
      <c r="M77">
        <v>200</v>
      </c>
      <c r="N77" s="152">
        <v>44927</v>
      </c>
      <c r="O77" s="152"/>
      <c r="Q77" t="s">
        <v>147</v>
      </c>
      <c r="R77">
        <v>1</v>
      </c>
    </row>
    <row r="78" spans="1:18" x14ac:dyDescent="0.25">
      <c r="A78" t="str">
        <f>TableBARTS[[#This Row],[Study Package Code]]</f>
        <v>MJRU-LGSCM</v>
      </c>
      <c r="B78" s="2">
        <f>TableBARTS[[#This Row],[Ver]]</f>
        <v>3</v>
      </c>
      <c r="D78" t="str">
        <f>TableBARTS[[#This Row],[Structure Line]]</f>
        <v>Logistics and Supply Chain Management Major</v>
      </c>
      <c r="E78" s="42">
        <f>TableBARTS[[#This Row],[Credit Points]]</f>
        <v>200</v>
      </c>
      <c r="F78">
        <v>8</v>
      </c>
      <c r="G78" t="s">
        <v>929</v>
      </c>
      <c r="J78" t="s">
        <v>324</v>
      </c>
      <c r="K78" s="2">
        <v>3</v>
      </c>
      <c r="L78" t="s">
        <v>323</v>
      </c>
      <c r="M78">
        <v>200</v>
      </c>
      <c r="N78" s="152">
        <v>45292</v>
      </c>
      <c r="O78" s="152"/>
      <c r="Q78" t="s">
        <v>324</v>
      </c>
      <c r="R78">
        <v>2</v>
      </c>
    </row>
    <row r="79" spans="1:18" x14ac:dyDescent="0.25">
      <c r="A79" t="str">
        <f>TableBARTS[[#This Row],[Study Package Code]]</f>
        <v>MJRU-LITCU</v>
      </c>
      <c r="B79" s="2">
        <f>TableBARTS[[#This Row],[Ver]]</f>
        <v>4</v>
      </c>
      <c r="D79" t="str">
        <f>TableBARTS[[#This Row],[Structure Line]]</f>
        <v>English and Cultural Studies Major (BA)</v>
      </c>
      <c r="E79" s="42">
        <f>TableBARTS[[#This Row],[Credit Points]]</f>
        <v>200</v>
      </c>
      <c r="F79">
        <v>8</v>
      </c>
      <c r="G79" t="s">
        <v>929</v>
      </c>
      <c r="J79" t="s">
        <v>124</v>
      </c>
      <c r="K79" s="2">
        <v>4</v>
      </c>
      <c r="L79" t="s">
        <v>123</v>
      </c>
      <c r="M79">
        <v>200</v>
      </c>
      <c r="N79" s="152">
        <v>44562</v>
      </c>
      <c r="O79" s="152"/>
      <c r="Q79" t="s">
        <v>124</v>
      </c>
      <c r="R79">
        <v>4</v>
      </c>
    </row>
    <row r="80" spans="1:18" x14ac:dyDescent="0.25">
      <c r="A80" t="str">
        <f>TableBARTS[[#This Row],[Study Package Code]]</f>
        <v>MJRU-MNGMT</v>
      </c>
      <c r="B80" s="2">
        <f>TableBARTS[[#This Row],[Ver]]</f>
        <v>1</v>
      </c>
      <c r="D80" t="str">
        <f>TableBARTS[[#This Row],[Structure Line]]</f>
        <v>Management Major (BCom)</v>
      </c>
      <c r="E80" s="42">
        <f>TableBARTS[[#This Row],[Credit Points]]</f>
        <v>200</v>
      </c>
      <c r="F80">
        <v>8</v>
      </c>
      <c r="G80" t="s">
        <v>929</v>
      </c>
      <c r="J80" t="s">
        <v>327</v>
      </c>
      <c r="K80" s="2">
        <v>1</v>
      </c>
      <c r="L80" t="s">
        <v>326</v>
      </c>
      <c r="M80">
        <v>200</v>
      </c>
      <c r="N80" s="152">
        <v>42005</v>
      </c>
      <c r="O80" s="152"/>
      <c r="Q80" t="s">
        <v>327</v>
      </c>
      <c r="R80">
        <v>1</v>
      </c>
    </row>
    <row r="81" spans="1:21" x14ac:dyDescent="0.25">
      <c r="A81" t="str">
        <f>TableBARTS[[#This Row],[Study Package Code]]</f>
        <v>MJRU-MRKTG</v>
      </c>
      <c r="B81" s="2">
        <f>TableBARTS[[#This Row],[Ver]]</f>
        <v>2</v>
      </c>
      <c r="D81" t="str">
        <f>TableBARTS[[#This Row],[Structure Line]]</f>
        <v>Marketing Major</v>
      </c>
      <c r="E81" s="42">
        <f>TableBARTS[[#This Row],[Credit Points]]</f>
        <v>200</v>
      </c>
      <c r="F81">
        <v>8</v>
      </c>
      <c r="G81" t="s">
        <v>929</v>
      </c>
      <c r="J81" t="s">
        <v>329</v>
      </c>
      <c r="K81" s="2">
        <v>2</v>
      </c>
      <c r="L81" t="s">
        <v>328</v>
      </c>
      <c r="M81">
        <v>200</v>
      </c>
      <c r="N81" s="152">
        <v>45292</v>
      </c>
      <c r="O81" s="152"/>
      <c r="Q81" t="s">
        <v>329</v>
      </c>
      <c r="R81">
        <v>2</v>
      </c>
    </row>
    <row r="82" spans="1:21" x14ac:dyDescent="0.25">
      <c r="A82" t="str">
        <f>TableBARTS[[#This Row],[Study Package Code]]</f>
        <v>MJRU-NETCM</v>
      </c>
      <c r="B82" s="2">
        <f>TableBARTS[[#This Row],[Ver]]</f>
        <v>2</v>
      </c>
      <c r="D82" t="str">
        <f>TableBARTS[[#This Row],[Structure Line]]</f>
        <v>Digital and Social Media Major (BA)</v>
      </c>
      <c r="E82" s="42">
        <f>TableBARTS[[#This Row],[Credit Points]]</f>
        <v>200</v>
      </c>
      <c r="F82">
        <v>8</v>
      </c>
      <c r="G82" t="s">
        <v>929</v>
      </c>
      <c r="J82" t="s">
        <v>121</v>
      </c>
      <c r="K82" s="2">
        <v>2</v>
      </c>
      <c r="L82" t="s">
        <v>13</v>
      </c>
      <c r="M82">
        <v>200</v>
      </c>
      <c r="N82" s="152">
        <v>43831</v>
      </c>
      <c r="O82" s="152"/>
      <c r="Q82" t="s">
        <v>121</v>
      </c>
      <c r="R82">
        <v>2</v>
      </c>
    </row>
    <row r="83" spans="1:21" x14ac:dyDescent="0.25">
      <c r="A83" t="str">
        <f>TableBARTS[[#This Row],[Study Package Code]]</f>
        <v>MJRU-PRPTY</v>
      </c>
      <c r="B83" s="2">
        <f>TableBARTS[[#This Row],[Ver]]</f>
        <v>3</v>
      </c>
      <c r="D83" t="str">
        <f>TableBARTS[[#This Row],[Structure Line]]</f>
        <v>Property Investment and Development Major</v>
      </c>
      <c r="E83" s="42">
        <f>TableBARTS[[#This Row],[Credit Points]]</f>
        <v>200</v>
      </c>
      <c r="F83">
        <v>8</v>
      </c>
      <c r="G83" t="s">
        <v>929</v>
      </c>
      <c r="J83" t="s">
        <v>331</v>
      </c>
      <c r="K83" s="2">
        <v>3</v>
      </c>
      <c r="L83" t="s">
        <v>330</v>
      </c>
      <c r="M83">
        <v>200</v>
      </c>
      <c r="N83" s="152">
        <v>45292</v>
      </c>
      <c r="O83" s="152"/>
      <c r="Q83" t="s">
        <v>331</v>
      </c>
      <c r="R83">
        <v>2</v>
      </c>
    </row>
    <row r="84" spans="1:21" x14ac:dyDescent="0.25">
      <c r="A84" t="str">
        <f>TableBARTS[[#This Row],[Study Package Code]]</f>
        <v>MJRU-PRWRP</v>
      </c>
      <c r="B84" s="2">
        <f>TableBARTS[[#This Row],[Ver]]</f>
        <v>2</v>
      </c>
      <c r="D84" t="str">
        <f>TableBARTS[[#This Row],[Structure Line]]</f>
        <v>Professional Writing and Publishing Major (BA)</v>
      </c>
      <c r="E84" s="42">
        <f>TableBARTS[[#This Row],[Credit Points]]</f>
        <v>200</v>
      </c>
      <c r="F84">
        <v>8</v>
      </c>
      <c r="G84" t="s">
        <v>929</v>
      </c>
      <c r="J84" t="s">
        <v>151</v>
      </c>
      <c r="K84" s="2">
        <v>2</v>
      </c>
      <c r="L84" t="s">
        <v>150</v>
      </c>
      <c r="M84">
        <v>200</v>
      </c>
      <c r="N84" s="152">
        <v>45292</v>
      </c>
      <c r="O84" s="152"/>
      <c r="Q84" t="s">
        <v>151</v>
      </c>
      <c r="R84">
        <v>2</v>
      </c>
    </row>
    <row r="85" spans="1:21" x14ac:dyDescent="0.25">
      <c r="A85" t="str">
        <f>TableBARTS[[#This Row],[Study Package Code]]</f>
        <v>MJRU-SCRAR</v>
      </c>
      <c r="B85" s="2">
        <f>TableBARTS[[#This Row],[Ver]]</f>
        <v>1</v>
      </c>
      <c r="D85" t="str">
        <f>TableBARTS[[#This Row],[Structure Line]]</f>
        <v>Screen Arts Major (BCA)</v>
      </c>
      <c r="E85" s="42">
        <f>TableBARTS[[#This Row],[Credit Points]]</f>
        <v>200</v>
      </c>
      <c r="F85">
        <v>8</v>
      </c>
      <c r="G85" t="s">
        <v>929</v>
      </c>
      <c r="J85" t="s">
        <v>333</v>
      </c>
      <c r="K85" s="2">
        <v>1</v>
      </c>
      <c r="L85" t="s">
        <v>332</v>
      </c>
      <c r="M85">
        <v>200</v>
      </c>
      <c r="N85" s="152">
        <v>43831</v>
      </c>
      <c r="O85" s="152"/>
      <c r="Q85" t="s">
        <v>333</v>
      </c>
      <c r="R85">
        <v>1</v>
      </c>
    </row>
    <row r="86" spans="1:21" x14ac:dyDescent="0.25">
      <c r="A86" t="str">
        <f>TableBARTS[[#This Row],[Study Package Code]]</f>
        <v>MJRU-SCSTR</v>
      </c>
      <c r="B86" s="2">
        <f>TableBARTS[[#This Row],[Ver]]</f>
        <v>1</v>
      </c>
      <c r="D86" t="str">
        <f>TableBARTS[[#This Row],[Structure Line]]</f>
        <v>Security and Strategic Studies Major (BA)</v>
      </c>
      <c r="E86" s="42">
        <f>TableBARTS[[#This Row],[Credit Points]]</f>
        <v>200</v>
      </c>
      <c r="F86">
        <v>8</v>
      </c>
      <c r="G86" t="s">
        <v>929</v>
      </c>
      <c r="J86" t="s">
        <v>154</v>
      </c>
      <c r="K86" s="2">
        <v>1</v>
      </c>
      <c r="L86" t="s">
        <v>153</v>
      </c>
      <c r="M86">
        <v>200</v>
      </c>
      <c r="N86" s="152">
        <v>44927</v>
      </c>
      <c r="O86" s="152"/>
      <c r="Q86" t="s">
        <v>154</v>
      </c>
      <c r="R86">
        <v>1</v>
      </c>
    </row>
    <row r="87" spans="1:21" x14ac:dyDescent="0.25">
      <c r="A87" t="str">
        <f>TableBARTS[[#This Row],[Study Package Code]]</f>
        <v>MJRU-THTRA</v>
      </c>
      <c r="B87" s="2">
        <f>TableBARTS[[#This Row],[Ver]]</f>
        <v>1</v>
      </c>
      <c r="D87" t="str">
        <f>TableBARTS[[#This Row],[Structure Line]]</f>
        <v>Theatre Arts Major (BCA)</v>
      </c>
      <c r="E87" s="42">
        <f>TableBARTS[[#This Row],[Credit Points]]</f>
        <v>200</v>
      </c>
      <c r="F87">
        <v>8</v>
      </c>
      <c r="G87" t="s">
        <v>929</v>
      </c>
      <c r="J87" t="s">
        <v>337</v>
      </c>
      <c r="K87" s="2">
        <v>1</v>
      </c>
      <c r="L87" t="s">
        <v>336</v>
      </c>
      <c r="M87">
        <v>200</v>
      </c>
      <c r="N87" s="152">
        <v>43831</v>
      </c>
      <c r="O87" s="152"/>
      <c r="Q87" t="s">
        <v>337</v>
      </c>
      <c r="R87">
        <v>1</v>
      </c>
    </row>
    <row r="88" spans="1:21" x14ac:dyDescent="0.25">
      <c r="A88" t="str">
        <f>TableBARTS[[#This Row],[Study Package Code]]</f>
        <v>MJRU-TRHOS</v>
      </c>
      <c r="B88" s="2">
        <f>TableBARTS[[#This Row],[Ver]]</f>
        <v>2</v>
      </c>
      <c r="D88" t="str">
        <f>TableBARTS[[#This Row],[Structure Line]]</f>
        <v>Tourism and Hospitality Major (BCom)</v>
      </c>
      <c r="E88" s="42">
        <f>TableBARTS[[#This Row],[Credit Points]]</f>
        <v>200</v>
      </c>
      <c r="F88">
        <v>8</v>
      </c>
      <c r="G88" t="s">
        <v>929</v>
      </c>
      <c r="J88" t="s">
        <v>342</v>
      </c>
      <c r="K88" s="2">
        <v>2</v>
      </c>
      <c r="L88" t="s">
        <v>16</v>
      </c>
      <c r="M88">
        <v>200</v>
      </c>
      <c r="N88" s="152">
        <v>45292</v>
      </c>
      <c r="O88" s="152"/>
      <c r="Q88" t="s">
        <v>342</v>
      </c>
      <c r="R88">
        <v>2</v>
      </c>
    </row>
    <row r="89" spans="1:21" x14ac:dyDescent="0.25">
      <c r="A89">
        <f>TableBARTS[[#This Row],[Study Package Code]]</f>
        <v>0</v>
      </c>
      <c r="B89" s="2">
        <f>TableBARTS[[#This Row],[Ver]]</f>
        <v>0</v>
      </c>
      <c r="D89">
        <f>TableBARTS[[#This Row],[Structure Line]]</f>
        <v>0</v>
      </c>
      <c r="E89" s="42">
        <f>TableBARTS[[#This Row],[Credit Points]]</f>
        <v>0</v>
      </c>
      <c r="N89" s="152"/>
      <c r="O89" s="152"/>
      <c r="U89">
        <v>1</v>
      </c>
    </row>
    <row r="90" spans="1:21" x14ac:dyDescent="0.25">
      <c r="A90">
        <f>TableBARTS[[#This Row],[Study Package Code]]</f>
        <v>0</v>
      </c>
      <c r="B90" s="2">
        <f>TableBARTS[[#This Row],[Ver]]</f>
        <v>0</v>
      </c>
      <c r="D90">
        <f>TableBARTS[[#This Row],[Structure Line]]</f>
        <v>0</v>
      </c>
      <c r="E90" s="42">
        <f>TableBARTS[[#This Row],[Credit Points]]</f>
        <v>0</v>
      </c>
      <c r="N90" s="152"/>
      <c r="O90" s="152"/>
      <c r="U90">
        <v>1</v>
      </c>
    </row>
    <row r="91" spans="1:21" x14ac:dyDescent="0.25">
      <c r="A91">
        <f>TableBARTS[[#This Row],[Study Package Code]]</f>
        <v>0</v>
      </c>
      <c r="B91" s="2">
        <f>TableBARTS[[#This Row],[Ver]]</f>
        <v>0</v>
      </c>
      <c r="D91">
        <f>TableBARTS[[#This Row],[Structure Line]]</f>
        <v>0</v>
      </c>
      <c r="E91" s="42">
        <f>TableBARTS[[#This Row],[Credit Points]]</f>
        <v>0</v>
      </c>
      <c r="N91" s="152"/>
      <c r="O91" s="152"/>
      <c r="U91">
        <v>1</v>
      </c>
    </row>
    <row r="92" spans="1:21" x14ac:dyDescent="0.25">
      <c r="A92">
        <f>TableBARTS[[#This Row],[Study Package Code]]</f>
        <v>0</v>
      </c>
      <c r="B92" s="2">
        <f>TableBARTS[[#This Row],[Ver]]</f>
        <v>0</v>
      </c>
      <c r="D92">
        <f>TableBARTS[[#This Row],[Structure Line]]</f>
        <v>0</v>
      </c>
      <c r="E92" s="42">
        <f>TableBARTS[[#This Row],[Credit Points]]</f>
        <v>0</v>
      </c>
      <c r="N92" s="152"/>
      <c r="O92" s="152"/>
      <c r="U92">
        <v>1</v>
      </c>
    </row>
    <row r="93" spans="1:21" x14ac:dyDescent="0.25">
      <c r="B93"/>
      <c r="E93"/>
      <c r="F93" s="39"/>
      <c r="G93" s="40" t="s">
        <v>913</v>
      </c>
      <c r="H93" s="183">
        <v>42736</v>
      </c>
      <c r="I93" s="39"/>
      <c r="J93" s="155" t="s">
        <v>110</v>
      </c>
      <c r="K93" s="41" t="s">
        <v>111</v>
      </c>
      <c r="L93" s="39" t="s">
        <v>109</v>
      </c>
      <c r="M93" s="39"/>
      <c r="N93" s="179" t="s">
        <v>914</v>
      </c>
      <c r="O93" s="180">
        <v>45327</v>
      </c>
      <c r="U93">
        <v>1</v>
      </c>
    </row>
    <row r="94" spans="1:21" x14ac:dyDescent="0.25">
      <c r="A94" t="s">
        <v>0</v>
      </c>
      <c r="B94" s="2" t="s">
        <v>915</v>
      </c>
      <c r="C94" t="s">
        <v>916</v>
      </c>
      <c r="D94" t="s">
        <v>3</v>
      </c>
      <c r="E94" s="42" t="s">
        <v>917</v>
      </c>
      <c r="F94" t="s">
        <v>918</v>
      </c>
      <c r="G94" t="s">
        <v>919</v>
      </c>
      <c r="H94" t="s">
        <v>920</v>
      </c>
      <c r="I94" t="s">
        <v>23</v>
      </c>
      <c r="J94" t="s">
        <v>921</v>
      </c>
      <c r="K94" s="2" t="s">
        <v>1</v>
      </c>
      <c r="L94" t="s">
        <v>922</v>
      </c>
      <c r="M94" t="s">
        <v>86</v>
      </c>
      <c r="N94" t="s">
        <v>923</v>
      </c>
      <c r="O94" t="s">
        <v>924</v>
      </c>
      <c r="Q94" t="s">
        <v>925</v>
      </c>
      <c r="R94" t="s">
        <v>926</v>
      </c>
    </row>
    <row r="95" spans="1:21" x14ac:dyDescent="0.25">
      <c r="A95" t="str">
        <f>TableMJRUANTSO[[#This Row],[Study Package Code]]</f>
        <v>ANTH2003</v>
      </c>
      <c r="B95" s="2">
        <f>TableMJRUANTSO[[#This Row],[Ver]]</f>
        <v>1</v>
      </c>
      <c r="D95" t="str">
        <f>TableMJRUANTSO[[#This Row],[Structure Line]]</f>
        <v>Language and Social Life</v>
      </c>
      <c r="E95" s="42">
        <f>TableMJRUANTSO[[#This Row],[Credit Points]]</f>
        <v>25</v>
      </c>
      <c r="F95">
        <v>1</v>
      </c>
      <c r="G95" t="s">
        <v>927</v>
      </c>
      <c r="H95">
        <v>2</v>
      </c>
      <c r="I95" t="s">
        <v>928</v>
      </c>
      <c r="J95" t="s">
        <v>194</v>
      </c>
      <c r="K95" s="2">
        <v>1</v>
      </c>
      <c r="L95" t="s">
        <v>530</v>
      </c>
      <c r="M95">
        <v>25</v>
      </c>
      <c r="N95" s="152">
        <v>42736</v>
      </c>
      <c r="O95" s="152" t="s">
        <v>937</v>
      </c>
      <c r="Q95" t="s">
        <v>194</v>
      </c>
      <c r="R95">
        <v>1</v>
      </c>
    </row>
    <row r="96" spans="1:21" x14ac:dyDescent="0.25">
      <c r="A96" t="str">
        <f>TableMJRUANTSO[[#This Row],[Study Package Code]]</f>
        <v>SUST2000</v>
      </c>
      <c r="B96" s="2">
        <f>TableMJRUANTSO[[#This Row],[Ver]]</f>
        <v>1</v>
      </c>
      <c r="D96" t="str">
        <f>TableMJRUANTSO[[#This Row],[Structure Line]]</f>
        <v>Sociocultural Perspectives of Sustainability</v>
      </c>
      <c r="E96" s="42">
        <f>TableMJRUANTSO[[#This Row],[Credit Points]]</f>
        <v>25</v>
      </c>
      <c r="F96">
        <v>2</v>
      </c>
      <c r="G96" t="s">
        <v>927</v>
      </c>
      <c r="H96">
        <v>2</v>
      </c>
      <c r="I96" t="s">
        <v>928</v>
      </c>
      <c r="J96" t="s">
        <v>218</v>
      </c>
      <c r="K96" s="2">
        <v>1</v>
      </c>
      <c r="L96" t="s">
        <v>866</v>
      </c>
      <c r="M96">
        <v>25</v>
      </c>
      <c r="N96" s="152">
        <v>42005</v>
      </c>
      <c r="O96" s="152" t="s">
        <v>937</v>
      </c>
      <c r="Q96" t="s">
        <v>218</v>
      </c>
      <c r="R96">
        <v>1</v>
      </c>
    </row>
    <row r="97" spans="1:18" x14ac:dyDescent="0.25">
      <c r="A97" t="str">
        <f>TableMJRUANTSO[[#This Row],[Study Package Code]]</f>
        <v>ANTH2000</v>
      </c>
      <c r="B97" s="2">
        <f>TableMJRUANTSO[[#This Row],[Ver]]</f>
        <v>1</v>
      </c>
      <c r="D97" t="str">
        <f>TableMJRUANTSO[[#This Row],[Structure Line]]</f>
        <v>Ethnographies of the City</v>
      </c>
      <c r="E97" s="42">
        <f>TableMJRUANTSO[[#This Row],[Credit Points]]</f>
        <v>25</v>
      </c>
      <c r="F97">
        <v>3</v>
      </c>
      <c r="G97" t="s">
        <v>927</v>
      </c>
      <c r="H97">
        <v>2</v>
      </c>
      <c r="I97" t="s">
        <v>934</v>
      </c>
      <c r="J97" t="s">
        <v>195</v>
      </c>
      <c r="K97" s="2">
        <v>1</v>
      </c>
      <c r="L97" t="s">
        <v>528</v>
      </c>
      <c r="M97">
        <v>25</v>
      </c>
      <c r="N97" s="152">
        <v>42005</v>
      </c>
      <c r="O97" s="152" t="s">
        <v>937</v>
      </c>
      <c r="Q97" t="s">
        <v>195</v>
      </c>
      <c r="R97">
        <v>1</v>
      </c>
    </row>
    <row r="98" spans="1:18" x14ac:dyDescent="0.25">
      <c r="A98" t="str">
        <f>TableMJRUANTSO[[#This Row],[Study Package Code]]</f>
        <v>ANTH2002</v>
      </c>
      <c r="B98" s="2">
        <f>TableMJRUANTSO[[#This Row],[Ver]]</f>
        <v>1</v>
      </c>
      <c r="D98" t="str">
        <f>TableMJRUANTSO[[#This Row],[Structure Line]]</f>
        <v>Private Lives and Public Issues</v>
      </c>
      <c r="E98" s="42">
        <f>TableMJRUANTSO[[#This Row],[Credit Points]]</f>
        <v>25</v>
      </c>
      <c r="F98">
        <v>4</v>
      </c>
      <c r="G98" t="s">
        <v>927</v>
      </c>
      <c r="H98">
        <v>2</v>
      </c>
      <c r="I98" t="s">
        <v>934</v>
      </c>
      <c r="J98" t="s">
        <v>219</v>
      </c>
      <c r="K98" s="2">
        <v>1</v>
      </c>
      <c r="L98" t="s">
        <v>529</v>
      </c>
      <c r="M98">
        <v>25</v>
      </c>
      <c r="N98" s="152">
        <v>42005</v>
      </c>
      <c r="O98" s="152" t="s">
        <v>937</v>
      </c>
      <c r="Q98" t="s">
        <v>219</v>
      </c>
      <c r="R98">
        <v>1</v>
      </c>
    </row>
    <row r="99" spans="1:18" x14ac:dyDescent="0.25">
      <c r="A99" t="str">
        <f>TableMJRUANTSO[[#This Row],[Study Package Code]]</f>
        <v>ANTH3006</v>
      </c>
      <c r="B99" s="2">
        <f>TableMJRUANTSO[[#This Row],[Ver]]</f>
        <v>1</v>
      </c>
      <c r="D99" t="str">
        <f>TableMJRUANTSO[[#This Row],[Structure Line]]</f>
        <v>Understanding Social Research A</v>
      </c>
      <c r="E99" s="42">
        <f>TableMJRUANTSO[[#This Row],[Credit Points]]</f>
        <v>25</v>
      </c>
      <c r="F99">
        <v>5</v>
      </c>
      <c r="G99" t="s">
        <v>927</v>
      </c>
      <c r="H99">
        <v>3</v>
      </c>
      <c r="I99" t="s">
        <v>928</v>
      </c>
      <c r="J99" t="s">
        <v>247</v>
      </c>
      <c r="K99" s="2">
        <v>1</v>
      </c>
      <c r="L99" t="s">
        <v>537</v>
      </c>
      <c r="M99">
        <v>25</v>
      </c>
      <c r="N99" s="152">
        <v>42736</v>
      </c>
      <c r="O99" s="152" t="s">
        <v>937</v>
      </c>
      <c r="Q99" t="s">
        <v>247</v>
      </c>
      <c r="R99">
        <v>1</v>
      </c>
    </row>
    <row r="100" spans="1:18" x14ac:dyDescent="0.25">
      <c r="A100" t="str">
        <f>TableMJRUANTSO[[#This Row],[Study Package Code]]</f>
        <v>ANTH3005</v>
      </c>
      <c r="B100" s="2">
        <f>TableMJRUANTSO[[#This Row],[Ver]]</f>
        <v>1</v>
      </c>
      <c r="D100" t="str">
        <f>TableMJRUANTSO[[#This Row],[Structure Line]]</f>
        <v>Social Inequality: Possibilities for Change</v>
      </c>
      <c r="E100" s="42">
        <f>TableMJRUANTSO[[#This Row],[Credit Points]]</f>
        <v>25</v>
      </c>
      <c r="F100">
        <v>6</v>
      </c>
      <c r="G100" t="s">
        <v>927</v>
      </c>
      <c r="H100">
        <v>3</v>
      </c>
      <c r="I100" t="s">
        <v>928</v>
      </c>
      <c r="J100" t="s">
        <v>272</v>
      </c>
      <c r="K100" s="2">
        <v>1</v>
      </c>
      <c r="L100" t="s">
        <v>536</v>
      </c>
      <c r="M100">
        <v>25</v>
      </c>
      <c r="N100" s="152">
        <v>42736</v>
      </c>
      <c r="O100" s="152" t="s">
        <v>937</v>
      </c>
      <c r="Q100" t="s">
        <v>272</v>
      </c>
      <c r="R100">
        <v>1</v>
      </c>
    </row>
    <row r="101" spans="1:18" x14ac:dyDescent="0.25">
      <c r="A101" t="str">
        <f>TableMJRUANTSO[[#This Row],[Study Package Code]]</f>
        <v>ANTH3004</v>
      </c>
      <c r="B101" s="2">
        <f>TableMJRUANTSO[[#This Row],[Ver]]</f>
        <v>2</v>
      </c>
      <c r="D101" t="str">
        <f>TableMJRUANTSO[[#This Row],[Structure Line]]</f>
        <v>Doing Social Research A</v>
      </c>
      <c r="E101" s="42">
        <f>TableMJRUANTSO[[#This Row],[Credit Points]]</f>
        <v>25</v>
      </c>
      <c r="F101">
        <v>7</v>
      </c>
      <c r="G101" t="s">
        <v>927</v>
      </c>
      <c r="H101">
        <v>3</v>
      </c>
      <c r="I101" t="s">
        <v>934</v>
      </c>
      <c r="J101" t="s">
        <v>248</v>
      </c>
      <c r="K101" s="2">
        <v>2</v>
      </c>
      <c r="L101" t="s">
        <v>532</v>
      </c>
      <c r="M101">
        <v>25</v>
      </c>
      <c r="N101" s="152">
        <v>45292</v>
      </c>
      <c r="O101" s="152" t="s">
        <v>937</v>
      </c>
      <c r="Q101" t="s">
        <v>248</v>
      </c>
      <c r="R101">
        <v>1</v>
      </c>
    </row>
    <row r="102" spans="1:18" x14ac:dyDescent="0.25">
      <c r="A102" t="str">
        <f>TableMJRUANTSO[[#This Row],[Study Package Code]]</f>
        <v>ANTH3003</v>
      </c>
      <c r="B102" s="2">
        <f>TableMJRUANTSO[[#This Row],[Ver]]</f>
        <v>1</v>
      </c>
      <c r="D102" t="str">
        <f>TableMJRUANTSO[[#This Row],[Structure Line]]</f>
        <v>Human Rights and Social Justice</v>
      </c>
      <c r="E102" s="42">
        <f>TableMJRUANTSO[[#This Row],[Credit Points]]</f>
        <v>25</v>
      </c>
      <c r="F102">
        <v>8</v>
      </c>
      <c r="G102" t="s">
        <v>927</v>
      </c>
      <c r="H102">
        <v>3</v>
      </c>
      <c r="I102" t="s">
        <v>934</v>
      </c>
      <c r="J102" t="s">
        <v>273</v>
      </c>
      <c r="K102" s="2">
        <v>1</v>
      </c>
      <c r="L102" t="s">
        <v>531</v>
      </c>
      <c r="M102">
        <v>25</v>
      </c>
      <c r="N102" s="152">
        <v>42005</v>
      </c>
      <c r="O102" s="152" t="s">
        <v>937</v>
      </c>
      <c r="Q102" t="s">
        <v>273</v>
      </c>
      <c r="R102">
        <v>1</v>
      </c>
    </row>
    <row r="103" spans="1:18" x14ac:dyDescent="0.25">
      <c r="B103"/>
      <c r="E103"/>
      <c r="F103" s="39"/>
      <c r="G103" s="40" t="s">
        <v>913</v>
      </c>
      <c r="H103" s="183">
        <v>42005</v>
      </c>
      <c r="I103" s="39"/>
      <c r="J103" s="155" t="s">
        <v>115</v>
      </c>
      <c r="K103" s="41" t="s">
        <v>116</v>
      </c>
      <c r="L103" s="39" t="s">
        <v>114</v>
      </c>
      <c r="M103" s="39"/>
      <c r="N103" s="179" t="s">
        <v>914</v>
      </c>
      <c r="O103" s="180">
        <v>45327</v>
      </c>
    </row>
    <row r="104" spans="1:18" x14ac:dyDescent="0.25">
      <c r="A104" t="s">
        <v>0</v>
      </c>
      <c r="B104" s="2" t="s">
        <v>915</v>
      </c>
      <c r="C104" t="s">
        <v>916</v>
      </c>
      <c r="D104" t="s">
        <v>3</v>
      </c>
      <c r="E104" s="42" t="s">
        <v>917</v>
      </c>
      <c r="F104" t="s">
        <v>918</v>
      </c>
      <c r="G104" t="s">
        <v>919</v>
      </c>
      <c r="H104" t="s">
        <v>920</v>
      </c>
      <c r="I104" t="s">
        <v>23</v>
      </c>
      <c r="J104" t="s">
        <v>921</v>
      </c>
      <c r="K104" s="2" t="s">
        <v>1</v>
      </c>
      <c r="L104" t="s">
        <v>922</v>
      </c>
      <c r="M104" t="s">
        <v>86</v>
      </c>
      <c r="N104" t="s">
        <v>923</v>
      </c>
      <c r="O104" t="s">
        <v>924</v>
      </c>
      <c r="Q104" t="s">
        <v>925</v>
      </c>
      <c r="R104" t="s">
        <v>926</v>
      </c>
    </row>
    <row r="105" spans="1:18" x14ac:dyDescent="0.25">
      <c r="A105" t="str">
        <f>TableMJRUCHNSE[[#This Row],[Study Package Code]]</f>
        <v>CHIN2000</v>
      </c>
      <c r="B105" s="2">
        <f>TableMJRUCHNSE[[#This Row],[Ver]]</f>
        <v>1</v>
      </c>
      <c r="D105" t="str">
        <f>TableMJRUCHNSE[[#This Row],[Structure Line]]</f>
        <v>Chinese Society and Culture</v>
      </c>
      <c r="E105" s="42">
        <f>TableMJRUCHNSE[[#This Row],[Credit Points]]</f>
        <v>25</v>
      </c>
      <c r="F105">
        <v>1</v>
      </c>
      <c r="G105" t="s">
        <v>927</v>
      </c>
      <c r="H105">
        <v>2</v>
      </c>
      <c r="I105" t="s">
        <v>928</v>
      </c>
      <c r="J105" t="s">
        <v>196</v>
      </c>
      <c r="K105" s="2">
        <v>1</v>
      </c>
      <c r="L105" t="s">
        <v>553</v>
      </c>
      <c r="M105">
        <v>25</v>
      </c>
      <c r="N105" s="152">
        <v>42005</v>
      </c>
      <c r="O105" s="152" t="s">
        <v>937</v>
      </c>
      <c r="Q105" t="s">
        <v>196</v>
      </c>
      <c r="R105">
        <v>1</v>
      </c>
    </row>
    <row r="106" spans="1:18" x14ac:dyDescent="0.25">
      <c r="A106" t="str">
        <f>TableMJRUCHNSE[[#This Row],[Study Package Code]]</f>
        <v>CHIN2003</v>
      </c>
      <c r="B106" s="2">
        <f>TableMJRUCHNSE[[#This Row],[Ver]]</f>
        <v>1</v>
      </c>
      <c r="D106" t="str">
        <f>TableMJRUCHNSE[[#This Row],[Structure Line]]</f>
        <v>Communicating with China</v>
      </c>
      <c r="E106" s="42">
        <f>TableMJRUCHNSE[[#This Row],[Credit Points]]</f>
        <v>25</v>
      </c>
      <c r="F106">
        <v>2</v>
      </c>
      <c r="G106" t="s">
        <v>927</v>
      </c>
      <c r="H106">
        <v>2</v>
      </c>
      <c r="I106" t="s">
        <v>934</v>
      </c>
      <c r="J106" t="s">
        <v>197</v>
      </c>
      <c r="K106" s="2">
        <v>1</v>
      </c>
      <c r="L106" t="s">
        <v>556</v>
      </c>
      <c r="M106">
        <v>25</v>
      </c>
      <c r="N106" s="152">
        <v>42005</v>
      </c>
      <c r="O106" s="152" t="s">
        <v>937</v>
      </c>
      <c r="Q106" t="s">
        <v>197</v>
      </c>
      <c r="R106">
        <v>1</v>
      </c>
    </row>
    <row r="107" spans="1:18" x14ac:dyDescent="0.25">
      <c r="A107" t="str">
        <f>TableMJRUCHNSE[[#This Row],[Study Package Code]]</f>
        <v>CHIN3000</v>
      </c>
      <c r="B107" s="2">
        <f>TableMJRUCHNSE[[#This Row],[Ver]]</f>
        <v>2</v>
      </c>
      <c r="D107" t="str">
        <f>TableMJRUCHNSE[[#This Row],[Structure Line]]</f>
        <v>Advanced Chinese: Language Variations</v>
      </c>
      <c r="E107" s="42">
        <f>TableMJRUCHNSE[[#This Row],[Credit Points]]</f>
        <v>25</v>
      </c>
      <c r="F107">
        <v>3</v>
      </c>
      <c r="G107" t="s">
        <v>927</v>
      </c>
      <c r="H107">
        <v>3</v>
      </c>
      <c r="I107" t="s">
        <v>928</v>
      </c>
      <c r="J107" s="254" t="s">
        <v>249</v>
      </c>
      <c r="K107" s="151">
        <v>2</v>
      </c>
      <c r="L107" s="50" t="s">
        <v>557</v>
      </c>
      <c r="M107" s="50">
        <v>25</v>
      </c>
      <c r="N107" s="152">
        <v>44927</v>
      </c>
      <c r="O107" s="152" t="s">
        <v>937</v>
      </c>
      <c r="Q107" t="s">
        <v>249</v>
      </c>
      <c r="R107">
        <v>2</v>
      </c>
    </row>
    <row r="108" spans="1:18" x14ac:dyDescent="0.25">
      <c r="A108" t="str">
        <f>TableMJRUCHNSE[[#This Row],[Study Package Code]]</f>
        <v>CHIN3002</v>
      </c>
      <c r="B108" s="2">
        <f>TableMJRUCHNSE[[#This Row],[Ver]]</f>
        <v>2</v>
      </c>
      <c r="D108" t="str">
        <f>TableMJRUCHNSE[[#This Row],[Structure Line]]</f>
        <v>Advanced Chinese: Cultural Connections</v>
      </c>
      <c r="E108" s="42">
        <f>TableMJRUCHNSE[[#This Row],[Credit Points]]</f>
        <v>25</v>
      </c>
      <c r="F108">
        <v>4</v>
      </c>
      <c r="G108" t="s">
        <v>927</v>
      </c>
      <c r="H108">
        <v>3</v>
      </c>
      <c r="I108" t="s">
        <v>928</v>
      </c>
      <c r="J108" s="254" t="s">
        <v>274</v>
      </c>
      <c r="K108" s="151">
        <v>2</v>
      </c>
      <c r="L108" s="50" t="s">
        <v>559</v>
      </c>
      <c r="M108" s="50">
        <v>25</v>
      </c>
      <c r="N108" s="152">
        <v>44927</v>
      </c>
      <c r="O108" s="152" t="s">
        <v>937</v>
      </c>
      <c r="Q108" t="s">
        <v>274</v>
      </c>
      <c r="R108">
        <v>2</v>
      </c>
    </row>
    <row r="109" spans="1:18" x14ac:dyDescent="0.25">
      <c r="A109" t="str">
        <f>TableMJRUCHNSE[[#This Row],[Study Package Code]]</f>
        <v>CHIN3001</v>
      </c>
      <c r="B109" s="2">
        <f>TableMJRUCHNSE[[#This Row],[Ver]]</f>
        <v>2</v>
      </c>
      <c r="D109" t="str">
        <f>TableMJRUCHNSE[[#This Row],[Structure Line]]</f>
        <v>Proficient Chinese: Language Variations</v>
      </c>
      <c r="E109" s="42">
        <f>TableMJRUCHNSE[[#This Row],[Credit Points]]</f>
        <v>25</v>
      </c>
      <c r="F109">
        <v>5</v>
      </c>
      <c r="G109" t="s">
        <v>927</v>
      </c>
      <c r="H109">
        <v>3</v>
      </c>
      <c r="I109" t="s">
        <v>934</v>
      </c>
      <c r="J109" s="254" t="s">
        <v>250</v>
      </c>
      <c r="K109" s="151">
        <v>2</v>
      </c>
      <c r="L109" s="50" t="s">
        <v>558</v>
      </c>
      <c r="M109" s="50">
        <v>25</v>
      </c>
      <c r="N109" s="152">
        <v>44927</v>
      </c>
      <c r="O109" s="152" t="s">
        <v>937</v>
      </c>
      <c r="Q109" t="s">
        <v>250</v>
      </c>
      <c r="R109">
        <v>2</v>
      </c>
    </row>
    <row r="110" spans="1:18" x14ac:dyDescent="0.25">
      <c r="A110" t="str">
        <f>TableMJRUCHNSE[[#This Row],[Study Package Code]]</f>
        <v>CHIN3003</v>
      </c>
      <c r="B110" s="2">
        <f>TableMJRUCHNSE[[#This Row],[Ver]]</f>
        <v>2</v>
      </c>
      <c r="D110" t="str">
        <f>TableMJRUCHNSE[[#This Row],[Structure Line]]</f>
        <v>Advanced Chinese: Engagement with the Chinese Community</v>
      </c>
      <c r="E110" s="42">
        <f>TableMJRUCHNSE[[#This Row],[Credit Points]]</f>
        <v>25</v>
      </c>
      <c r="F110">
        <v>6</v>
      </c>
      <c r="G110" t="s">
        <v>927</v>
      </c>
      <c r="H110">
        <v>3</v>
      </c>
      <c r="I110" t="s">
        <v>934</v>
      </c>
      <c r="J110" s="254" t="s">
        <v>275</v>
      </c>
      <c r="K110" s="2">
        <v>2</v>
      </c>
      <c r="L110" t="s">
        <v>560</v>
      </c>
      <c r="M110">
        <v>25</v>
      </c>
      <c r="N110" s="152">
        <v>44927</v>
      </c>
      <c r="O110" s="152" t="s">
        <v>937</v>
      </c>
      <c r="Q110" t="s">
        <v>275</v>
      </c>
      <c r="R110">
        <v>2</v>
      </c>
    </row>
    <row r="111" spans="1:18" x14ac:dyDescent="0.25">
      <c r="A111" t="str">
        <f>TableMJRUCHNSE[[#This Row],[Study Package Code]]</f>
        <v>CHIN2001</v>
      </c>
      <c r="B111" s="2">
        <f>TableMJRUCHNSE[[#This Row],[Ver]]</f>
        <v>2</v>
      </c>
      <c r="D111" t="str">
        <f>TableMJRUCHNSE[[#This Row],[Structure Line]]</f>
        <v>Intermediate Chinese: Everyday Contexts</v>
      </c>
      <c r="E111" s="42">
        <f>TableMJRUCHNSE[[#This Row],[Credit Points]]</f>
        <v>25</v>
      </c>
      <c r="F111">
        <v>7</v>
      </c>
      <c r="G111" t="s">
        <v>927</v>
      </c>
      <c r="H111">
        <v>2</v>
      </c>
      <c r="I111" t="s">
        <v>928</v>
      </c>
      <c r="J111" s="254" t="s">
        <v>220</v>
      </c>
      <c r="K111" s="2">
        <v>2</v>
      </c>
      <c r="L111" t="s">
        <v>554</v>
      </c>
      <c r="M111">
        <v>25</v>
      </c>
      <c r="N111" s="152">
        <v>44562</v>
      </c>
      <c r="O111" s="152" t="s">
        <v>937</v>
      </c>
      <c r="Q111" t="s">
        <v>220</v>
      </c>
      <c r="R111">
        <v>2</v>
      </c>
    </row>
    <row r="112" spans="1:18" x14ac:dyDescent="0.25">
      <c r="A112" t="str">
        <f>TableMJRUCHNSE[[#This Row],[Study Package Code]]</f>
        <v>CHIN2002</v>
      </c>
      <c r="B112" s="2">
        <f>TableMJRUCHNSE[[#This Row],[Ver]]</f>
        <v>2</v>
      </c>
      <c r="D112" t="str">
        <f>TableMJRUCHNSE[[#This Row],[Structure Line]]</f>
        <v>Intermediate Chinese: Extending Everyday Contexts</v>
      </c>
      <c r="E112" s="42">
        <f>TableMJRUCHNSE[[#This Row],[Credit Points]]</f>
        <v>25</v>
      </c>
      <c r="F112">
        <v>8</v>
      </c>
      <c r="G112" t="s">
        <v>927</v>
      </c>
      <c r="H112">
        <v>2</v>
      </c>
      <c r="I112" t="s">
        <v>934</v>
      </c>
      <c r="J112" s="254" t="s">
        <v>221</v>
      </c>
      <c r="K112" s="2">
        <v>2</v>
      </c>
      <c r="L112" t="s">
        <v>555</v>
      </c>
      <c r="M112">
        <v>25</v>
      </c>
      <c r="N112" s="152">
        <v>44562</v>
      </c>
      <c r="O112" s="152" t="s">
        <v>937</v>
      </c>
      <c r="Q112" t="s">
        <v>221</v>
      </c>
      <c r="R112">
        <v>2</v>
      </c>
    </row>
    <row r="113" spans="1:18" x14ac:dyDescent="0.25">
      <c r="B113"/>
      <c r="E113"/>
      <c r="F113" s="39"/>
      <c r="G113" s="40" t="s">
        <v>913</v>
      </c>
      <c r="H113" s="183">
        <v>42005</v>
      </c>
      <c r="I113" s="39"/>
      <c r="J113" s="155" t="s">
        <v>119</v>
      </c>
      <c r="K113" s="41" t="s">
        <v>116</v>
      </c>
      <c r="L113" s="39" t="s">
        <v>118</v>
      </c>
      <c r="M113" s="39"/>
      <c r="N113" s="179" t="s">
        <v>914</v>
      </c>
      <c r="O113" s="180">
        <v>45327</v>
      </c>
    </row>
    <row r="114" spans="1:18" x14ac:dyDescent="0.25">
      <c r="A114" t="s">
        <v>0</v>
      </c>
      <c r="B114" s="2" t="s">
        <v>915</v>
      </c>
      <c r="C114" t="s">
        <v>916</v>
      </c>
      <c r="D114" t="s">
        <v>3</v>
      </c>
      <c r="E114" s="42" t="s">
        <v>917</v>
      </c>
      <c r="F114" t="s">
        <v>918</v>
      </c>
      <c r="G114" t="s">
        <v>919</v>
      </c>
      <c r="H114" t="s">
        <v>920</v>
      </c>
      <c r="I114" t="s">
        <v>23</v>
      </c>
      <c r="J114" t="s">
        <v>921</v>
      </c>
      <c r="K114" s="2" t="s">
        <v>1</v>
      </c>
      <c r="L114" t="s">
        <v>922</v>
      </c>
      <c r="M114" t="s">
        <v>86</v>
      </c>
      <c r="N114" t="s">
        <v>923</v>
      </c>
      <c r="O114" t="s">
        <v>924</v>
      </c>
      <c r="Q114" t="s">
        <v>925</v>
      </c>
      <c r="R114" t="s">
        <v>926</v>
      </c>
    </row>
    <row r="115" spans="1:18" x14ac:dyDescent="0.25">
      <c r="A115" t="str">
        <f>TableMJRUCRWRI[[#This Row],[Study Package Code]]</f>
        <v>CWRI2001</v>
      </c>
      <c r="B115" s="2">
        <f>TableMJRUCRWRI[[#This Row],[Ver]]</f>
        <v>1</v>
      </c>
      <c r="D115" t="str">
        <f>TableMJRUCRWRI[[#This Row],[Structure Line]]</f>
        <v>Writing Poetry</v>
      </c>
      <c r="E115" s="42">
        <f>TableMJRUCRWRI[[#This Row],[Credit Points]]</f>
        <v>25</v>
      </c>
      <c r="F115">
        <v>1</v>
      </c>
      <c r="G115" t="s">
        <v>927</v>
      </c>
      <c r="H115">
        <v>2</v>
      </c>
      <c r="I115" t="s">
        <v>928</v>
      </c>
      <c r="J115" t="s">
        <v>198</v>
      </c>
      <c r="K115" s="2">
        <v>1</v>
      </c>
      <c r="L115" t="s">
        <v>569</v>
      </c>
      <c r="M115">
        <v>25</v>
      </c>
      <c r="N115" s="152">
        <v>42005</v>
      </c>
      <c r="O115" s="152" t="s">
        <v>937</v>
      </c>
      <c r="Q115" t="s">
        <v>198</v>
      </c>
      <c r="R115">
        <v>1</v>
      </c>
    </row>
    <row r="116" spans="1:18" x14ac:dyDescent="0.25">
      <c r="A116" t="str">
        <f>TableMJRUCRWRI[[#This Row],[Study Package Code]]</f>
        <v>CWRI2002</v>
      </c>
      <c r="B116" s="2">
        <f>TableMJRUCRWRI[[#This Row],[Ver]]</f>
        <v>1</v>
      </c>
      <c r="D116" t="str">
        <f>TableMJRUCRWRI[[#This Row],[Structure Line]]</f>
        <v>Writing Short Fiction</v>
      </c>
      <c r="E116" s="42">
        <f>TableMJRUCRWRI[[#This Row],[Credit Points]]</f>
        <v>25</v>
      </c>
      <c r="F116">
        <v>2</v>
      </c>
      <c r="G116" t="s">
        <v>927</v>
      </c>
      <c r="H116">
        <v>2</v>
      </c>
      <c r="I116" t="s">
        <v>928</v>
      </c>
      <c r="J116" t="s">
        <v>222</v>
      </c>
      <c r="K116" s="2">
        <v>1</v>
      </c>
      <c r="L116" t="s">
        <v>570</v>
      </c>
      <c r="M116">
        <v>25</v>
      </c>
      <c r="N116" s="152">
        <v>42005</v>
      </c>
      <c r="O116" s="152" t="s">
        <v>937</v>
      </c>
      <c r="Q116" t="s">
        <v>222</v>
      </c>
      <c r="R116">
        <v>1</v>
      </c>
    </row>
    <row r="117" spans="1:18" x14ac:dyDescent="0.25">
      <c r="A117" t="str">
        <f>TableMJRUCRWRI[[#This Row],[Study Package Code]]</f>
        <v>CWRI2007</v>
      </c>
      <c r="B117" s="2">
        <f>TableMJRUCRWRI[[#This Row],[Ver]]</f>
        <v>1</v>
      </c>
      <c r="D117" t="str">
        <f>TableMJRUCRWRI[[#This Row],[Structure Line]]</f>
        <v>Experimental Writing</v>
      </c>
      <c r="E117" s="42">
        <f>TableMJRUCRWRI[[#This Row],[Credit Points]]</f>
        <v>25</v>
      </c>
      <c r="F117">
        <v>3</v>
      </c>
      <c r="G117" t="s">
        <v>927</v>
      </c>
      <c r="H117">
        <v>2</v>
      </c>
      <c r="I117" t="s">
        <v>934</v>
      </c>
      <c r="J117" t="s">
        <v>199</v>
      </c>
      <c r="K117" s="2">
        <v>1</v>
      </c>
      <c r="L117" t="s">
        <v>571</v>
      </c>
      <c r="M117">
        <v>25</v>
      </c>
      <c r="N117" s="152">
        <v>42005</v>
      </c>
      <c r="O117" s="152" t="s">
        <v>937</v>
      </c>
      <c r="Q117" t="s">
        <v>199</v>
      </c>
      <c r="R117">
        <v>1</v>
      </c>
    </row>
    <row r="118" spans="1:18" x14ac:dyDescent="0.25">
      <c r="A118" t="str">
        <f>TableMJRUCRWRI[[#This Row],[Study Package Code]]</f>
        <v>CWRI2016</v>
      </c>
      <c r="B118" s="2">
        <f>TableMJRUCRWRI[[#This Row],[Ver]]</f>
        <v>1</v>
      </c>
      <c r="D118" t="str">
        <f>TableMJRUCRWRI[[#This Row],[Structure Line]]</f>
        <v>Writing Genre Fiction</v>
      </c>
      <c r="E118" s="42">
        <f>TableMJRUCRWRI[[#This Row],[Credit Points]]</f>
        <v>25</v>
      </c>
      <c r="F118">
        <v>4</v>
      </c>
      <c r="G118" t="s">
        <v>927</v>
      </c>
      <c r="H118">
        <v>2</v>
      </c>
      <c r="I118" t="s">
        <v>934</v>
      </c>
      <c r="J118" t="s">
        <v>223</v>
      </c>
      <c r="K118" s="2">
        <v>1</v>
      </c>
      <c r="L118" t="s">
        <v>572</v>
      </c>
      <c r="M118">
        <v>25</v>
      </c>
      <c r="N118" s="152">
        <v>43831</v>
      </c>
      <c r="O118" s="152" t="s">
        <v>937</v>
      </c>
      <c r="Q118" t="s">
        <v>223</v>
      </c>
      <c r="R118">
        <v>1</v>
      </c>
    </row>
    <row r="119" spans="1:18" x14ac:dyDescent="0.25">
      <c r="A119" t="str">
        <f>TableMJRUCRWRI[[#This Row],[Study Package Code]]</f>
        <v>CWRI3005</v>
      </c>
      <c r="B119" s="2">
        <f>TableMJRUCRWRI[[#This Row],[Ver]]</f>
        <v>1</v>
      </c>
      <c r="D119" t="str">
        <f>TableMJRUCRWRI[[#This Row],[Structure Line]]</f>
        <v>Writing Long Fiction</v>
      </c>
      <c r="E119" s="42">
        <f>TableMJRUCRWRI[[#This Row],[Credit Points]]</f>
        <v>25</v>
      </c>
      <c r="F119">
        <v>5</v>
      </c>
      <c r="G119" t="s">
        <v>927</v>
      </c>
      <c r="H119">
        <v>3</v>
      </c>
      <c r="I119" t="s">
        <v>928</v>
      </c>
      <c r="J119" t="s">
        <v>251</v>
      </c>
      <c r="K119" s="2">
        <v>1</v>
      </c>
      <c r="L119" t="s">
        <v>576</v>
      </c>
      <c r="M119">
        <v>25</v>
      </c>
      <c r="N119" s="152">
        <v>42005</v>
      </c>
      <c r="O119" s="152" t="s">
        <v>937</v>
      </c>
      <c r="Q119" t="s">
        <v>251</v>
      </c>
      <c r="R119">
        <v>1</v>
      </c>
    </row>
    <row r="120" spans="1:18" x14ac:dyDescent="0.25">
      <c r="A120" t="str">
        <f>TableMJRUCRWRI[[#This Row],[Study Package Code]]</f>
        <v>Opt-CRWRI</v>
      </c>
      <c r="B120" s="2">
        <f>TableMJRUCRWRI[[#This Row],[Ver]]</f>
        <v>0</v>
      </c>
      <c r="D120" t="str">
        <f>TableMJRUCRWRI[[#This Row],[Structure Line]]</f>
        <v>Choose your optional unit to the value of:</v>
      </c>
      <c r="E120" s="42">
        <f>TableMJRUCRWRI[[#This Row],[Credit Points]]</f>
        <v>25</v>
      </c>
      <c r="F120">
        <v>6</v>
      </c>
      <c r="G120" t="s">
        <v>929</v>
      </c>
      <c r="H120">
        <v>3</v>
      </c>
      <c r="I120" t="s">
        <v>928</v>
      </c>
      <c r="J120" t="s">
        <v>276</v>
      </c>
      <c r="K120" s="2">
        <v>0</v>
      </c>
      <c r="L120" t="s">
        <v>938</v>
      </c>
      <c r="M120">
        <v>25</v>
      </c>
      <c r="N120" s="152"/>
      <c r="O120" s="152"/>
      <c r="Q120" t="s">
        <v>939</v>
      </c>
      <c r="R120">
        <v>0</v>
      </c>
    </row>
    <row r="121" spans="1:18" x14ac:dyDescent="0.25">
      <c r="A121" t="str">
        <f>TableMJRUCRWRI[[#This Row],[Study Package Code]]</f>
        <v>CWRI3003</v>
      </c>
      <c r="B121" s="2">
        <f>TableMJRUCRWRI[[#This Row],[Ver]]</f>
        <v>1</v>
      </c>
      <c r="D121" t="str">
        <f>TableMJRUCRWRI[[#This Row],[Structure Line]]</f>
        <v>Creative Writing Supervised Project</v>
      </c>
      <c r="E121" s="42">
        <f>TableMJRUCRWRI[[#This Row],[Credit Points]]</f>
        <v>50</v>
      </c>
      <c r="F121">
        <v>7</v>
      </c>
      <c r="G121" t="s">
        <v>927</v>
      </c>
      <c r="H121">
        <v>3</v>
      </c>
      <c r="I121" t="s">
        <v>934</v>
      </c>
      <c r="J121" t="s">
        <v>252</v>
      </c>
      <c r="K121" s="2">
        <v>1</v>
      </c>
      <c r="L121" t="s">
        <v>574</v>
      </c>
      <c r="M121">
        <v>50</v>
      </c>
      <c r="N121" s="152">
        <v>42005</v>
      </c>
      <c r="O121" s="152" t="s">
        <v>937</v>
      </c>
      <c r="Q121" t="s">
        <v>252</v>
      </c>
      <c r="R121">
        <v>1</v>
      </c>
    </row>
    <row r="122" spans="1:18" x14ac:dyDescent="0.25">
      <c r="A122" t="str">
        <f>TableMJRUCRWRI[[#This Row],[Study Package Code]]</f>
        <v>CWRI3002</v>
      </c>
      <c r="B122" s="2">
        <f>TableMJRUCRWRI[[#This Row],[Ver]]</f>
        <v>1</v>
      </c>
      <c r="D122" t="str">
        <f>TableMJRUCRWRI[[#This Row],[Structure Line]]</f>
        <v>Travel Writing</v>
      </c>
      <c r="E122" s="42">
        <f>TableMJRUCRWRI[[#This Row],[Credit Points]]</f>
        <v>25</v>
      </c>
      <c r="F122">
        <v>6</v>
      </c>
      <c r="G122" t="s">
        <v>929</v>
      </c>
      <c r="H122">
        <v>3</v>
      </c>
      <c r="I122" t="s">
        <v>928</v>
      </c>
      <c r="J122" t="s">
        <v>300</v>
      </c>
      <c r="K122" s="2">
        <v>1</v>
      </c>
      <c r="L122" t="s">
        <v>573</v>
      </c>
      <c r="M122">
        <v>25</v>
      </c>
      <c r="N122" s="152">
        <v>42005</v>
      </c>
      <c r="O122" s="152"/>
      <c r="Q122" t="s">
        <v>300</v>
      </c>
      <c r="R122">
        <v>1</v>
      </c>
    </row>
    <row r="123" spans="1:18" x14ac:dyDescent="0.25">
      <c r="A123" t="str">
        <f>TableMJRUCRWRI[[#This Row],[Study Package Code]]</f>
        <v>CWRI3011</v>
      </c>
      <c r="B123" s="2">
        <f>TableMJRUCRWRI[[#This Row],[Ver]]</f>
        <v>1</v>
      </c>
      <c r="D123" t="str">
        <f>TableMJRUCRWRI[[#This Row],[Structure Line]]</f>
        <v>Writing for Children</v>
      </c>
      <c r="E123" s="42">
        <f>TableMJRUCRWRI[[#This Row],[Credit Points]]</f>
        <v>25</v>
      </c>
      <c r="F123">
        <v>6</v>
      </c>
      <c r="G123" t="s">
        <v>929</v>
      </c>
      <c r="H123">
        <v>3</v>
      </c>
      <c r="I123" t="s">
        <v>928</v>
      </c>
      <c r="J123" t="s">
        <v>304</v>
      </c>
      <c r="K123" s="2">
        <v>1</v>
      </c>
      <c r="L123" t="s">
        <v>577</v>
      </c>
      <c r="M123">
        <v>25</v>
      </c>
      <c r="N123" s="152">
        <v>42005</v>
      </c>
      <c r="O123" s="152"/>
      <c r="Q123" t="s">
        <v>304</v>
      </c>
      <c r="R123">
        <v>1</v>
      </c>
    </row>
    <row r="124" spans="1:18" x14ac:dyDescent="0.25">
      <c r="B124"/>
      <c r="E124"/>
      <c r="F124" s="39"/>
      <c r="G124" s="40" t="s">
        <v>913</v>
      </c>
      <c r="H124" s="156">
        <v>45292</v>
      </c>
      <c r="I124" s="39"/>
      <c r="J124" s="155" t="s">
        <v>130</v>
      </c>
      <c r="K124" s="159" t="s">
        <v>111</v>
      </c>
      <c r="L124" s="39" t="s">
        <v>129</v>
      </c>
      <c r="M124" s="39"/>
      <c r="N124" s="179" t="s">
        <v>914</v>
      </c>
      <c r="O124" s="180">
        <v>45327</v>
      </c>
    </row>
    <row r="125" spans="1:18" x14ac:dyDescent="0.25">
      <c r="A125" t="s">
        <v>0</v>
      </c>
      <c r="B125" s="2" t="s">
        <v>915</v>
      </c>
      <c r="C125" t="s">
        <v>916</v>
      </c>
      <c r="D125" t="s">
        <v>3</v>
      </c>
      <c r="E125" s="42" t="s">
        <v>917</v>
      </c>
      <c r="F125" t="s">
        <v>918</v>
      </c>
      <c r="G125" t="s">
        <v>919</v>
      </c>
      <c r="H125" t="s">
        <v>920</v>
      </c>
      <c r="I125" t="s">
        <v>23</v>
      </c>
      <c r="J125" t="s">
        <v>921</v>
      </c>
      <c r="K125" s="2" t="s">
        <v>1</v>
      </c>
      <c r="L125" t="s">
        <v>922</v>
      </c>
      <c r="M125" t="s">
        <v>86</v>
      </c>
      <c r="N125" t="s">
        <v>923</v>
      </c>
      <c r="O125" t="s">
        <v>924</v>
      </c>
      <c r="Q125" t="s">
        <v>925</v>
      </c>
      <c r="R125" t="s">
        <v>926</v>
      </c>
    </row>
    <row r="126" spans="1:18" x14ac:dyDescent="0.25">
      <c r="A126" t="str">
        <f>TableMJRUGEOGR[[#This Row],[Study Package Code]]</f>
        <v>GEOG2002</v>
      </c>
      <c r="B126" s="2">
        <f>TableMJRUGEOGR[[#This Row],[Ver]]</f>
        <v>1</v>
      </c>
      <c r="D126" t="str">
        <f>TableMJRUGEOGR[[#This Row],[Structure Line]]</f>
        <v>Fieldwork Skills</v>
      </c>
      <c r="E126" s="42">
        <f>TableMJRUGEOGR[[#This Row],[Credit Points]]</f>
        <v>25</v>
      </c>
      <c r="F126">
        <v>1</v>
      </c>
      <c r="G126" t="s">
        <v>927</v>
      </c>
      <c r="H126">
        <v>2</v>
      </c>
      <c r="I126" t="s">
        <v>928</v>
      </c>
      <c r="J126" t="s">
        <v>224</v>
      </c>
      <c r="K126" s="2">
        <v>1</v>
      </c>
      <c r="L126" t="s">
        <v>604</v>
      </c>
      <c r="M126">
        <v>25</v>
      </c>
      <c r="N126" s="152">
        <v>42005</v>
      </c>
      <c r="O126" s="152" t="s">
        <v>937</v>
      </c>
      <c r="Q126" t="s">
        <v>224</v>
      </c>
      <c r="R126">
        <v>1</v>
      </c>
    </row>
    <row r="127" spans="1:18" x14ac:dyDescent="0.25">
      <c r="A127" t="str">
        <f>TableMJRUGEOGR[[#This Row],[Study Package Code]]</f>
        <v>GEOG2001</v>
      </c>
      <c r="B127" s="2">
        <f>TableMJRUGEOGR[[#This Row],[Ver]]</f>
        <v>1</v>
      </c>
      <c r="D127" t="str">
        <f>TableMJRUGEOGR[[#This Row],[Structure Line]]</f>
        <v>Geographies of Food Security</v>
      </c>
      <c r="E127" s="42">
        <f>TableMJRUGEOGR[[#This Row],[Credit Points]]</f>
        <v>25</v>
      </c>
      <c r="F127">
        <v>2</v>
      </c>
      <c r="G127" t="s">
        <v>927</v>
      </c>
      <c r="H127">
        <v>2</v>
      </c>
      <c r="I127" t="s">
        <v>928</v>
      </c>
      <c r="J127" t="s">
        <v>200</v>
      </c>
      <c r="K127" s="2">
        <v>1</v>
      </c>
      <c r="L127" t="s">
        <v>603</v>
      </c>
      <c r="M127">
        <v>25</v>
      </c>
      <c r="N127" s="152">
        <v>42005</v>
      </c>
      <c r="O127" s="152" t="s">
        <v>937</v>
      </c>
      <c r="Q127" t="s">
        <v>200</v>
      </c>
      <c r="R127">
        <v>1</v>
      </c>
    </row>
    <row r="128" spans="1:18" x14ac:dyDescent="0.25">
      <c r="A128" t="str">
        <f>TableMJRUGEOGR[[#This Row],[Study Package Code]]</f>
        <v>GEOG2000</v>
      </c>
      <c r="B128" s="2">
        <f>TableMJRUGEOGR[[#This Row],[Ver]]</f>
        <v>1</v>
      </c>
      <c r="D128" t="str">
        <f>TableMJRUGEOGR[[#This Row],[Structure Line]]</f>
        <v>Geographies of Migration</v>
      </c>
      <c r="E128" s="42">
        <f>TableMJRUGEOGR[[#This Row],[Credit Points]]</f>
        <v>25</v>
      </c>
      <c r="F128">
        <v>3</v>
      </c>
      <c r="G128" t="s">
        <v>927</v>
      </c>
      <c r="H128">
        <v>2</v>
      </c>
      <c r="I128" t="s">
        <v>934</v>
      </c>
      <c r="J128" t="s">
        <v>242</v>
      </c>
      <c r="K128" s="2">
        <v>1</v>
      </c>
      <c r="L128" t="s">
        <v>602</v>
      </c>
      <c r="M128">
        <v>25</v>
      </c>
      <c r="N128" s="152">
        <v>42005</v>
      </c>
      <c r="O128" s="152" t="s">
        <v>937</v>
      </c>
      <c r="Q128" t="s">
        <v>242</v>
      </c>
      <c r="R128">
        <v>1</v>
      </c>
    </row>
    <row r="129" spans="1:18" x14ac:dyDescent="0.25">
      <c r="A129" t="str">
        <f>TableMJRUGEOGR[[#This Row],[Study Package Code]]</f>
        <v>PHGY2000</v>
      </c>
      <c r="B129" s="2">
        <f>TableMJRUGEOGR[[#This Row],[Ver]]</f>
        <v>1</v>
      </c>
      <c r="D129" t="str">
        <f>TableMJRUGEOGR[[#This Row],[Structure Line]]</f>
        <v>Natural Hazards</v>
      </c>
      <c r="E129" s="42">
        <f>TableMJRUGEOGR[[#This Row],[Credit Points]]</f>
        <v>25</v>
      </c>
      <c r="F129">
        <v>4</v>
      </c>
      <c r="G129" t="s">
        <v>927</v>
      </c>
      <c r="H129">
        <v>2</v>
      </c>
      <c r="I129" t="s">
        <v>934</v>
      </c>
      <c r="J129" t="s">
        <v>245</v>
      </c>
      <c r="K129" s="2">
        <v>1</v>
      </c>
      <c r="L129" t="s">
        <v>791</v>
      </c>
      <c r="M129">
        <v>25</v>
      </c>
      <c r="N129" s="152">
        <v>42005</v>
      </c>
      <c r="O129" s="152" t="s">
        <v>937</v>
      </c>
      <c r="Q129" t="s">
        <v>245</v>
      </c>
      <c r="R129">
        <v>1</v>
      </c>
    </row>
    <row r="130" spans="1:18" x14ac:dyDescent="0.25">
      <c r="A130" t="str">
        <f>TableMJRUGEOGR[[#This Row],[Study Package Code]]</f>
        <v>PHGY3002</v>
      </c>
      <c r="B130" s="2">
        <f>TableMJRUGEOGR[[#This Row],[Ver]]</f>
        <v>1</v>
      </c>
      <c r="D130" t="str">
        <f>TableMJRUGEOGR[[#This Row],[Structure Line]]</f>
        <v>Rural Geographies</v>
      </c>
      <c r="E130" s="42">
        <f>TableMJRUGEOGR[[#This Row],[Credit Points]]</f>
        <v>25</v>
      </c>
      <c r="F130">
        <v>5</v>
      </c>
      <c r="G130" t="s">
        <v>927</v>
      </c>
      <c r="H130">
        <v>3</v>
      </c>
      <c r="I130" t="s">
        <v>928</v>
      </c>
      <c r="J130" t="s">
        <v>253</v>
      </c>
      <c r="K130" s="2">
        <v>1</v>
      </c>
      <c r="L130" t="s">
        <v>793</v>
      </c>
      <c r="M130">
        <v>25</v>
      </c>
      <c r="N130" s="152">
        <v>45292</v>
      </c>
      <c r="O130" s="152" t="s">
        <v>937</v>
      </c>
      <c r="Q130" t="s">
        <v>940</v>
      </c>
      <c r="R130">
        <v>1</v>
      </c>
    </row>
    <row r="131" spans="1:18" x14ac:dyDescent="0.25">
      <c r="A131" t="str">
        <f>TableMJRUGEOGR[[#This Row],[Study Package Code]]</f>
        <v>GEOG3001</v>
      </c>
      <c r="B131" s="2">
        <f>TableMJRUGEOGR[[#This Row],[Ver]]</f>
        <v>1</v>
      </c>
      <c r="D131" t="str">
        <f>TableMJRUGEOGR[[#This Row],[Structure Line]]</f>
        <v>Sustainable Livelihoods</v>
      </c>
      <c r="E131" s="42">
        <f>TableMJRUGEOGR[[#This Row],[Credit Points]]</f>
        <v>25</v>
      </c>
      <c r="F131">
        <v>6</v>
      </c>
      <c r="G131" t="s">
        <v>927</v>
      </c>
      <c r="H131">
        <v>3</v>
      </c>
      <c r="I131" t="s">
        <v>928</v>
      </c>
      <c r="J131" t="s">
        <v>278</v>
      </c>
      <c r="K131" s="2">
        <v>1</v>
      </c>
      <c r="L131" t="s">
        <v>606</v>
      </c>
      <c r="M131">
        <v>25</v>
      </c>
      <c r="N131" s="152">
        <v>42005</v>
      </c>
      <c r="O131" s="152" t="s">
        <v>937</v>
      </c>
      <c r="Q131" t="s">
        <v>278</v>
      </c>
      <c r="R131">
        <v>1</v>
      </c>
    </row>
    <row r="132" spans="1:18" x14ac:dyDescent="0.25">
      <c r="A132" t="str">
        <f>TableMJRUGEOGR[[#This Row],[Study Package Code]]</f>
        <v>PHGY3000</v>
      </c>
      <c r="B132" s="2">
        <f>TableMJRUGEOGR[[#This Row],[Ver]]</f>
        <v>3</v>
      </c>
      <c r="D132" t="str">
        <f>TableMJRUGEOGR[[#This Row],[Structure Line]]</f>
        <v>Cultural Landscapes</v>
      </c>
      <c r="E132" s="42">
        <f>TableMJRUGEOGR[[#This Row],[Credit Points]]</f>
        <v>25</v>
      </c>
      <c r="F132">
        <v>7</v>
      </c>
      <c r="G132" t="s">
        <v>927</v>
      </c>
      <c r="H132">
        <v>3</v>
      </c>
      <c r="I132" t="s">
        <v>934</v>
      </c>
      <c r="J132" t="s">
        <v>295</v>
      </c>
      <c r="K132" s="2">
        <v>3</v>
      </c>
      <c r="L132" t="s">
        <v>792</v>
      </c>
      <c r="M132">
        <v>25</v>
      </c>
      <c r="N132" s="152">
        <v>44562</v>
      </c>
      <c r="O132" s="152" t="s">
        <v>937</v>
      </c>
      <c r="Q132" t="s">
        <v>295</v>
      </c>
      <c r="R132">
        <v>3</v>
      </c>
    </row>
    <row r="133" spans="1:18" x14ac:dyDescent="0.25">
      <c r="A133" t="str">
        <f>TableMJRUGEOGR[[#This Row],[Study Package Code]]</f>
        <v>GEOG3000</v>
      </c>
      <c r="B133" s="2">
        <f>TableMJRUGEOGR[[#This Row],[Ver]]</f>
        <v>2</v>
      </c>
      <c r="D133" t="str">
        <f>TableMJRUGEOGR[[#This Row],[Structure Line]]</f>
        <v>Urban Geographies</v>
      </c>
      <c r="E133" s="42">
        <f>TableMJRUGEOGR[[#This Row],[Credit Points]]</f>
        <v>25</v>
      </c>
      <c r="F133">
        <v>8</v>
      </c>
      <c r="G133" t="s">
        <v>927</v>
      </c>
      <c r="H133">
        <v>3</v>
      </c>
      <c r="I133" t="s">
        <v>934</v>
      </c>
      <c r="J133" t="s">
        <v>297</v>
      </c>
      <c r="K133" s="2">
        <v>2</v>
      </c>
      <c r="L133" t="s">
        <v>605</v>
      </c>
      <c r="M133">
        <v>25</v>
      </c>
      <c r="N133" s="152">
        <v>44562</v>
      </c>
      <c r="O133" s="152" t="s">
        <v>937</v>
      </c>
      <c r="Q133" t="s">
        <v>297</v>
      </c>
      <c r="R133">
        <v>2</v>
      </c>
    </row>
    <row r="134" spans="1:18" x14ac:dyDescent="0.25">
      <c r="B134"/>
      <c r="E134"/>
      <c r="F134" s="39"/>
      <c r="G134" s="40" t="s">
        <v>913</v>
      </c>
      <c r="H134" s="156">
        <v>45292</v>
      </c>
      <c r="I134" s="39"/>
      <c r="J134" s="155" t="s">
        <v>133</v>
      </c>
      <c r="K134" s="159" t="s">
        <v>111</v>
      </c>
      <c r="L134" s="39" t="s">
        <v>132</v>
      </c>
      <c r="M134" s="39"/>
      <c r="N134" s="179" t="s">
        <v>914</v>
      </c>
      <c r="O134" s="180">
        <v>45327</v>
      </c>
    </row>
    <row r="135" spans="1:18" x14ac:dyDescent="0.25">
      <c r="A135" t="s">
        <v>0</v>
      </c>
      <c r="B135" s="2" t="s">
        <v>915</v>
      </c>
      <c r="C135" t="s">
        <v>916</v>
      </c>
      <c r="D135" t="s">
        <v>3</v>
      </c>
      <c r="E135" s="42" t="s">
        <v>917</v>
      </c>
      <c r="F135" t="s">
        <v>918</v>
      </c>
      <c r="G135" t="s">
        <v>919</v>
      </c>
      <c r="H135" t="s">
        <v>920</v>
      </c>
      <c r="I135" t="s">
        <v>23</v>
      </c>
      <c r="J135" t="s">
        <v>921</v>
      </c>
      <c r="K135" s="2" t="s">
        <v>1</v>
      </c>
      <c r="L135" t="s">
        <v>922</v>
      </c>
      <c r="M135" t="s">
        <v>86</v>
      </c>
      <c r="N135" t="s">
        <v>923</v>
      </c>
      <c r="O135" t="s">
        <v>924</v>
      </c>
      <c r="Q135" t="s">
        <v>925</v>
      </c>
      <c r="R135" t="s">
        <v>926</v>
      </c>
    </row>
    <row r="136" spans="1:18" x14ac:dyDescent="0.25">
      <c r="A136" t="str">
        <f>TableMJRUHISTR[[#This Row],[Study Package Code]]</f>
        <v>HIST2001</v>
      </c>
      <c r="B136" s="2">
        <f>TableMJRUHISTR[[#This Row],[Ver]]</f>
        <v>2</v>
      </c>
      <c r="D136" t="str">
        <f>TableMJRUHISTR[[#This Row],[Structure Line]]</f>
        <v>Democracy and Dictatorship</v>
      </c>
      <c r="E136" s="42">
        <f>TableMJRUHISTR[[#This Row],[Credit Points]]</f>
        <v>25</v>
      </c>
      <c r="F136">
        <v>1</v>
      </c>
      <c r="G136" t="s">
        <v>927</v>
      </c>
      <c r="H136">
        <v>2</v>
      </c>
      <c r="I136" t="s">
        <v>928</v>
      </c>
      <c r="J136" t="s">
        <v>201</v>
      </c>
      <c r="K136" s="2">
        <v>2</v>
      </c>
      <c r="L136" t="s">
        <v>610</v>
      </c>
      <c r="M136">
        <v>25</v>
      </c>
      <c r="N136" s="152">
        <v>44927</v>
      </c>
      <c r="O136" s="152" t="s">
        <v>937</v>
      </c>
      <c r="Q136" t="s">
        <v>201</v>
      </c>
      <c r="R136">
        <v>2</v>
      </c>
    </row>
    <row r="137" spans="1:18" x14ac:dyDescent="0.25">
      <c r="A137" t="str">
        <f>TableMJRUHISTR[[#This Row],[Study Package Code]]</f>
        <v>HIST2002</v>
      </c>
      <c r="B137" s="2">
        <f>TableMJRUHISTR[[#This Row],[Ver]]</f>
        <v>2</v>
      </c>
      <c r="D137" t="str">
        <f>TableMJRUHISTR[[#This Row],[Structure Line]]</f>
        <v>Politics of the Modern Middle East</v>
      </c>
      <c r="E137" s="42">
        <f>TableMJRUHISTR[[#This Row],[Credit Points]]</f>
        <v>25</v>
      </c>
      <c r="F137">
        <v>2</v>
      </c>
      <c r="G137" t="s">
        <v>927</v>
      </c>
      <c r="H137">
        <v>2</v>
      </c>
      <c r="I137" t="s">
        <v>928</v>
      </c>
      <c r="J137" t="s">
        <v>225</v>
      </c>
      <c r="K137" s="2">
        <v>2</v>
      </c>
      <c r="L137" t="s">
        <v>611</v>
      </c>
      <c r="M137">
        <v>25</v>
      </c>
      <c r="N137" s="152">
        <v>43101</v>
      </c>
      <c r="O137" s="152" t="s">
        <v>937</v>
      </c>
      <c r="Q137" t="s">
        <v>225</v>
      </c>
      <c r="R137">
        <v>2</v>
      </c>
    </row>
    <row r="138" spans="1:18" x14ac:dyDescent="0.25">
      <c r="A138" t="str">
        <f>TableMJRUHISTR[[#This Row],[Study Package Code]]</f>
        <v>HIST2003</v>
      </c>
      <c r="B138" s="2">
        <f>TableMJRUHISTR[[#This Row],[Ver]]</f>
        <v>1</v>
      </c>
      <c r="D138" t="str">
        <f>TableMJRUHISTR[[#This Row],[Structure Line]]</f>
        <v>A History of Terrorism and Insurgency</v>
      </c>
      <c r="E138" s="42">
        <f>TableMJRUHISTR[[#This Row],[Credit Points]]</f>
        <v>25</v>
      </c>
      <c r="F138">
        <v>3</v>
      </c>
      <c r="G138" t="s">
        <v>927</v>
      </c>
      <c r="H138">
        <v>2</v>
      </c>
      <c r="I138" t="s">
        <v>934</v>
      </c>
      <c r="J138" t="s">
        <v>202</v>
      </c>
      <c r="K138" s="2">
        <v>1</v>
      </c>
      <c r="L138" t="s">
        <v>612</v>
      </c>
      <c r="M138">
        <v>25</v>
      </c>
      <c r="N138" s="152">
        <v>45292</v>
      </c>
      <c r="O138" s="152" t="s">
        <v>937</v>
      </c>
      <c r="Q138" t="s">
        <v>941</v>
      </c>
      <c r="R138">
        <v>2</v>
      </c>
    </row>
    <row r="139" spans="1:18" x14ac:dyDescent="0.25">
      <c r="A139" t="str">
        <f>TableMJRUHISTR[[#This Row],[Study Package Code]]</f>
        <v>HIST2000</v>
      </c>
      <c r="B139" s="2">
        <f>TableMJRUHISTR[[#This Row],[Ver]]</f>
        <v>2</v>
      </c>
      <c r="D139" t="str">
        <f>TableMJRUHISTR[[#This Row],[Structure Line]]</f>
        <v>Social Change in Contemporary Australian History</v>
      </c>
      <c r="E139" s="42">
        <f>TableMJRUHISTR[[#This Row],[Credit Points]]</f>
        <v>25</v>
      </c>
      <c r="F139">
        <v>4</v>
      </c>
      <c r="G139" t="s">
        <v>927</v>
      </c>
      <c r="H139">
        <v>2</v>
      </c>
      <c r="I139" t="s">
        <v>934</v>
      </c>
      <c r="J139" t="s">
        <v>226</v>
      </c>
      <c r="K139" s="2">
        <v>2</v>
      </c>
      <c r="L139" t="s">
        <v>609</v>
      </c>
      <c r="M139">
        <v>25</v>
      </c>
      <c r="N139" s="152">
        <v>44562</v>
      </c>
      <c r="O139" s="152" t="s">
        <v>937</v>
      </c>
      <c r="Q139" t="s">
        <v>226</v>
      </c>
      <c r="R139">
        <v>2</v>
      </c>
    </row>
    <row r="140" spans="1:18" x14ac:dyDescent="0.25">
      <c r="A140" t="str">
        <f>TableMJRUHISTR[[#This Row],[Study Package Code]]</f>
        <v>HIST3000</v>
      </c>
      <c r="B140" s="2">
        <f>TableMJRUHISTR[[#This Row],[Ver]]</f>
        <v>3</v>
      </c>
      <c r="D140" t="str">
        <f>TableMJRUHISTR[[#This Row],[Structure Line]]</f>
        <v>A History of Nationalism and Nation-Making</v>
      </c>
      <c r="E140" s="42">
        <f>TableMJRUHISTR[[#This Row],[Credit Points]]</f>
        <v>25</v>
      </c>
      <c r="F140">
        <v>5</v>
      </c>
      <c r="G140" t="s">
        <v>927</v>
      </c>
      <c r="H140">
        <v>3</v>
      </c>
      <c r="I140" t="s">
        <v>928</v>
      </c>
      <c r="J140" t="s">
        <v>254</v>
      </c>
      <c r="K140" s="2">
        <v>3</v>
      </c>
      <c r="L140" t="s">
        <v>613</v>
      </c>
      <c r="M140">
        <v>25</v>
      </c>
      <c r="N140" s="152">
        <v>44197</v>
      </c>
      <c r="O140" s="152" t="s">
        <v>937</v>
      </c>
      <c r="Q140" t="s">
        <v>254</v>
      </c>
      <c r="R140">
        <v>3</v>
      </c>
    </row>
    <row r="141" spans="1:18" x14ac:dyDescent="0.25">
      <c r="A141" t="str">
        <f>TableMJRUHISTR[[#This Row],[Study Package Code]]</f>
        <v>HIST3003</v>
      </c>
      <c r="B141" s="2">
        <f>TableMJRUHISTR[[#This Row],[Ver]]</f>
        <v>1</v>
      </c>
      <c r="D141" t="str">
        <f>TableMJRUHISTR[[#This Row],[Structure Line]]</f>
        <v>Australians at War</v>
      </c>
      <c r="E141" s="42">
        <f>TableMJRUHISTR[[#This Row],[Credit Points]]</f>
        <v>25</v>
      </c>
      <c r="F141">
        <v>6</v>
      </c>
      <c r="G141" t="s">
        <v>927</v>
      </c>
      <c r="H141">
        <v>3</v>
      </c>
      <c r="I141" t="s">
        <v>928</v>
      </c>
      <c r="J141" t="s">
        <v>279</v>
      </c>
      <c r="K141" s="2">
        <v>1</v>
      </c>
      <c r="L141" t="s">
        <v>616</v>
      </c>
      <c r="M141">
        <v>25</v>
      </c>
      <c r="N141" s="152">
        <v>42736</v>
      </c>
      <c r="O141" s="152" t="s">
        <v>937</v>
      </c>
      <c r="Q141" t="s">
        <v>279</v>
      </c>
      <c r="R141">
        <v>1</v>
      </c>
    </row>
    <row r="142" spans="1:18" x14ac:dyDescent="0.25">
      <c r="A142" t="str">
        <f>TableMJRUHISTR[[#This Row],[Study Package Code]]</f>
        <v>HIST3001</v>
      </c>
      <c r="B142" s="2">
        <f>TableMJRUHISTR[[#This Row],[Ver]]</f>
        <v>3</v>
      </c>
      <c r="D142" t="str">
        <f>TableMJRUHISTR[[#This Row],[Structure Line]]</f>
        <v>Competition, Cooperation and Conflict since 1945</v>
      </c>
      <c r="E142" s="42">
        <f>TableMJRUHISTR[[#This Row],[Credit Points]]</f>
        <v>25</v>
      </c>
      <c r="F142">
        <v>7</v>
      </c>
      <c r="G142" t="s">
        <v>927</v>
      </c>
      <c r="H142">
        <v>3</v>
      </c>
      <c r="I142" t="s">
        <v>934</v>
      </c>
      <c r="J142" t="s">
        <v>255</v>
      </c>
      <c r="K142" s="2">
        <v>3</v>
      </c>
      <c r="L142" t="s">
        <v>614</v>
      </c>
      <c r="M142">
        <v>25</v>
      </c>
      <c r="N142" s="152">
        <v>44927</v>
      </c>
      <c r="O142" s="152" t="s">
        <v>937</v>
      </c>
      <c r="Q142" t="s">
        <v>255</v>
      </c>
      <c r="R142">
        <v>3</v>
      </c>
    </row>
    <row r="143" spans="1:18" x14ac:dyDescent="0.25">
      <c r="A143" t="str">
        <f>TableMJRUHISTR[[#This Row],[Study Package Code]]</f>
        <v>HIST3002</v>
      </c>
      <c r="B143" s="2">
        <f>TableMJRUHISTR[[#This Row],[Ver]]</f>
        <v>2</v>
      </c>
      <c r="D143" t="str">
        <f>TableMJRUHISTR[[#This Row],[Structure Line]]</f>
        <v>Local History Project</v>
      </c>
      <c r="E143" s="42">
        <f>TableMJRUHISTR[[#This Row],[Credit Points]]</f>
        <v>25</v>
      </c>
      <c r="F143">
        <v>8</v>
      </c>
      <c r="G143" t="s">
        <v>927</v>
      </c>
      <c r="H143">
        <v>3</v>
      </c>
      <c r="I143" t="s">
        <v>934</v>
      </c>
      <c r="J143" t="s">
        <v>280</v>
      </c>
      <c r="K143" s="2">
        <v>2</v>
      </c>
      <c r="L143" t="s">
        <v>615</v>
      </c>
      <c r="M143">
        <v>25</v>
      </c>
      <c r="N143" s="152">
        <v>44197</v>
      </c>
      <c r="O143" s="152" t="s">
        <v>937</v>
      </c>
      <c r="Q143" t="s">
        <v>280</v>
      </c>
      <c r="R143">
        <v>2</v>
      </c>
    </row>
    <row r="144" spans="1:18" x14ac:dyDescent="0.25">
      <c r="B144"/>
      <c r="E144"/>
      <c r="F144" s="39"/>
      <c r="G144" s="40" t="s">
        <v>913</v>
      </c>
      <c r="H144" s="156">
        <v>45292</v>
      </c>
      <c r="I144" s="39"/>
      <c r="J144" s="155" t="s">
        <v>136</v>
      </c>
      <c r="K144" s="159" t="s">
        <v>116</v>
      </c>
      <c r="L144" s="39" t="s">
        <v>135</v>
      </c>
      <c r="M144" s="39"/>
      <c r="N144" s="179" t="s">
        <v>914</v>
      </c>
      <c r="O144" s="180">
        <v>45327</v>
      </c>
    </row>
    <row r="145" spans="1:18" x14ac:dyDescent="0.25">
      <c r="A145" t="s">
        <v>0</v>
      </c>
      <c r="B145" s="2" t="s">
        <v>915</v>
      </c>
      <c r="C145" t="s">
        <v>916</v>
      </c>
      <c r="D145" t="s">
        <v>3</v>
      </c>
      <c r="E145" s="42" t="s">
        <v>917</v>
      </c>
      <c r="F145" t="s">
        <v>918</v>
      </c>
      <c r="G145" t="s">
        <v>919</v>
      </c>
      <c r="H145" t="s">
        <v>920</v>
      </c>
      <c r="I145" t="s">
        <v>23</v>
      </c>
      <c r="J145" t="s">
        <v>921</v>
      </c>
      <c r="K145" s="2" t="s">
        <v>1</v>
      </c>
      <c r="L145" t="s">
        <v>922</v>
      </c>
      <c r="M145" t="s">
        <v>86</v>
      </c>
      <c r="N145" t="s">
        <v>923</v>
      </c>
      <c r="O145" t="s">
        <v>924</v>
      </c>
      <c r="Q145" t="s">
        <v>925</v>
      </c>
      <c r="R145" t="s">
        <v>926</v>
      </c>
    </row>
    <row r="146" spans="1:18" x14ac:dyDescent="0.25">
      <c r="A146" t="str">
        <f>TableMJRUINAUC[[#This Row],[Study Package Code]]</f>
        <v>INDS2004</v>
      </c>
      <c r="B146" s="2">
        <f>TableMJRUINAUC[[#This Row],[Ver]]</f>
        <v>2</v>
      </c>
      <c r="D146" t="str">
        <f>TableMJRUINAUC[[#This Row],[Structure Line]]</f>
        <v>Listening to Country: First Nations’ Perspectives</v>
      </c>
      <c r="E146" s="42">
        <f>TableMJRUINAUC[[#This Row],[Credit Points]]</f>
        <v>25</v>
      </c>
      <c r="F146">
        <v>1</v>
      </c>
      <c r="G146" t="s">
        <v>927</v>
      </c>
      <c r="H146">
        <v>0</v>
      </c>
      <c r="I146" t="s">
        <v>935</v>
      </c>
      <c r="J146" t="s">
        <v>227</v>
      </c>
      <c r="K146" s="2">
        <v>2</v>
      </c>
      <c r="L146" t="s">
        <v>624</v>
      </c>
      <c r="M146">
        <v>25</v>
      </c>
      <c r="N146" s="152">
        <v>44562</v>
      </c>
      <c r="O146" s="152" t="s">
        <v>937</v>
      </c>
    </row>
    <row r="147" spans="1:18" x14ac:dyDescent="0.25">
      <c r="A147" t="str">
        <f>TableMJRUINAUC[[#This Row],[Study Package Code]]</f>
        <v>INDS1000</v>
      </c>
      <c r="B147" s="2">
        <f>TableMJRUINAUC[[#This Row],[Ver]]</f>
        <v>1</v>
      </c>
      <c r="D147" t="str">
        <f>TableMJRUINAUC[[#This Row],[Structure Line]]</f>
        <v>Introduction to Indigenous Australians</v>
      </c>
      <c r="E147" s="42">
        <f>TableMJRUINAUC[[#This Row],[Credit Points]]</f>
        <v>25</v>
      </c>
      <c r="F147">
        <v>2</v>
      </c>
      <c r="G147" t="s">
        <v>927</v>
      </c>
      <c r="H147">
        <v>0</v>
      </c>
      <c r="I147" t="s">
        <v>935</v>
      </c>
      <c r="J147" t="s">
        <v>203</v>
      </c>
      <c r="K147" s="2">
        <v>1</v>
      </c>
      <c r="L147" t="s">
        <v>619</v>
      </c>
      <c r="M147">
        <v>25</v>
      </c>
      <c r="N147" s="152">
        <v>42005</v>
      </c>
      <c r="O147" s="152" t="s">
        <v>937</v>
      </c>
    </row>
    <row r="148" spans="1:18" x14ac:dyDescent="0.25">
      <c r="A148" t="str">
        <f>TableMJRUINAUC[[#This Row],[Study Package Code]]</f>
        <v>INDS2001</v>
      </c>
      <c r="B148" s="2">
        <f>TableMJRUINAUC[[#This Row],[Ver]]</f>
        <v>1</v>
      </c>
      <c r="D148" t="str">
        <f>TableMJRUINAUC[[#This Row],[Structure Line]]</f>
        <v>Indigenous Australian Land and Environments</v>
      </c>
      <c r="E148" s="42">
        <f>TableMJRUINAUC[[#This Row],[Credit Points]]</f>
        <v>25</v>
      </c>
      <c r="F148">
        <v>3</v>
      </c>
      <c r="G148" t="s">
        <v>927</v>
      </c>
      <c r="H148">
        <v>0</v>
      </c>
      <c r="I148" t="s">
        <v>935</v>
      </c>
      <c r="J148" t="s">
        <v>243</v>
      </c>
      <c r="K148" s="2">
        <v>1</v>
      </c>
      <c r="L148" t="s">
        <v>620</v>
      </c>
      <c r="M148">
        <v>25</v>
      </c>
      <c r="N148" s="152">
        <v>42005</v>
      </c>
      <c r="O148" s="152" t="s">
        <v>937</v>
      </c>
    </row>
    <row r="149" spans="1:18" x14ac:dyDescent="0.25">
      <c r="A149" t="str">
        <f>TableMJRUINAUC[[#This Row],[Study Package Code]]</f>
        <v>GEOG3001</v>
      </c>
      <c r="B149" s="2">
        <f>TableMJRUINAUC[[#This Row],[Ver]]</f>
        <v>1</v>
      </c>
      <c r="D149" t="str">
        <f>TableMJRUINAUC[[#This Row],[Structure Line]]</f>
        <v>Sustainable Livelihoods</v>
      </c>
      <c r="E149" s="42">
        <f>TableMJRUINAUC[[#This Row],[Credit Points]]</f>
        <v>25</v>
      </c>
      <c r="F149">
        <v>4</v>
      </c>
      <c r="G149" t="s">
        <v>927</v>
      </c>
      <c r="H149">
        <v>0</v>
      </c>
      <c r="I149" t="s">
        <v>935</v>
      </c>
      <c r="J149" t="s">
        <v>278</v>
      </c>
      <c r="K149" s="2">
        <v>1</v>
      </c>
      <c r="L149" t="s">
        <v>606</v>
      </c>
      <c r="M149">
        <v>25</v>
      </c>
      <c r="N149" s="152">
        <v>42005</v>
      </c>
      <c r="O149" s="152" t="s">
        <v>937</v>
      </c>
    </row>
    <row r="150" spans="1:18" x14ac:dyDescent="0.25">
      <c r="A150" t="str">
        <f>TableMJRUINAUC[[#This Row],[Study Package Code]]</f>
        <v>INDS2003</v>
      </c>
      <c r="B150" s="2">
        <f>TableMJRUINAUC[[#This Row],[Ver]]</f>
        <v>1</v>
      </c>
      <c r="D150" t="str">
        <f>TableMJRUINAUC[[#This Row],[Structure Line]]</f>
        <v>Nyungar Culture and Identity</v>
      </c>
      <c r="E150" s="42">
        <f>TableMJRUINAUC[[#This Row],[Credit Points]]</f>
        <v>25</v>
      </c>
      <c r="F150">
        <v>5</v>
      </c>
      <c r="G150" t="s">
        <v>927</v>
      </c>
      <c r="H150">
        <v>0</v>
      </c>
      <c r="I150" t="s">
        <v>935</v>
      </c>
      <c r="J150" t="s">
        <v>281</v>
      </c>
      <c r="K150" s="2">
        <v>1</v>
      </c>
      <c r="L150" t="s">
        <v>942</v>
      </c>
      <c r="M150">
        <v>25</v>
      </c>
      <c r="N150" s="152">
        <v>42005</v>
      </c>
      <c r="O150" s="152" t="s">
        <v>937</v>
      </c>
    </row>
    <row r="151" spans="1:18" x14ac:dyDescent="0.25">
      <c r="A151" t="str">
        <f>TableMJRUINAUC[[#This Row],[Study Package Code]]</f>
        <v>INDS2002</v>
      </c>
      <c r="B151" s="2">
        <f>TableMJRUINAUC[[#This Row],[Ver]]</f>
        <v>1</v>
      </c>
      <c r="D151" t="str">
        <f>TableMJRUINAUC[[#This Row],[Structure Line]]</f>
        <v>Indigenous Australian Arts</v>
      </c>
      <c r="E151" s="42">
        <f>TableMJRUINAUC[[#This Row],[Credit Points]]</f>
        <v>25</v>
      </c>
      <c r="F151">
        <v>6</v>
      </c>
      <c r="G151" t="s">
        <v>927</v>
      </c>
      <c r="H151">
        <v>0</v>
      </c>
      <c r="I151" t="s">
        <v>935</v>
      </c>
      <c r="J151" t="s">
        <v>228</v>
      </c>
      <c r="K151" s="2">
        <v>1</v>
      </c>
      <c r="L151" t="s">
        <v>621</v>
      </c>
      <c r="M151">
        <v>25</v>
      </c>
      <c r="N151" s="152">
        <v>42005</v>
      </c>
      <c r="O151" s="152" t="s">
        <v>937</v>
      </c>
    </row>
    <row r="152" spans="1:18" x14ac:dyDescent="0.25">
      <c r="A152" t="str">
        <f>TableMJRUINAUC[[#This Row],[Study Package Code]]</f>
        <v>LCST3006</v>
      </c>
      <c r="B152" s="2">
        <f>TableMJRUINAUC[[#This Row],[Ver]]</f>
        <v>1</v>
      </c>
      <c r="D152" t="str">
        <f>TableMJRUINAUC[[#This Row],[Structure Line]]</f>
        <v>Decolonising Place</v>
      </c>
      <c r="E152" s="42">
        <f>TableMJRUINAUC[[#This Row],[Credit Points]]</f>
        <v>25</v>
      </c>
      <c r="F152">
        <v>7</v>
      </c>
      <c r="G152" t="s">
        <v>927</v>
      </c>
      <c r="H152">
        <v>0</v>
      </c>
      <c r="I152" t="s">
        <v>935</v>
      </c>
      <c r="J152" t="s">
        <v>256</v>
      </c>
      <c r="K152" s="2">
        <v>1</v>
      </c>
      <c r="L152" t="s">
        <v>687</v>
      </c>
      <c r="M152">
        <v>25</v>
      </c>
      <c r="N152" s="152">
        <v>44562</v>
      </c>
      <c r="O152" s="152" t="s">
        <v>937</v>
      </c>
    </row>
    <row r="153" spans="1:18" x14ac:dyDescent="0.25">
      <c r="A153" t="str">
        <f>TableMJRUINAUC[[#This Row],[Study Package Code]]</f>
        <v>INDS3003</v>
      </c>
      <c r="B153" s="2">
        <f>TableMJRUINAUC[[#This Row],[Ver]]</f>
        <v>1</v>
      </c>
      <c r="D153" t="str">
        <f>TableMJRUINAUC[[#This Row],[Structure Line]]</f>
        <v>Rock Art, Archaeology and Antiquity</v>
      </c>
      <c r="E153" s="42">
        <f>TableMJRUINAUC[[#This Row],[Credit Points]]</f>
        <v>25</v>
      </c>
      <c r="F153">
        <v>8</v>
      </c>
      <c r="G153" t="s">
        <v>927</v>
      </c>
      <c r="H153">
        <v>0</v>
      </c>
      <c r="I153" t="s">
        <v>935</v>
      </c>
      <c r="J153" t="s">
        <v>257</v>
      </c>
      <c r="K153" s="2">
        <v>1</v>
      </c>
      <c r="L153" t="s">
        <v>625</v>
      </c>
      <c r="M153">
        <v>25</v>
      </c>
      <c r="N153" s="152">
        <v>45292</v>
      </c>
      <c r="O153" s="152" t="s">
        <v>937</v>
      </c>
    </row>
    <row r="154" spans="1:18" x14ac:dyDescent="0.25">
      <c r="B154"/>
      <c r="E154"/>
      <c r="F154" s="39"/>
      <c r="G154" s="40" t="s">
        <v>913</v>
      </c>
      <c r="H154" s="156">
        <v>45292</v>
      </c>
      <c r="I154" s="39"/>
      <c r="J154" s="155" t="s">
        <v>139</v>
      </c>
      <c r="K154" s="159" t="s">
        <v>111</v>
      </c>
      <c r="L154" s="39" t="s">
        <v>138</v>
      </c>
      <c r="M154" s="39"/>
      <c r="N154" s="179" t="s">
        <v>914</v>
      </c>
      <c r="O154" s="180">
        <v>45327</v>
      </c>
    </row>
    <row r="155" spans="1:18" x14ac:dyDescent="0.25">
      <c r="A155" t="s">
        <v>0</v>
      </c>
      <c r="B155" s="2" t="s">
        <v>915</v>
      </c>
      <c r="C155" t="s">
        <v>916</v>
      </c>
      <c r="D155" t="s">
        <v>3</v>
      </c>
      <c r="E155" s="42" t="s">
        <v>917</v>
      </c>
      <c r="F155" t="s">
        <v>918</v>
      </c>
      <c r="G155" t="s">
        <v>919</v>
      </c>
      <c r="H155" t="s">
        <v>920</v>
      </c>
      <c r="I155" t="s">
        <v>23</v>
      </c>
      <c r="J155" t="s">
        <v>921</v>
      </c>
      <c r="K155" s="2" t="s">
        <v>1</v>
      </c>
      <c r="L155" t="s">
        <v>922</v>
      </c>
      <c r="M155" t="s">
        <v>86</v>
      </c>
      <c r="N155" t="s">
        <v>923</v>
      </c>
      <c r="O155" t="s">
        <v>924</v>
      </c>
      <c r="Q155" t="s">
        <v>925</v>
      </c>
      <c r="R155" t="s">
        <v>926</v>
      </c>
    </row>
    <row r="156" spans="1:18" x14ac:dyDescent="0.25">
      <c r="A156" t="str">
        <f>TableMJRUINTRL[[#This Row],[Study Package Code]]</f>
        <v>INTR2002</v>
      </c>
      <c r="B156" s="2">
        <f>TableMJRUINTRL[[#This Row],[Ver]]</f>
        <v>2</v>
      </c>
      <c r="D156" t="str">
        <f>TableMJRUINTRL[[#This Row],[Structure Line]]</f>
        <v>Diplomacy and Conflict in the Indo-Pacific</v>
      </c>
      <c r="E156" s="42">
        <f>TableMJRUINTRL[[#This Row],[Credit Points]]</f>
        <v>25</v>
      </c>
      <c r="F156">
        <v>1</v>
      </c>
      <c r="G156" t="s">
        <v>927</v>
      </c>
      <c r="H156">
        <v>2</v>
      </c>
      <c r="I156" t="s">
        <v>928</v>
      </c>
      <c r="J156" t="s">
        <v>204</v>
      </c>
      <c r="K156" s="2">
        <v>2</v>
      </c>
      <c r="L156" t="s">
        <v>633</v>
      </c>
      <c r="M156">
        <v>25</v>
      </c>
      <c r="N156" s="152">
        <v>45292</v>
      </c>
      <c r="O156" s="152" t="s">
        <v>937</v>
      </c>
    </row>
    <row r="157" spans="1:18" x14ac:dyDescent="0.25">
      <c r="A157" t="str">
        <f>TableMJRUINTRL[[#This Row],[Study Package Code]]</f>
        <v>INTR2000</v>
      </c>
      <c r="B157" s="2">
        <f>TableMJRUINTRL[[#This Row],[Ver]]</f>
        <v>3</v>
      </c>
      <c r="D157" t="str">
        <f>TableMJRUINTRL[[#This Row],[Structure Line]]</f>
        <v>International Relations Theory</v>
      </c>
      <c r="E157" s="42">
        <f>TableMJRUINTRL[[#This Row],[Credit Points]]</f>
        <v>25</v>
      </c>
      <c r="F157">
        <v>2</v>
      </c>
      <c r="G157" t="s">
        <v>927</v>
      </c>
      <c r="H157">
        <v>2</v>
      </c>
      <c r="I157" t="s">
        <v>928</v>
      </c>
      <c r="J157" t="s">
        <v>229</v>
      </c>
      <c r="K157" s="2">
        <v>3</v>
      </c>
      <c r="L157" t="s">
        <v>630</v>
      </c>
      <c r="M157">
        <v>25</v>
      </c>
      <c r="N157" s="152">
        <v>45292</v>
      </c>
      <c r="O157" s="152" t="s">
        <v>937</v>
      </c>
    </row>
    <row r="158" spans="1:18" x14ac:dyDescent="0.25">
      <c r="A158" t="str">
        <f>TableMJRUINTRL[[#This Row],[Study Package Code]]</f>
        <v>POLS2000</v>
      </c>
      <c r="B158" s="2">
        <f>TableMJRUINTRL[[#This Row],[Ver]]</f>
        <v>2</v>
      </c>
      <c r="D158" t="str">
        <f>TableMJRUINTRL[[#This Row],[Structure Line]]</f>
        <v>Foreign Policy</v>
      </c>
      <c r="E158" s="42">
        <f>TableMJRUINTRL[[#This Row],[Credit Points]]</f>
        <v>25</v>
      </c>
      <c r="F158">
        <v>3</v>
      </c>
      <c r="G158" t="s">
        <v>927</v>
      </c>
      <c r="H158">
        <v>2</v>
      </c>
      <c r="I158" t="s">
        <v>934</v>
      </c>
      <c r="J158" t="s">
        <v>205</v>
      </c>
      <c r="K158" s="2">
        <v>2</v>
      </c>
      <c r="L158" t="s">
        <v>794</v>
      </c>
      <c r="M158">
        <v>25</v>
      </c>
      <c r="N158" s="152">
        <v>45292</v>
      </c>
      <c r="O158" s="152" t="s">
        <v>937</v>
      </c>
    </row>
    <row r="159" spans="1:18" x14ac:dyDescent="0.25">
      <c r="A159" t="str">
        <f>TableMJRUINTRL[[#This Row],[Study Package Code]]</f>
        <v>INTR2003</v>
      </c>
      <c r="B159" s="2">
        <f>TableMJRUINTRL[[#This Row],[Ver]]</f>
        <v>1</v>
      </c>
      <c r="D159" t="str">
        <f>TableMJRUINTRL[[#This Row],[Structure Line]]</f>
        <v>Global Governance</v>
      </c>
      <c r="E159" s="42">
        <f>TableMJRUINTRL[[#This Row],[Credit Points]]</f>
        <v>25</v>
      </c>
      <c r="F159">
        <v>4</v>
      </c>
      <c r="G159" t="s">
        <v>927</v>
      </c>
      <c r="H159">
        <v>2</v>
      </c>
      <c r="I159" t="s">
        <v>934</v>
      </c>
      <c r="J159" t="s">
        <v>230</v>
      </c>
      <c r="K159" s="2">
        <v>1</v>
      </c>
      <c r="L159" t="s">
        <v>636</v>
      </c>
      <c r="M159">
        <v>25</v>
      </c>
      <c r="N159" s="152">
        <v>45292</v>
      </c>
      <c r="O159" s="152" t="s">
        <v>937</v>
      </c>
    </row>
    <row r="160" spans="1:18" x14ac:dyDescent="0.25">
      <c r="A160" t="str">
        <f>TableMJRUINTRL[[#This Row],[Study Package Code]]</f>
        <v>INTR3003</v>
      </c>
      <c r="B160" s="2">
        <f>TableMJRUINTRL[[#This Row],[Ver]]</f>
        <v>1</v>
      </c>
      <c r="D160" t="str">
        <f>TableMJRUINTRL[[#This Row],[Structure Line]]</f>
        <v>Extremism in Global Politics</v>
      </c>
      <c r="E160" s="42">
        <f>TableMJRUINTRL[[#This Row],[Credit Points]]</f>
        <v>25</v>
      </c>
      <c r="F160">
        <v>5</v>
      </c>
      <c r="G160" t="s">
        <v>927</v>
      </c>
      <c r="H160">
        <v>3</v>
      </c>
      <c r="I160" t="s">
        <v>928</v>
      </c>
      <c r="J160" t="s">
        <v>258</v>
      </c>
      <c r="K160" s="2">
        <v>1</v>
      </c>
      <c r="L160" t="s">
        <v>638</v>
      </c>
      <c r="M160">
        <v>25</v>
      </c>
      <c r="N160" s="152">
        <v>45292</v>
      </c>
      <c r="O160" s="152" t="s">
        <v>937</v>
      </c>
    </row>
    <row r="161" spans="1:18" x14ac:dyDescent="0.25">
      <c r="A161" t="str">
        <f>TableMJRUINTRL[[#This Row],[Study Package Code]]</f>
        <v>INTR3002</v>
      </c>
      <c r="B161" s="2">
        <f>TableMJRUINTRL[[#This Row],[Ver]]</f>
        <v>1</v>
      </c>
      <c r="D161" t="str">
        <f>TableMJRUINTRL[[#This Row],[Structure Line]]</f>
        <v>International Ethics</v>
      </c>
      <c r="E161" s="42">
        <f>TableMJRUINTRL[[#This Row],[Credit Points]]</f>
        <v>25</v>
      </c>
      <c r="F161">
        <v>6</v>
      </c>
      <c r="G161" t="s">
        <v>927</v>
      </c>
      <c r="H161">
        <v>3</v>
      </c>
      <c r="I161" t="s">
        <v>928</v>
      </c>
      <c r="J161" t="s">
        <v>282</v>
      </c>
      <c r="K161" s="2">
        <v>1</v>
      </c>
      <c r="L161" t="s">
        <v>637</v>
      </c>
      <c r="M161">
        <v>25</v>
      </c>
      <c r="N161" s="152">
        <v>45292</v>
      </c>
      <c r="O161" s="152" t="s">
        <v>937</v>
      </c>
    </row>
    <row r="162" spans="1:18" x14ac:dyDescent="0.25">
      <c r="A162" t="str">
        <f>TableMJRUINTRL[[#This Row],[Study Package Code]]</f>
        <v>POLS3002</v>
      </c>
      <c r="B162" s="2">
        <f>TableMJRUINTRL[[#This Row],[Ver]]</f>
        <v>1</v>
      </c>
      <c r="D162" t="str">
        <f>TableMJRUINTRL[[#This Row],[Structure Line]]</f>
        <v>Africa's International Relations</v>
      </c>
      <c r="E162" s="42">
        <f>TableMJRUINTRL[[#This Row],[Credit Points]]</f>
        <v>25</v>
      </c>
      <c r="F162">
        <v>7</v>
      </c>
      <c r="G162" t="s">
        <v>927</v>
      </c>
      <c r="H162">
        <v>3</v>
      </c>
      <c r="I162" t="s">
        <v>934</v>
      </c>
      <c r="J162" t="s">
        <v>259</v>
      </c>
      <c r="K162" s="2">
        <v>1</v>
      </c>
      <c r="L162" t="s">
        <v>798</v>
      </c>
      <c r="M162">
        <v>25</v>
      </c>
      <c r="N162" s="152">
        <v>45292</v>
      </c>
      <c r="O162" s="152" t="s">
        <v>937</v>
      </c>
    </row>
    <row r="163" spans="1:18" x14ac:dyDescent="0.25">
      <c r="A163" t="str">
        <f>TableMJRUINTRL[[#This Row],[Study Package Code]]</f>
        <v>POLS3000</v>
      </c>
      <c r="B163" s="2">
        <f>TableMJRUINTRL[[#This Row],[Ver]]</f>
        <v>1</v>
      </c>
      <c r="D163" t="str">
        <f>TableMJRUINTRL[[#This Row],[Structure Line]]</f>
        <v>International Political Economy</v>
      </c>
      <c r="E163" s="42">
        <f>TableMJRUINTRL[[#This Row],[Credit Points]]</f>
        <v>25</v>
      </c>
      <c r="F163">
        <v>8</v>
      </c>
      <c r="G163" t="s">
        <v>927</v>
      </c>
      <c r="H163">
        <v>3</v>
      </c>
      <c r="I163" t="s">
        <v>934</v>
      </c>
      <c r="J163" t="s">
        <v>283</v>
      </c>
      <c r="K163" s="2">
        <v>1</v>
      </c>
      <c r="L163" t="s">
        <v>797</v>
      </c>
      <c r="M163">
        <v>25</v>
      </c>
      <c r="N163" s="152">
        <v>42005</v>
      </c>
      <c r="O163" s="152" t="s">
        <v>937</v>
      </c>
    </row>
    <row r="164" spans="1:18" x14ac:dyDescent="0.25">
      <c r="A164">
        <f>TableMJRUINTRL[[#This Row],[Study Package Code]]</f>
        <v>0</v>
      </c>
      <c r="B164" s="2">
        <f>TableMJRUINTRL[[#This Row],[Ver]]</f>
        <v>0</v>
      </c>
      <c r="D164">
        <f>TableMJRUINTRL[[#This Row],[Structure Line]]</f>
        <v>0</v>
      </c>
      <c r="E164" s="42">
        <f>TableMJRUINTRL[[#This Row],[Credit Points]]</f>
        <v>0</v>
      </c>
      <c r="N164" s="152"/>
      <c r="O164" s="152"/>
    </row>
    <row r="165" spans="1:18" x14ac:dyDescent="0.25">
      <c r="B165"/>
      <c r="E165"/>
      <c r="F165" s="39"/>
      <c r="G165" s="40" t="s">
        <v>913</v>
      </c>
      <c r="H165" s="183">
        <v>42005</v>
      </c>
      <c r="I165" s="39"/>
      <c r="J165" s="155" t="s">
        <v>142</v>
      </c>
      <c r="K165" s="41" t="s">
        <v>116</v>
      </c>
      <c r="L165" s="39" t="s">
        <v>141</v>
      </c>
      <c r="M165" s="39"/>
      <c r="N165" s="179" t="s">
        <v>914</v>
      </c>
      <c r="O165" s="180">
        <v>45327</v>
      </c>
    </row>
    <row r="166" spans="1:18" x14ac:dyDescent="0.25">
      <c r="A166" t="s">
        <v>0</v>
      </c>
      <c r="B166" s="2" t="s">
        <v>915</v>
      </c>
      <c r="C166" t="s">
        <v>916</v>
      </c>
      <c r="D166" t="s">
        <v>3</v>
      </c>
      <c r="E166" s="42" t="s">
        <v>917</v>
      </c>
      <c r="F166" t="s">
        <v>918</v>
      </c>
      <c r="G166" t="s">
        <v>919</v>
      </c>
      <c r="H166" t="s">
        <v>920</v>
      </c>
      <c r="I166" t="s">
        <v>23</v>
      </c>
      <c r="J166" t="s">
        <v>921</v>
      </c>
      <c r="K166" s="2" t="s">
        <v>1</v>
      </c>
      <c r="L166" t="s">
        <v>922</v>
      </c>
      <c r="M166" t="s">
        <v>86</v>
      </c>
      <c r="N166" t="s">
        <v>923</v>
      </c>
      <c r="O166" t="s">
        <v>924</v>
      </c>
      <c r="Q166" t="s">
        <v>925</v>
      </c>
      <c r="R166" t="s">
        <v>926</v>
      </c>
    </row>
    <row r="167" spans="1:18" x14ac:dyDescent="0.25">
      <c r="A167" t="str">
        <f>TableMJRUJAPAN[[#This Row],[Study Package Code]]</f>
        <v>JAPN2000</v>
      </c>
      <c r="B167" s="2">
        <f>TableMJRUJAPAN[[#This Row],[Ver]]</f>
        <v>1</v>
      </c>
      <c r="D167" t="str">
        <f>TableMJRUJAPAN[[#This Row],[Structure Line]]</f>
        <v>Japanese Society and Culture</v>
      </c>
      <c r="E167" s="42">
        <f>TableMJRUJAPAN[[#This Row],[Credit Points]]</f>
        <v>25</v>
      </c>
      <c r="F167">
        <v>6</v>
      </c>
      <c r="G167" t="s">
        <v>927</v>
      </c>
      <c r="H167">
        <v>2</v>
      </c>
      <c r="I167" t="s">
        <v>928</v>
      </c>
      <c r="J167" t="s">
        <v>206</v>
      </c>
      <c r="K167" s="2">
        <v>1</v>
      </c>
      <c r="L167" t="s">
        <v>647</v>
      </c>
      <c r="M167">
        <v>25</v>
      </c>
      <c r="N167" s="152">
        <v>42005</v>
      </c>
      <c r="O167" s="152" t="s">
        <v>937</v>
      </c>
      <c r="Q167" t="s">
        <v>57</v>
      </c>
      <c r="R167">
        <v>2</v>
      </c>
    </row>
    <row r="168" spans="1:18" x14ac:dyDescent="0.25">
      <c r="A168" t="str">
        <f>TableMJRUJAPAN[[#This Row],[Study Package Code]]</f>
        <v>JAPN2001</v>
      </c>
      <c r="B168" s="2">
        <f>TableMJRUJAPAN[[#This Row],[Ver]]</f>
        <v>2</v>
      </c>
      <c r="D168" t="str">
        <f>TableMJRUJAPAN[[#This Row],[Structure Line]]</f>
        <v>Intermediate Japanese: Everyday Contexts</v>
      </c>
      <c r="E168" s="42">
        <f>TableMJRUJAPAN[[#This Row],[Credit Points]]</f>
        <v>25</v>
      </c>
      <c r="F168">
        <v>8</v>
      </c>
      <c r="G168" t="s">
        <v>927</v>
      </c>
      <c r="H168">
        <v>2</v>
      </c>
      <c r="I168" t="s">
        <v>928</v>
      </c>
      <c r="J168" s="254" t="s">
        <v>56</v>
      </c>
      <c r="K168" s="2">
        <v>2</v>
      </c>
      <c r="L168" t="s">
        <v>648</v>
      </c>
      <c r="M168">
        <v>25</v>
      </c>
      <c r="N168" s="152">
        <v>44562</v>
      </c>
      <c r="O168" s="152" t="s">
        <v>937</v>
      </c>
      <c r="Q168" t="s">
        <v>260</v>
      </c>
      <c r="R168">
        <v>2</v>
      </c>
    </row>
    <row r="169" spans="1:18" x14ac:dyDescent="0.25">
      <c r="A169" t="str">
        <f>TableMJRUJAPAN[[#This Row],[Study Package Code]]</f>
        <v>JAPN2002</v>
      </c>
      <c r="B169" s="2">
        <f>TableMJRUJAPAN[[#This Row],[Ver]]</f>
        <v>2</v>
      </c>
      <c r="D169" t="str">
        <f>TableMJRUJAPAN[[#This Row],[Structure Line]]</f>
        <v>Intermediate Japanese: Extending Everyday Contexts</v>
      </c>
      <c r="E169" s="42">
        <f>TableMJRUJAPAN[[#This Row],[Credit Points]]</f>
        <v>25</v>
      </c>
      <c r="F169">
        <v>1</v>
      </c>
      <c r="G169" t="s">
        <v>927</v>
      </c>
      <c r="H169">
        <v>2</v>
      </c>
      <c r="I169" t="s">
        <v>934</v>
      </c>
      <c r="J169" s="254" t="s">
        <v>57</v>
      </c>
      <c r="K169" s="2">
        <v>2</v>
      </c>
      <c r="L169" t="s">
        <v>649</v>
      </c>
      <c r="M169">
        <v>25</v>
      </c>
      <c r="N169" s="152">
        <v>44562</v>
      </c>
      <c r="O169" s="152" t="s">
        <v>937</v>
      </c>
      <c r="Q169" t="s">
        <v>284</v>
      </c>
      <c r="R169">
        <v>2</v>
      </c>
    </row>
    <row r="170" spans="1:18" x14ac:dyDescent="0.25">
      <c r="A170" t="str">
        <f>TableMJRUJAPAN[[#This Row],[Study Package Code]]</f>
        <v>JAPN2003</v>
      </c>
      <c r="B170" s="2">
        <f>TableMJRUJAPAN[[#This Row],[Ver]]</f>
        <v>1</v>
      </c>
      <c r="D170" t="str">
        <f>TableMJRUJAPAN[[#This Row],[Structure Line]]</f>
        <v>Communicating with Japan</v>
      </c>
      <c r="E170" s="42">
        <f>TableMJRUJAPAN[[#This Row],[Credit Points]]</f>
        <v>25</v>
      </c>
      <c r="F170">
        <v>7</v>
      </c>
      <c r="G170" t="s">
        <v>927</v>
      </c>
      <c r="H170">
        <v>2</v>
      </c>
      <c r="I170" t="s">
        <v>934</v>
      </c>
      <c r="J170" s="254" t="s">
        <v>231</v>
      </c>
      <c r="K170" s="2">
        <v>1</v>
      </c>
      <c r="L170" t="s">
        <v>650</v>
      </c>
      <c r="M170">
        <v>25</v>
      </c>
      <c r="N170" s="152">
        <v>42186</v>
      </c>
      <c r="O170" s="152" t="s">
        <v>937</v>
      </c>
      <c r="Q170" t="s">
        <v>261</v>
      </c>
      <c r="R170">
        <v>2</v>
      </c>
    </row>
    <row r="171" spans="1:18" x14ac:dyDescent="0.25">
      <c r="A171" t="str">
        <f>TableMJRUJAPAN[[#This Row],[Study Package Code]]</f>
        <v>JAPN3000</v>
      </c>
      <c r="B171" s="2">
        <f>TableMJRUJAPAN[[#This Row],[Ver]]</f>
        <v>2</v>
      </c>
      <c r="D171" t="str">
        <f>TableMJRUJAPAN[[#This Row],[Structure Line]]</f>
        <v>Advanced Japanese: Intercultural Communication</v>
      </c>
      <c r="E171" s="42">
        <f>TableMJRUJAPAN[[#This Row],[Credit Points]]</f>
        <v>25</v>
      </c>
      <c r="F171">
        <v>2</v>
      </c>
      <c r="G171" t="s">
        <v>927</v>
      </c>
      <c r="H171">
        <v>3</v>
      </c>
      <c r="I171" t="s">
        <v>928</v>
      </c>
      <c r="J171" s="254" t="s">
        <v>260</v>
      </c>
      <c r="K171" s="2">
        <v>2</v>
      </c>
      <c r="L171" t="s">
        <v>651</v>
      </c>
      <c r="M171">
        <v>25</v>
      </c>
      <c r="N171" s="152">
        <v>44927</v>
      </c>
      <c r="O171" s="152" t="s">
        <v>937</v>
      </c>
      <c r="Q171" t="s">
        <v>285</v>
      </c>
      <c r="R171">
        <v>2</v>
      </c>
    </row>
    <row r="172" spans="1:18" x14ac:dyDescent="0.25">
      <c r="A172" t="str">
        <f>TableMJRUJAPAN[[#This Row],[Study Package Code]]</f>
        <v>JAPN3002</v>
      </c>
      <c r="B172" s="2">
        <f>TableMJRUJAPAN[[#This Row],[Ver]]</f>
        <v>2</v>
      </c>
      <c r="D172" t="str">
        <f>TableMJRUJAPAN[[#This Row],[Structure Line]]</f>
        <v>Advanced Japanese: Language Variation</v>
      </c>
      <c r="E172" s="42">
        <f>TableMJRUJAPAN[[#This Row],[Credit Points]]</f>
        <v>25</v>
      </c>
      <c r="F172">
        <v>3</v>
      </c>
      <c r="G172" t="s">
        <v>927</v>
      </c>
      <c r="H172">
        <v>3</v>
      </c>
      <c r="I172" t="s">
        <v>928</v>
      </c>
      <c r="J172" s="254" t="s">
        <v>284</v>
      </c>
      <c r="K172" s="2">
        <v>2</v>
      </c>
      <c r="L172" t="s">
        <v>653</v>
      </c>
      <c r="M172">
        <v>25</v>
      </c>
      <c r="N172" s="152">
        <v>44927</v>
      </c>
      <c r="O172" s="152" t="s">
        <v>937</v>
      </c>
      <c r="Q172" t="s">
        <v>206</v>
      </c>
      <c r="R172">
        <v>1</v>
      </c>
    </row>
    <row r="173" spans="1:18" x14ac:dyDescent="0.25">
      <c r="A173" t="str">
        <f>TableMJRUJAPAN[[#This Row],[Study Package Code]]</f>
        <v>JAPN3001</v>
      </c>
      <c r="B173" s="2">
        <f>TableMJRUJAPAN[[#This Row],[Ver]]</f>
        <v>2</v>
      </c>
      <c r="D173" t="str">
        <f>TableMJRUJAPAN[[#This Row],[Structure Line]]</f>
        <v>Advanced Japanese: Cultural Connections</v>
      </c>
      <c r="E173" s="42">
        <f>TableMJRUJAPAN[[#This Row],[Credit Points]]</f>
        <v>25</v>
      </c>
      <c r="F173">
        <v>4</v>
      </c>
      <c r="G173" t="s">
        <v>927</v>
      </c>
      <c r="H173">
        <v>3</v>
      </c>
      <c r="I173" t="s">
        <v>934</v>
      </c>
      <c r="J173" s="254" t="s">
        <v>261</v>
      </c>
      <c r="K173" s="2">
        <v>2</v>
      </c>
      <c r="L173" t="s">
        <v>652</v>
      </c>
      <c r="M173">
        <v>25</v>
      </c>
      <c r="N173" s="152">
        <v>44927</v>
      </c>
      <c r="O173" s="152" t="s">
        <v>937</v>
      </c>
      <c r="Q173" t="s">
        <v>231</v>
      </c>
      <c r="R173">
        <v>1</v>
      </c>
    </row>
    <row r="174" spans="1:18" x14ac:dyDescent="0.25">
      <c r="A174" t="str">
        <f>TableMJRUJAPAN[[#This Row],[Study Package Code]]</f>
        <v>JAPN3003</v>
      </c>
      <c r="B174" s="2">
        <f>TableMJRUJAPAN[[#This Row],[Ver]]</f>
        <v>2</v>
      </c>
      <c r="D174" t="str">
        <f>TableMJRUJAPAN[[#This Row],[Structure Line]]</f>
        <v>Advanced Japanese: Engagement with the Japanese Community</v>
      </c>
      <c r="E174" s="42">
        <f>TableMJRUJAPAN[[#This Row],[Credit Points]]</f>
        <v>25</v>
      </c>
      <c r="F174">
        <v>5</v>
      </c>
      <c r="G174" t="s">
        <v>927</v>
      </c>
      <c r="H174">
        <v>3</v>
      </c>
      <c r="I174" t="s">
        <v>934</v>
      </c>
      <c r="J174" s="254" t="s">
        <v>285</v>
      </c>
      <c r="K174" s="2">
        <v>2</v>
      </c>
      <c r="L174" t="s">
        <v>654</v>
      </c>
      <c r="M174">
        <v>25</v>
      </c>
      <c r="N174" s="152">
        <v>44927</v>
      </c>
      <c r="O174" s="152" t="s">
        <v>937</v>
      </c>
      <c r="Q174" t="s">
        <v>56</v>
      </c>
      <c r="R174">
        <v>2</v>
      </c>
    </row>
    <row r="175" spans="1:18" x14ac:dyDescent="0.25">
      <c r="B175"/>
      <c r="E175"/>
      <c r="F175" s="39"/>
      <c r="G175" s="40" t="s">
        <v>913</v>
      </c>
      <c r="H175" s="183">
        <v>43831</v>
      </c>
      <c r="I175" s="39"/>
      <c r="J175" s="155" t="s">
        <v>144</v>
      </c>
      <c r="K175" s="41" t="s">
        <v>111</v>
      </c>
      <c r="L175" s="39" t="s">
        <v>143</v>
      </c>
      <c r="M175" s="39"/>
      <c r="N175" s="179" t="s">
        <v>914</v>
      </c>
      <c r="O175" s="180">
        <v>45327</v>
      </c>
    </row>
    <row r="176" spans="1:18" x14ac:dyDescent="0.25">
      <c r="A176" t="s">
        <v>0</v>
      </c>
      <c r="B176" s="2" t="s">
        <v>915</v>
      </c>
      <c r="C176" t="s">
        <v>916</v>
      </c>
      <c r="D176" t="s">
        <v>3</v>
      </c>
      <c r="E176" s="42" t="s">
        <v>917</v>
      </c>
      <c r="F176" t="s">
        <v>918</v>
      </c>
      <c r="G176" t="s">
        <v>919</v>
      </c>
      <c r="H176" t="s">
        <v>920</v>
      </c>
      <c r="I176" t="s">
        <v>23</v>
      </c>
      <c r="J176" t="s">
        <v>921</v>
      </c>
      <c r="K176" s="2" t="s">
        <v>1</v>
      </c>
      <c r="L176" t="s">
        <v>922</v>
      </c>
      <c r="M176" t="s">
        <v>86</v>
      </c>
      <c r="N176" t="s">
        <v>923</v>
      </c>
      <c r="O176" t="s">
        <v>924</v>
      </c>
      <c r="Q176" t="s">
        <v>925</v>
      </c>
      <c r="R176" t="s">
        <v>926</v>
      </c>
    </row>
    <row r="177" spans="1:18" x14ac:dyDescent="0.25">
      <c r="A177" t="str">
        <f>TableMJRUJOURN[[#This Row],[Study Package Code]]</f>
        <v>JOUR2005</v>
      </c>
      <c r="B177" s="2">
        <f>TableMJRUJOURN[[#This Row],[Ver]]</f>
        <v>2</v>
      </c>
      <c r="D177" t="str">
        <f>TableMJRUJOURN[[#This Row],[Structure Line]]</f>
        <v>Media Law and Ethics</v>
      </c>
      <c r="E177" s="42">
        <f>TableMJRUJOURN[[#This Row],[Credit Points]]</f>
        <v>25</v>
      </c>
      <c r="F177">
        <v>1</v>
      </c>
      <c r="G177" t="s">
        <v>927</v>
      </c>
      <c r="H177">
        <v>2</v>
      </c>
      <c r="I177" t="s">
        <v>928</v>
      </c>
      <c r="J177" t="s">
        <v>207</v>
      </c>
      <c r="K177" s="2">
        <v>2</v>
      </c>
      <c r="L177" t="s">
        <v>660</v>
      </c>
      <c r="M177">
        <v>25</v>
      </c>
      <c r="N177" s="152">
        <v>43831</v>
      </c>
      <c r="O177" s="152" t="s">
        <v>937</v>
      </c>
      <c r="Q177" t="s">
        <v>207</v>
      </c>
      <c r="R177">
        <v>2</v>
      </c>
    </row>
    <row r="178" spans="1:18" x14ac:dyDescent="0.25">
      <c r="A178" t="str">
        <f>TableMJRUJOURN[[#This Row],[Study Package Code]]</f>
        <v>JOUR2000</v>
      </c>
      <c r="B178" s="2">
        <f>TableMJRUJOURN[[#This Row],[Ver]]</f>
        <v>1</v>
      </c>
      <c r="D178" t="str">
        <f>TableMJRUJOURN[[#This Row],[Structure Line]]</f>
        <v>Radio News</v>
      </c>
      <c r="E178" s="42">
        <f>TableMJRUJOURN[[#This Row],[Credit Points]]</f>
        <v>25</v>
      </c>
      <c r="F178">
        <v>2</v>
      </c>
      <c r="G178" t="s">
        <v>927</v>
      </c>
      <c r="H178">
        <v>2</v>
      </c>
      <c r="I178" t="s">
        <v>928</v>
      </c>
      <c r="J178" t="s">
        <v>232</v>
      </c>
      <c r="K178" s="2">
        <v>1</v>
      </c>
      <c r="L178" t="s">
        <v>657</v>
      </c>
      <c r="M178">
        <v>25</v>
      </c>
      <c r="N178" s="152">
        <v>42005</v>
      </c>
      <c r="O178" s="152" t="s">
        <v>937</v>
      </c>
      <c r="Q178" t="s">
        <v>232</v>
      </c>
      <c r="R178">
        <v>1</v>
      </c>
    </row>
    <row r="179" spans="1:18" x14ac:dyDescent="0.25">
      <c r="A179" t="str">
        <f>TableMJRUJOURN[[#This Row],[Study Package Code]]</f>
        <v>JOUR2003</v>
      </c>
      <c r="B179" s="2">
        <f>TableMJRUJOURN[[#This Row],[Ver]]</f>
        <v>1</v>
      </c>
      <c r="D179" t="str">
        <f>TableMJRUJOURN[[#This Row],[Structure Line]]</f>
        <v>News Writing and Reporting</v>
      </c>
      <c r="E179" s="42">
        <f>TableMJRUJOURN[[#This Row],[Credit Points]]</f>
        <v>25</v>
      </c>
      <c r="F179">
        <v>3</v>
      </c>
      <c r="G179" t="s">
        <v>927</v>
      </c>
      <c r="H179">
        <v>2</v>
      </c>
      <c r="I179" t="s">
        <v>934</v>
      </c>
      <c r="J179" t="s">
        <v>208</v>
      </c>
      <c r="K179" s="2">
        <v>1</v>
      </c>
      <c r="L179" t="s">
        <v>659</v>
      </c>
      <c r="M179">
        <v>25</v>
      </c>
      <c r="N179" s="152">
        <v>42005</v>
      </c>
      <c r="O179" s="152" t="s">
        <v>937</v>
      </c>
      <c r="Q179" t="s">
        <v>208</v>
      </c>
      <c r="R179">
        <v>1</v>
      </c>
    </row>
    <row r="180" spans="1:18" x14ac:dyDescent="0.25">
      <c r="A180" t="str">
        <f>TableMJRUJOURN[[#This Row],[Study Package Code]]</f>
        <v>JOUR2002</v>
      </c>
      <c r="B180" s="2">
        <f>TableMJRUJOURN[[#This Row],[Ver]]</f>
        <v>2</v>
      </c>
      <c r="D180" t="str">
        <f>TableMJRUJOURN[[#This Row],[Structure Line]]</f>
        <v>Video News</v>
      </c>
      <c r="E180" s="42">
        <f>TableMJRUJOURN[[#This Row],[Credit Points]]</f>
        <v>25</v>
      </c>
      <c r="F180">
        <v>4</v>
      </c>
      <c r="G180" t="s">
        <v>927</v>
      </c>
      <c r="H180">
        <v>2</v>
      </c>
      <c r="I180" t="s">
        <v>934</v>
      </c>
      <c r="J180" t="s">
        <v>233</v>
      </c>
      <c r="K180" s="2">
        <v>2</v>
      </c>
      <c r="L180" t="s">
        <v>658</v>
      </c>
      <c r="M180">
        <v>25</v>
      </c>
      <c r="N180" s="152">
        <v>43831</v>
      </c>
      <c r="O180" s="152" t="s">
        <v>937</v>
      </c>
      <c r="Q180" t="s">
        <v>233</v>
      </c>
      <c r="R180">
        <v>2</v>
      </c>
    </row>
    <row r="181" spans="1:18" x14ac:dyDescent="0.25">
      <c r="A181" t="str">
        <f>TableMJRUJOURN[[#This Row],[Study Package Code]]</f>
        <v>Opt-JOURN</v>
      </c>
      <c r="B181" s="2">
        <f>TableMJRUJOURN[[#This Row],[Ver]]</f>
        <v>0</v>
      </c>
      <c r="D181" t="str">
        <f>TableMJRUJOURN[[#This Row],[Structure Line]]</f>
        <v>Choose Options</v>
      </c>
      <c r="E181" s="42">
        <f>TableMJRUJOURN[[#This Row],[Credit Points]]</f>
        <v>50</v>
      </c>
      <c r="F181">
        <v>5</v>
      </c>
      <c r="G181" t="s">
        <v>929</v>
      </c>
      <c r="H181">
        <v>3</v>
      </c>
      <c r="I181" t="s">
        <v>935</v>
      </c>
      <c r="J181" t="s">
        <v>286</v>
      </c>
      <c r="K181" s="2">
        <v>0</v>
      </c>
      <c r="L181" t="s">
        <v>943</v>
      </c>
      <c r="M181">
        <v>50</v>
      </c>
      <c r="N181" s="152"/>
      <c r="O181" s="152"/>
      <c r="Q181" t="s">
        <v>944</v>
      </c>
      <c r="R181">
        <v>0</v>
      </c>
    </row>
    <row r="182" spans="1:18" x14ac:dyDescent="0.25">
      <c r="A182" t="str">
        <f>TableMJRUJOURN[[#This Row],[Study Package Code]]</f>
        <v>JOUR3009</v>
      </c>
      <c r="B182" s="2">
        <f>TableMJRUJOURN[[#This Row],[Ver]]</f>
        <v>1</v>
      </c>
      <c r="D182" t="str">
        <f>TableMJRUJOURN[[#This Row],[Structure Line]]</f>
        <v>Multimedia News Production</v>
      </c>
      <c r="E182" s="42">
        <f>TableMJRUJOURN[[#This Row],[Credit Points]]</f>
        <v>25</v>
      </c>
      <c r="F182">
        <v>6</v>
      </c>
      <c r="G182" t="s">
        <v>927</v>
      </c>
      <c r="H182">
        <v>3</v>
      </c>
      <c r="I182" t="s">
        <v>928</v>
      </c>
      <c r="J182" t="s">
        <v>262</v>
      </c>
      <c r="K182" s="2">
        <v>1</v>
      </c>
      <c r="L182" t="s">
        <v>667</v>
      </c>
      <c r="M182">
        <v>25</v>
      </c>
      <c r="N182" s="152">
        <v>43101</v>
      </c>
      <c r="O182" s="152" t="s">
        <v>937</v>
      </c>
      <c r="Q182" t="s">
        <v>262</v>
      </c>
      <c r="R182">
        <v>1</v>
      </c>
    </row>
    <row r="183" spans="1:18" x14ac:dyDescent="0.25">
      <c r="A183" t="str">
        <f>TableMJRUJOURN[[#This Row],[Study Package Code]]</f>
        <v>JOUR3010</v>
      </c>
      <c r="B183" s="2">
        <f>TableMJRUJOURN[[#This Row],[Ver]]</f>
        <v>1</v>
      </c>
      <c r="D183" t="str">
        <f>TableMJRUJOURN[[#This Row],[Structure Line]]</f>
        <v>Journalism Major Project</v>
      </c>
      <c r="E183" s="42">
        <f>TableMJRUJOURN[[#This Row],[Credit Points]]</f>
        <v>25</v>
      </c>
      <c r="F183">
        <v>7</v>
      </c>
      <c r="G183" t="s">
        <v>927</v>
      </c>
      <c r="H183">
        <v>3</v>
      </c>
      <c r="I183" t="s">
        <v>934</v>
      </c>
      <c r="J183" t="s">
        <v>263</v>
      </c>
      <c r="K183" s="2">
        <v>1</v>
      </c>
      <c r="L183" t="s">
        <v>669</v>
      </c>
      <c r="M183">
        <v>25</v>
      </c>
      <c r="N183" s="152">
        <v>43101</v>
      </c>
      <c r="O183" s="152" t="s">
        <v>937</v>
      </c>
      <c r="Q183" t="s">
        <v>263</v>
      </c>
      <c r="R183">
        <v>1</v>
      </c>
    </row>
    <row r="184" spans="1:18" x14ac:dyDescent="0.25">
      <c r="A184" t="str">
        <f>TableMJRUJOURN[[#This Row],[Study Package Code]]</f>
        <v>GRDE2027</v>
      </c>
      <c r="B184" s="2">
        <f>TableMJRUJOURN[[#This Row],[Ver]]</f>
        <v>1</v>
      </c>
      <c r="D184" t="str">
        <f>TableMJRUJOURN[[#This Row],[Structure Line]]</f>
        <v>Photography Contexts and Practice</v>
      </c>
      <c r="E184" s="42">
        <f>TableMJRUJOURN[[#This Row],[Credit Points]]</f>
        <v>25</v>
      </c>
      <c r="F184">
        <v>5</v>
      </c>
      <c r="G184" t="s">
        <v>929</v>
      </c>
      <c r="H184">
        <v>3</v>
      </c>
      <c r="I184" t="s">
        <v>935</v>
      </c>
      <c r="J184" t="s">
        <v>301</v>
      </c>
      <c r="K184" s="2">
        <v>1</v>
      </c>
      <c r="L184" t="s">
        <v>607</v>
      </c>
      <c r="M184">
        <v>25</v>
      </c>
      <c r="N184" s="152">
        <v>42005</v>
      </c>
      <c r="O184" s="152"/>
      <c r="Q184" t="s">
        <v>301</v>
      </c>
      <c r="R184">
        <v>1</v>
      </c>
    </row>
    <row r="185" spans="1:18" x14ac:dyDescent="0.25">
      <c r="A185" t="str">
        <f>TableMJRUJOURN[[#This Row],[Study Package Code]]</f>
        <v>JOUR3001</v>
      </c>
      <c r="B185" s="2">
        <f>TableMJRUJOURN[[#This Row],[Ver]]</f>
        <v>1</v>
      </c>
      <c r="D185" t="str">
        <f>TableMJRUJOURN[[#This Row],[Structure Line]]</f>
        <v>Journalism Industry Placement</v>
      </c>
      <c r="E185" s="42">
        <f>TableMJRUJOURN[[#This Row],[Credit Points]]</f>
        <v>25</v>
      </c>
      <c r="F185">
        <v>5</v>
      </c>
      <c r="G185" t="s">
        <v>929</v>
      </c>
      <c r="H185">
        <v>3</v>
      </c>
      <c r="I185" t="s">
        <v>935</v>
      </c>
      <c r="J185" t="s">
        <v>305</v>
      </c>
      <c r="K185" s="2">
        <v>1</v>
      </c>
      <c r="L185" t="s">
        <v>945</v>
      </c>
      <c r="M185">
        <v>25</v>
      </c>
      <c r="N185" s="152">
        <v>42005</v>
      </c>
      <c r="O185" s="152"/>
      <c r="Q185" t="s">
        <v>305</v>
      </c>
      <c r="R185">
        <v>1</v>
      </c>
    </row>
    <row r="186" spans="1:18" x14ac:dyDescent="0.25">
      <c r="A186" t="str">
        <f>TableMJRUJOURN[[#This Row],[Study Package Code]]</f>
        <v>JOUR3002</v>
      </c>
      <c r="B186" s="2">
        <f>TableMJRUJOURN[[#This Row],[Ver]]</f>
        <v>1</v>
      </c>
      <c r="D186" t="str">
        <f>TableMJRUJOURN[[#This Row],[Structure Line]]</f>
        <v>Presentation for Broadcast</v>
      </c>
      <c r="E186" s="42">
        <f>TableMJRUJOURN[[#This Row],[Credit Points]]</f>
        <v>25</v>
      </c>
      <c r="F186">
        <v>5</v>
      </c>
      <c r="G186" t="s">
        <v>929</v>
      </c>
      <c r="H186">
        <v>3</v>
      </c>
      <c r="I186" t="s">
        <v>935</v>
      </c>
      <c r="J186" t="s">
        <v>307</v>
      </c>
      <c r="K186" s="2">
        <v>1</v>
      </c>
      <c r="L186" t="s">
        <v>664</v>
      </c>
      <c r="M186">
        <v>25</v>
      </c>
      <c r="N186" s="152">
        <v>42005</v>
      </c>
      <c r="O186" s="152"/>
      <c r="Q186" t="s">
        <v>307</v>
      </c>
      <c r="R186">
        <v>1</v>
      </c>
    </row>
    <row r="187" spans="1:18" x14ac:dyDescent="0.25">
      <c r="A187" t="str">
        <f>TableMJRUJOURN[[#This Row],[Study Package Code]]</f>
        <v>JOUR3005</v>
      </c>
      <c r="B187" s="2">
        <f>TableMJRUJOURN[[#This Row],[Ver]]</f>
        <v>2</v>
      </c>
      <c r="D187" t="str">
        <f>TableMJRUJOURN[[#This Row],[Structure Line]]</f>
        <v>Feature Journalism</v>
      </c>
      <c r="E187" s="42">
        <f>TableMJRUJOURN[[#This Row],[Credit Points]]</f>
        <v>25</v>
      </c>
      <c r="F187">
        <v>5</v>
      </c>
      <c r="G187" t="s">
        <v>929</v>
      </c>
      <c r="H187">
        <v>3</v>
      </c>
      <c r="I187" t="s">
        <v>935</v>
      </c>
      <c r="J187" t="s">
        <v>309</v>
      </c>
      <c r="K187" s="2">
        <v>2</v>
      </c>
      <c r="L187" t="s">
        <v>666</v>
      </c>
      <c r="M187">
        <v>25</v>
      </c>
      <c r="N187" s="152">
        <v>44562</v>
      </c>
      <c r="O187" s="152"/>
      <c r="Q187" t="s">
        <v>309</v>
      </c>
      <c r="R187">
        <v>2</v>
      </c>
    </row>
    <row r="188" spans="1:18" x14ac:dyDescent="0.25">
      <c r="A188" t="str">
        <f>TableMJRUJOURN[[#This Row],[Study Package Code]]</f>
        <v>JOUR3013</v>
      </c>
      <c r="B188" s="2">
        <f>TableMJRUJOURN[[#This Row],[Ver]]</f>
        <v>1</v>
      </c>
      <c r="D188" t="str">
        <f>TableMJRUJOURN[[#This Row],[Structure Line]]</f>
        <v>Podcasting</v>
      </c>
      <c r="E188" s="42">
        <f>TableMJRUJOURN[[#This Row],[Credit Points]]</f>
        <v>25</v>
      </c>
      <c r="F188">
        <v>5</v>
      </c>
      <c r="G188" t="s">
        <v>929</v>
      </c>
      <c r="H188">
        <v>3</v>
      </c>
      <c r="I188" t="s">
        <v>935</v>
      </c>
      <c r="J188" t="s">
        <v>311</v>
      </c>
      <c r="K188" s="2">
        <v>1</v>
      </c>
      <c r="L188" t="s">
        <v>671</v>
      </c>
      <c r="M188">
        <v>25</v>
      </c>
      <c r="N188" s="152">
        <v>45292</v>
      </c>
      <c r="O188" s="152"/>
    </row>
    <row r="189" spans="1:18" x14ac:dyDescent="0.25">
      <c r="A189" t="str">
        <f>TableMJRUJOURN[[#This Row],[Study Package Code]]</f>
        <v>PWRP3012</v>
      </c>
      <c r="B189" s="2">
        <f>TableMJRUJOURN[[#This Row],[Ver]]</f>
        <v>1</v>
      </c>
      <c r="D189" t="str">
        <f>TableMJRUJOURN[[#This Row],[Structure Line]]</f>
        <v>Portfolio Development for Writers</v>
      </c>
      <c r="E189" s="42">
        <f>TableMJRUJOURN[[#This Row],[Credit Points]]</f>
        <v>25</v>
      </c>
      <c r="F189">
        <v>5</v>
      </c>
      <c r="G189" t="s">
        <v>929</v>
      </c>
      <c r="H189">
        <v>3</v>
      </c>
      <c r="I189" t="s">
        <v>935</v>
      </c>
      <c r="J189" t="s">
        <v>946</v>
      </c>
      <c r="K189" s="2">
        <v>1</v>
      </c>
      <c r="L189" t="s">
        <v>833</v>
      </c>
      <c r="M189">
        <v>25</v>
      </c>
      <c r="N189" s="152">
        <v>42736</v>
      </c>
      <c r="O189" s="152">
        <v>45291</v>
      </c>
      <c r="Q189" t="s">
        <v>946</v>
      </c>
      <c r="R189">
        <v>1</v>
      </c>
    </row>
    <row r="190" spans="1:18" x14ac:dyDescent="0.25">
      <c r="B190"/>
      <c r="E190"/>
      <c r="F190" s="39"/>
      <c r="G190" s="40" t="s">
        <v>913</v>
      </c>
      <c r="H190" s="183">
        <v>44927</v>
      </c>
      <c r="I190" s="39"/>
      <c r="J190" s="155" t="s">
        <v>147</v>
      </c>
      <c r="K190" s="41" t="s">
        <v>116</v>
      </c>
      <c r="L190" s="39" t="s">
        <v>146</v>
      </c>
      <c r="M190" s="39"/>
      <c r="N190" s="179" t="s">
        <v>914</v>
      </c>
      <c r="O190" s="180">
        <v>45327</v>
      </c>
    </row>
    <row r="191" spans="1:18" x14ac:dyDescent="0.25">
      <c r="A191" t="s">
        <v>0</v>
      </c>
      <c r="B191" s="2" t="s">
        <v>915</v>
      </c>
      <c r="C191" t="s">
        <v>916</v>
      </c>
      <c r="D191" t="s">
        <v>3</v>
      </c>
      <c r="E191" s="42" t="s">
        <v>917</v>
      </c>
      <c r="F191" t="s">
        <v>918</v>
      </c>
      <c r="G191" t="s">
        <v>919</v>
      </c>
      <c r="H191" t="s">
        <v>920</v>
      </c>
      <c r="I191" t="s">
        <v>23</v>
      </c>
      <c r="J191" t="s">
        <v>921</v>
      </c>
      <c r="K191" s="2" t="s">
        <v>1</v>
      </c>
      <c r="L191" t="s">
        <v>922</v>
      </c>
      <c r="M191" t="s">
        <v>86</v>
      </c>
      <c r="N191" t="s">
        <v>923</v>
      </c>
      <c r="O191" t="s">
        <v>924</v>
      </c>
      <c r="Q191" t="s">
        <v>925</v>
      </c>
      <c r="R191" t="s">
        <v>926</v>
      </c>
    </row>
    <row r="192" spans="1:18" x14ac:dyDescent="0.25">
      <c r="A192" t="str">
        <f>TableMJRUKORES[[#This Row],[Study Package Code]]</f>
        <v>AC-KORES</v>
      </c>
      <c r="B192" s="2">
        <f>TableMJRUKORES[[#This Row],[Ver]]</f>
        <v>0</v>
      </c>
      <c r="D192" t="str">
        <f>TableMJRUKORES[[#This Row],[Structure Line]]</f>
        <v>Choose COMS2001 or INTR2002</v>
      </c>
      <c r="E192" s="42">
        <f>TableMJRUKORES[[#This Row],[Credit Points]]</f>
        <v>25</v>
      </c>
      <c r="F192">
        <v>1</v>
      </c>
      <c r="G192" t="s">
        <v>947</v>
      </c>
      <c r="H192">
        <v>2</v>
      </c>
      <c r="I192" t="s">
        <v>935</v>
      </c>
      <c r="J192" t="s">
        <v>246</v>
      </c>
      <c r="K192" s="2">
        <v>0</v>
      </c>
      <c r="L192" t="s">
        <v>948</v>
      </c>
      <c r="M192">
        <v>25</v>
      </c>
      <c r="N192" s="152"/>
      <c r="O192" s="152"/>
      <c r="Q192" t="s">
        <v>949</v>
      </c>
      <c r="R192">
        <v>0</v>
      </c>
    </row>
    <row r="193" spans="1:18" x14ac:dyDescent="0.25">
      <c r="A193" t="str">
        <f>TableMJRUKORES[[#This Row],[Study Package Code]]</f>
        <v>KORE2000</v>
      </c>
      <c r="B193" s="2">
        <f>TableMJRUKORES[[#This Row],[Ver]]</f>
        <v>1</v>
      </c>
      <c r="D193" t="str">
        <f>TableMJRUKORES[[#This Row],[Structure Line]]</f>
        <v>Korean Intermediate 3</v>
      </c>
      <c r="E193" s="42">
        <f>TableMJRUKORES[[#This Row],[Credit Points]]</f>
        <v>25</v>
      </c>
      <c r="F193">
        <v>2</v>
      </c>
      <c r="G193" t="s">
        <v>927</v>
      </c>
      <c r="H193">
        <v>2</v>
      </c>
      <c r="I193" t="s">
        <v>928</v>
      </c>
      <c r="J193" t="s">
        <v>209</v>
      </c>
      <c r="K193" s="2">
        <v>1</v>
      </c>
      <c r="L193" t="s">
        <v>674</v>
      </c>
      <c r="M193">
        <v>25</v>
      </c>
      <c r="N193" s="152">
        <v>44927</v>
      </c>
      <c r="O193" s="152" t="s">
        <v>937</v>
      </c>
      <c r="Q193" t="s">
        <v>209</v>
      </c>
      <c r="R193">
        <v>1</v>
      </c>
    </row>
    <row r="194" spans="1:18" x14ac:dyDescent="0.25">
      <c r="A194" t="str">
        <f>TableMJRUKORES[[#This Row],[Study Package Code]]</f>
        <v>KORE2002</v>
      </c>
      <c r="B194" s="2">
        <f>TableMJRUKORES[[#This Row],[Ver]]</f>
        <v>1</v>
      </c>
      <c r="D194" t="str">
        <f>TableMJRUKORES[[#This Row],[Structure Line]]</f>
        <v>Korean Society and Politics</v>
      </c>
      <c r="E194" s="42">
        <f>TableMJRUKORES[[#This Row],[Credit Points]]</f>
        <v>25</v>
      </c>
      <c r="F194">
        <v>3</v>
      </c>
      <c r="G194" t="s">
        <v>927</v>
      </c>
      <c r="H194">
        <v>2</v>
      </c>
      <c r="I194" t="s">
        <v>928</v>
      </c>
      <c r="J194" t="s">
        <v>234</v>
      </c>
      <c r="K194" s="2">
        <v>1</v>
      </c>
      <c r="L194" t="s">
        <v>676</v>
      </c>
      <c r="M194">
        <v>25</v>
      </c>
      <c r="N194" s="152">
        <v>44927</v>
      </c>
      <c r="O194" s="152" t="s">
        <v>937</v>
      </c>
      <c r="Q194" t="s">
        <v>234</v>
      </c>
      <c r="R194">
        <v>1</v>
      </c>
    </row>
    <row r="195" spans="1:18" x14ac:dyDescent="0.25">
      <c r="A195" t="str">
        <f>TableMJRUKORES[[#This Row],[Study Package Code]]</f>
        <v>KORE2001</v>
      </c>
      <c r="B195" s="2">
        <f>TableMJRUKORES[[#This Row],[Ver]]</f>
        <v>1</v>
      </c>
      <c r="D195" t="str">
        <f>TableMJRUKORES[[#This Row],[Structure Line]]</f>
        <v>Korean Intermediate 4</v>
      </c>
      <c r="E195" s="42">
        <f>TableMJRUKORES[[#This Row],[Credit Points]]</f>
        <v>25</v>
      </c>
      <c r="F195">
        <v>4</v>
      </c>
      <c r="G195" t="s">
        <v>927</v>
      </c>
      <c r="H195">
        <v>2</v>
      </c>
      <c r="I195" t="s">
        <v>934</v>
      </c>
      <c r="J195" t="s">
        <v>244</v>
      </c>
      <c r="K195" s="2">
        <v>1</v>
      </c>
      <c r="L195" t="s">
        <v>675</v>
      </c>
      <c r="M195">
        <v>25</v>
      </c>
      <c r="N195" s="152">
        <v>44927</v>
      </c>
      <c r="O195" s="152" t="s">
        <v>937</v>
      </c>
      <c r="Q195" t="s">
        <v>244</v>
      </c>
      <c r="R195">
        <v>1</v>
      </c>
    </row>
    <row r="196" spans="1:18" x14ac:dyDescent="0.25">
      <c r="A196" t="str">
        <f>TableMJRUKORES[[#This Row],[Study Package Code]]</f>
        <v>WORK3006</v>
      </c>
      <c r="B196" s="2">
        <f>TableMJRUKORES[[#This Row],[Ver]]</f>
        <v>1</v>
      </c>
      <c r="D196" t="str">
        <f>TableMJRUKORES[[#This Row],[Structure Line]]</f>
        <v>Go Global - Internship 4</v>
      </c>
      <c r="E196" s="42">
        <f>TableMJRUKORES[[#This Row],[Credit Points]]</f>
        <v>25</v>
      </c>
      <c r="F196">
        <v>5</v>
      </c>
      <c r="G196" t="s">
        <v>927</v>
      </c>
      <c r="H196">
        <v>3</v>
      </c>
      <c r="I196" t="s">
        <v>935</v>
      </c>
      <c r="J196" t="s">
        <v>287</v>
      </c>
      <c r="K196" s="2">
        <v>1</v>
      </c>
      <c r="L196" t="s">
        <v>950</v>
      </c>
      <c r="M196">
        <v>25</v>
      </c>
      <c r="N196" s="152">
        <v>44743</v>
      </c>
      <c r="O196" s="152" t="s">
        <v>937</v>
      </c>
      <c r="Q196" t="s">
        <v>287</v>
      </c>
      <c r="R196">
        <v>1</v>
      </c>
    </row>
    <row r="197" spans="1:18" x14ac:dyDescent="0.25">
      <c r="A197" t="str">
        <f>TableMJRUKORES[[#This Row],[Study Package Code]]</f>
        <v>KORE3000</v>
      </c>
      <c r="B197" s="2">
        <f>TableMJRUKORES[[#This Row],[Ver]]</f>
        <v>1</v>
      </c>
      <c r="D197" t="str">
        <f>TableMJRUKORES[[#This Row],[Structure Line]]</f>
        <v>Korean Advanced 5</v>
      </c>
      <c r="E197" s="42">
        <f>TableMJRUKORES[[#This Row],[Credit Points]]</f>
        <v>25</v>
      </c>
      <c r="F197">
        <v>6</v>
      </c>
      <c r="G197" t="s">
        <v>927</v>
      </c>
      <c r="H197">
        <v>3</v>
      </c>
      <c r="I197" t="s">
        <v>928</v>
      </c>
      <c r="J197" t="s">
        <v>264</v>
      </c>
      <c r="K197" s="2">
        <v>1</v>
      </c>
      <c r="L197" t="s">
        <v>677</v>
      </c>
      <c r="M197">
        <v>25</v>
      </c>
      <c r="N197" s="152">
        <v>44927</v>
      </c>
      <c r="O197" s="152" t="s">
        <v>937</v>
      </c>
      <c r="Q197" t="s">
        <v>264</v>
      </c>
      <c r="R197">
        <v>1</v>
      </c>
    </row>
    <row r="198" spans="1:18" x14ac:dyDescent="0.25">
      <c r="A198" t="str">
        <f>TableMJRUKORES[[#This Row],[Study Package Code]]</f>
        <v>KORE3001</v>
      </c>
      <c r="B198" s="2">
        <f>TableMJRUKORES[[#This Row],[Ver]]</f>
        <v>1</v>
      </c>
      <c r="D198" t="str">
        <f>TableMJRUKORES[[#This Row],[Structure Line]]</f>
        <v>Korean Advanced 6</v>
      </c>
      <c r="E198" s="42">
        <f>TableMJRUKORES[[#This Row],[Credit Points]]</f>
        <v>25</v>
      </c>
      <c r="F198">
        <v>7</v>
      </c>
      <c r="G198" t="s">
        <v>927</v>
      </c>
      <c r="H198">
        <v>3</v>
      </c>
      <c r="I198" t="s">
        <v>934</v>
      </c>
      <c r="J198" t="s">
        <v>296</v>
      </c>
      <c r="K198" s="2">
        <v>1</v>
      </c>
      <c r="L198" t="s">
        <v>679</v>
      </c>
      <c r="M198">
        <v>25</v>
      </c>
      <c r="N198" s="152">
        <v>44927</v>
      </c>
      <c r="O198" s="152" t="s">
        <v>937</v>
      </c>
      <c r="Q198" t="s">
        <v>296</v>
      </c>
      <c r="R198">
        <v>1</v>
      </c>
    </row>
    <row r="199" spans="1:18" x14ac:dyDescent="0.25">
      <c r="A199" t="str">
        <f>TableMJRUKORES[[#This Row],[Study Package Code]]</f>
        <v>KORE3002</v>
      </c>
      <c r="B199" s="2">
        <f>TableMJRUKORES[[#This Row],[Ver]]</f>
        <v>1</v>
      </c>
      <c r="D199" t="str">
        <f>TableMJRUKORES[[#This Row],[Structure Line]]</f>
        <v>Korean Popular Culture</v>
      </c>
      <c r="E199" s="42">
        <f>TableMJRUKORES[[#This Row],[Credit Points]]</f>
        <v>25</v>
      </c>
      <c r="F199">
        <v>8</v>
      </c>
      <c r="G199" t="s">
        <v>927</v>
      </c>
      <c r="H199">
        <v>3</v>
      </c>
      <c r="I199" t="s">
        <v>934</v>
      </c>
      <c r="J199" t="s">
        <v>298</v>
      </c>
      <c r="K199" s="2">
        <v>1</v>
      </c>
      <c r="L199" t="s">
        <v>680</v>
      </c>
      <c r="M199">
        <v>25</v>
      </c>
      <c r="N199" s="152">
        <v>44927</v>
      </c>
      <c r="O199" s="152" t="s">
        <v>937</v>
      </c>
      <c r="Q199" t="s">
        <v>298</v>
      </c>
      <c r="R199">
        <v>1</v>
      </c>
    </row>
    <row r="200" spans="1:18" x14ac:dyDescent="0.25">
      <c r="A200" t="str">
        <f>TableMJRUKORES[[#This Row],[Study Package Code]]</f>
        <v>COMS2001</v>
      </c>
      <c r="B200" s="2">
        <f>TableMJRUKORES[[#This Row],[Ver]]</f>
        <v>1</v>
      </c>
      <c r="D200" t="str">
        <f>TableMJRUKORES[[#This Row],[Structure Line]]</f>
        <v>Asian Media in Transition</v>
      </c>
      <c r="E200" s="42">
        <f>TableMJRUKORES[[#This Row],[Credit Points]]</f>
        <v>25</v>
      </c>
      <c r="F200">
        <v>1</v>
      </c>
      <c r="G200" t="s">
        <v>947</v>
      </c>
      <c r="H200">
        <v>2</v>
      </c>
      <c r="I200" t="s">
        <v>935</v>
      </c>
      <c r="J200" t="s">
        <v>302</v>
      </c>
      <c r="K200" s="2">
        <v>1</v>
      </c>
      <c r="L200" t="s">
        <v>565</v>
      </c>
      <c r="M200">
        <v>25</v>
      </c>
      <c r="N200" s="152">
        <v>42005</v>
      </c>
      <c r="O200" s="152"/>
      <c r="Q200" t="s">
        <v>302</v>
      </c>
      <c r="R200">
        <v>1</v>
      </c>
    </row>
    <row r="201" spans="1:18" x14ac:dyDescent="0.25">
      <c r="A201" t="str">
        <f>TableMJRUKORES[[#This Row],[Study Package Code]]</f>
        <v>INTR2002</v>
      </c>
      <c r="B201" s="2">
        <f>TableMJRUKORES[[#This Row],[Ver]]</f>
        <v>2</v>
      </c>
      <c r="D201" t="str">
        <f>TableMJRUKORES[[#This Row],[Structure Line]]</f>
        <v>Diplomacy and Conflict in the Indo-Pacific</v>
      </c>
      <c r="E201" s="42">
        <f>TableMJRUKORES[[#This Row],[Credit Points]]</f>
        <v>25</v>
      </c>
      <c r="F201">
        <v>1</v>
      </c>
      <c r="G201" t="s">
        <v>947</v>
      </c>
      <c r="H201">
        <v>2</v>
      </c>
      <c r="I201" t="s">
        <v>935</v>
      </c>
      <c r="J201" t="s">
        <v>204</v>
      </c>
      <c r="K201" s="2">
        <v>2</v>
      </c>
      <c r="L201" t="s">
        <v>633</v>
      </c>
      <c r="M201">
        <v>25</v>
      </c>
      <c r="N201" s="152">
        <v>45292</v>
      </c>
      <c r="O201" s="152"/>
      <c r="Q201" t="s">
        <v>204</v>
      </c>
      <c r="R201">
        <v>1</v>
      </c>
    </row>
    <row r="202" spans="1:18" x14ac:dyDescent="0.25">
      <c r="B202"/>
      <c r="E202"/>
      <c r="F202" s="39"/>
      <c r="G202" s="40" t="s">
        <v>913</v>
      </c>
      <c r="H202" s="183">
        <v>44562</v>
      </c>
      <c r="I202" s="39"/>
      <c r="J202" s="155" t="s">
        <v>124</v>
      </c>
      <c r="K202" s="41" t="s">
        <v>125</v>
      </c>
      <c r="L202" s="39" t="s">
        <v>123</v>
      </c>
      <c r="M202" s="39"/>
      <c r="N202" s="179" t="s">
        <v>914</v>
      </c>
      <c r="O202" s="180">
        <v>45327</v>
      </c>
    </row>
    <row r="203" spans="1:18" x14ac:dyDescent="0.25">
      <c r="A203" t="s">
        <v>0</v>
      </c>
      <c r="B203" s="2" t="s">
        <v>915</v>
      </c>
      <c r="C203" t="s">
        <v>916</v>
      </c>
      <c r="D203" t="s">
        <v>3</v>
      </c>
      <c r="E203" s="42" t="s">
        <v>917</v>
      </c>
      <c r="F203" t="s">
        <v>918</v>
      </c>
      <c r="G203" t="s">
        <v>919</v>
      </c>
      <c r="H203" t="s">
        <v>920</v>
      </c>
      <c r="I203" t="s">
        <v>23</v>
      </c>
      <c r="J203" t="s">
        <v>921</v>
      </c>
      <c r="K203" s="2" t="s">
        <v>1</v>
      </c>
      <c r="L203" t="s">
        <v>922</v>
      </c>
      <c r="M203" t="s">
        <v>86</v>
      </c>
      <c r="N203" t="s">
        <v>923</v>
      </c>
      <c r="O203" t="s">
        <v>924</v>
      </c>
      <c r="Q203" t="s">
        <v>925</v>
      </c>
      <c r="R203" t="s">
        <v>926</v>
      </c>
    </row>
    <row r="204" spans="1:18" x14ac:dyDescent="0.25">
      <c r="A204" t="str">
        <f>TableMJRULITCU[[#This Row],[Study Package Code]]</f>
        <v>LCST2006</v>
      </c>
      <c r="B204" s="2">
        <f>TableMJRULITCU[[#This Row],[Ver]]</f>
        <v>2</v>
      </c>
      <c r="D204" t="str">
        <f>TableMJRULITCU[[#This Row],[Structure Line]]</f>
        <v>Genre and Classic Texts</v>
      </c>
      <c r="E204" s="42">
        <f>TableMJRULITCU[[#This Row],[Credit Points]]</f>
        <v>25</v>
      </c>
      <c r="F204">
        <v>1</v>
      </c>
      <c r="G204" t="s">
        <v>927</v>
      </c>
      <c r="H204">
        <v>2</v>
      </c>
      <c r="I204" t="s">
        <v>928</v>
      </c>
      <c r="J204" t="s">
        <v>210</v>
      </c>
      <c r="K204" s="2">
        <v>2</v>
      </c>
      <c r="L204" t="s">
        <v>683</v>
      </c>
      <c r="M204">
        <v>25</v>
      </c>
      <c r="N204" s="152">
        <v>45292</v>
      </c>
      <c r="O204" s="152" t="s">
        <v>937</v>
      </c>
      <c r="Q204" t="s">
        <v>210</v>
      </c>
      <c r="R204">
        <v>1</v>
      </c>
    </row>
    <row r="205" spans="1:18" x14ac:dyDescent="0.25">
      <c r="A205" t="str">
        <f>TableMJRULITCU[[#This Row],[Study Package Code]]</f>
        <v>LCST2007</v>
      </c>
      <c r="B205" s="2">
        <f>TableMJRULITCU[[#This Row],[Ver]]</f>
        <v>1</v>
      </c>
      <c r="D205" t="str">
        <f>TableMJRULITCU[[#This Row],[Structure Line]]</f>
        <v>Reading Gender</v>
      </c>
      <c r="E205" s="42">
        <f>TableMJRULITCU[[#This Row],[Credit Points]]</f>
        <v>25</v>
      </c>
      <c r="F205">
        <v>2</v>
      </c>
      <c r="G205" t="s">
        <v>927</v>
      </c>
      <c r="H205">
        <v>2</v>
      </c>
      <c r="I205" t="s">
        <v>934</v>
      </c>
      <c r="J205" t="s">
        <v>211</v>
      </c>
      <c r="K205" s="2">
        <v>1</v>
      </c>
      <c r="L205" t="s">
        <v>686</v>
      </c>
      <c r="M205">
        <v>25</v>
      </c>
      <c r="N205" s="152">
        <v>44562</v>
      </c>
      <c r="O205" s="152" t="s">
        <v>937</v>
      </c>
      <c r="Q205" t="s">
        <v>211</v>
      </c>
      <c r="R205">
        <v>1</v>
      </c>
    </row>
    <row r="206" spans="1:18" x14ac:dyDescent="0.25">
      <c r="A206" t="str">
        <f>TableMJRULITCU[[#This Row],[Study Package Code]]</f>
        <v>Opt-LITCUY2</v>
      </c>
      <c r="B206" s="2">
        <f>TableMJRULITCU[[#This Row],[Ver]]</f>
        <v>0</v>
      </c>
      <c r="D206" t="str">
        <f>TableMJRULITCU[[#This Row],[Structure Line]]</f>
        <v>Options for Year 2</v>
      </c>
      <c r="E206" s="42">
        <f>TableMJRULITCU[[#This Row],[Credit Points]]</f>
        <v>50</v>
      </c>
      <c r="F206">
        <v>3</v>
      </c>
      <c r="G206" t="s">
        <v>929</v>
      </c>
      <c r="H206">
        <v>2</v>
      </c>
      <c r="I206" t="s">
        <v>935</v>
      </c>
      <c r="J206" t="s">
        <v>235</v>
      </c>
      <c r="K206" s="2">
        <v>0</v>
      </c>
      <c r="L206" t="s">
        <v>951</v>
      </c>
      <c r="M206">
        <v>50</v>
      </c>
      <c r="N206" s="152"/>
      <c r="O206" s="152"/>
      <c r="Q206" t="s">
        <v>952</v>
      </c>
      <c r="R206">
        <v>0</v>
      </c>
    </row>
    <row r="207" spans="1:18" x14ac:dyDescent="0.25">
      <c r="A207" t="str">
        <f>TableMJRULITCU[[#This Row],[Study Package Code]]</f>
        <v>LCST3006</v>
      </c>
      <c r="B207" s="2">
        <f>TableMJRULITCU[[#This Row],[Ver]]</f>
        <v>1</v>
      </c>
      <c r="D207" t="str">
        <f>TableMJRULITCU[[#This Row],[Structure Line]]</f>
        <v>Decolonising Place</v>
      </c>
      <c r="E207" s="42">
        <f>TableMJRULITCU[[#This Row],[Credit Points]]</f>
        <v>25</v>
      </c>
      <c r="F207">
        <v>4</v>
      </c>
      <c r="G207" t="s">
        <v>927</v>
      </c>
      <c r="H207">
        <v>3</v>
      </c>
      <c r="I207" t="s">
        <v>928</v>
      </c>
      <c r="J207" t="s">
        <v>256</v>
      </c>
      <c r="K207" s="2">
        <v>1</v>
      </c>
      <c r="L207" t="s">
        <v>687</v>
      </c>
      <c r="M207">
        <v>25</v>
      </c>
      <c r="N207" s="152">
        <v>44562</v>
      </c>
      <c r="O207" s="152"/>
      <c r="Q207" t="s">
        <v>256</v>
      </c>
      <c r="R207">
        <v>1</v>
      </c>
    </row>
    <row r="208" spans="1:18" x14ac:dyDescent="0.25">
      <c r="A208" t="str">
        <f>TableMJRULITCU[[#This Row],[Study Package Code]]</f>
        <v>LCST3007</v>
      </c>
      <c r="B208" s="2">
        <f>TableMJRULITCU[[#This Row],[Ver]]</f>
        <v>1</v>
      </c>
      <c r="D208" t="str">
        <f>TableMJRULITCU[[#This Row],[Structure Line]]</f>
        <v>Textual Futures</v>
      </c>
      <c r="E208" s="42">
        <f>TableMJRULITCU[[#This Row],[Credit Points]]</f>
        <v>25</v>
      </c>
      <c r="F208">
        <v>5</v>
      </c>
      <c r="G208" t="s">
        <v>927</v>
      </c>
      <c r="H208">
        <v>3</v>
      </c>
      <c r="I208" t="s">
        <v>934</v>
      </c>
      <c r="J208" t="s">
        <v>265</v>
      </c>
      <c r="K208" s="2">
        <v>1</v>
      </c>
      <c r="L208" t="s">
        <v>688</v>
      </c>
      <c r="M208">
        <v>25</v>
      </c>
      <c r="N208" s="152">
        <v>44562</v>
      </c>
      <c r="O208" s="152"/>
      <c r="Q208" t="s">
        <v>265</v>
      </c>
      <c r="R208">
        <v>1</v>
      </c>
    </row>
    <row r="209" spans="1:18" x14ac:dyDescent="0.25">
      <c r="A209" t="str">
        <f>TableMJRULITCU[[#This Row],[Study Package Code]]</f>
        <v>Opt-LITCUY3</v>
      </c>
      <c r="B209" s="2">
        <f>TableMJRULITCU[[#This Row],[Ver]]</f>
        <v>0</v>
      </c>
      <c r="D209" t="str">
        <f>TableMJRULITCU[[#This Row],[Structure Line]]</f>
        <v>Options for Year 3</v>
      </c>
      <c r="E209" s="42">
        <f>TableMJRULITCU[[#This Row],[Credit Points]]</f>
        <v>50</v>
      </c>
      <c r="F209">
        <v>6</v>
      </c>
      <c r="G209" t="s">
        <v>929</v>
      </c>
      <c r="H209">
        <v>3</v>
      </c>
      <c r="I209" t="s">
        <v>935</v>
      </c>
      <c r="J209" t="s">
        <v>288</v>
      </c>
      <c r="K209" s="2">
        <v>0</v>
      </c>
      <c r="L209" t="s">
        <v>953</v>
      </c>
      <c r="M209">
        <v>50</v>
      </c>
      <c r="N209" s="152"/>
      <c r="O209" s="152"/>
      <c r="Q209" t="s">
        <v>954</v>
      </c>
      <c r="R209">
        <v>0</v>
      </c>
    </row>
    <row r="210" spans="1:18" x14ac:dyDescent="0.25">
      <c r="A210" t="str">
        <f>TableMJRULITCU[[#This Row],[Study Package Code]]</f>
        <v>ANTH2002</v>
      </c>
      <c r="B210" s="2">
        <f>TableMJRULITCU[[#This Row],[Ver]]</f>
        <v>1</v>
      </c>
      <c r="D210" t="str">
        <f>TableMJRULITCU[[#This Row],[Structure Line]]</f>
        <v>Private Lives and Public Issues</v>
      </c>
      <c r="E210" s="42">
        <f>TableMJRULITCU[[#This Row],[Credit Points]]</f>
        <v>25</v>
      </c>
      <c r="F210">
        <v>3</v>
      </c>
      <c r="G210" t="s">
        <v>929</v>
      </c>
      <c r="H210">
        <v>2</v>
      </c>
      <c r="I210" t="s">
        <v>935</v>
      </c>
      <c r="J210" t="s">
        <v>219</v>
      </c>
      <c r="K210" s="2">
        <v>1</v>
      </c>
      <c r="L210" t="s">
        <v>529</v>
      </c>
      <c r="M210">
        <v>25</v>
      </c>
      <c r="N210" s="152">
        <v>42005</v>
      </c>
      <c r="O210" s="152"/>
      <c r="Q210" t="s">
        <v>219</v>
      </c>
      <c r="R210">
        <v>1</v>
      </c>
    </row>
    <row r="211" spans="1:18" x14ac:dyDescent="0.25">
      <c r="A211" t="str">
        <f>TableMJRULITCU[[#This Row],[Study Package Code]]</f>
        <v>ANTH2003</v>
      </c>
      <c r="B211" s="2">
        <f>TableMJRULITCU[[#This Row],[Ver]]</f>
        <v>1</v>
      </c>
      <c r="D211" t="str">
        <f>TableMJRULITCU[[#This Row],[Structure Line]]</f>
        <v>Language and Social Life</v>
      </c>
      <c r="E211" s="42">
        <f>TableMJRULITCU[[#This Row],[Credit Points]]</f>
        <v>25</v>
      </c>
      <c r="F211">
        <v>3</v>
      </c>
      <c r="G211" t="s">
        <v>929</v>
      </c>
      <c r="H211">
        <v>2</v>
      </c>
      <c r="I211" t="s">
        <v>935</v>
      </c>
      <c r="J211" t="s">
        <v>194</v>
      </c>
      <c r="K211" s="2">
        <v>1</v>
      </c>
      <c r="L211" t="s">
        <v>530</v>
      </c>
      <c r="M211">
        <v>25</v>
      </c>
      <c r="N211" s="152">
        <v>42736</v>
      </c>
      <c r="O211" s="152"/>
      <c r="Q211" t="s">
        <v>194</v>
      </c>
      <c r="R211">
        <v>1</v>
      </c>
    </row>
    <row r="212" spans="1:18" x14ac:dyDescent="0.25">
      <c r="A212" t="str">
        <f>TableMJRULITCU[[#This Row],[Study Package Code]]</f>
        <v>COMS2000</v>
      </c>
      <c r="B212" s="2">
        <f>TableMJRULITCU[[#This Row],[Ver]]</f>
        <v>2</v>
      </c>
      <c r="D212" t="str">
        <f>TableMJRULITCU[[#This Row],[Structure Line]]</f>
        <v>Media, Culture and Consumption</v>
      </c>
      <c r="E212" s="42">
        <f>TableMJRULITCU[[#This Row],[Credit Points]]</f>
        <v>25</v>
      </c>
      <c r="F212">
        <v>3</v>
      </c>
      <c r="G212" t="s">
        <v>929</v>
      </c>
      <c r="H212">
        <v>2</v>
      </c>
      <c r="I212" t="s">
        <v>935</v>
      </c>
      <c r="J212" t="s">
        <v>308</v>
      </c>
      <c r="K212" s="2">
        <v>2</v>
      </c>
      <c r="L212" t="s">
        <v>563</v>
      </c>
      <c r="M212">
        <v>25</v>
      </c>
      <c r="N212" s="152">
        <v>44927</v>
      </c>
      <c r="O212" s="152"/>
      <c r="Q212" t="s">
        <v>308</v>
      </c>
      <c r="R212">
        <v>2</v>
      </c>
    </row>
    <row r="213" spans="1:18" x14ac:dyDescent="0.25">
      <c r="A213" t="str">
        <f>TableMJRULITCU[[#This Row],[Study Package Code]]</f>
        <v>COMS2001</v>
      </c>
      <c r="B213" s="2">
        <f>TableMJRULITCU[[#This Row],[Ver]]</f>
        <v>1</v>
      </c>
      <c r="D213" t="str">
        <f>TableMJRULITCU[[#This Row],[Structure Line]]</f>
        <v>Asian Media in Transition</v>
      </c>
      <c r="E213" s="42">
        <f>TableMJRULITCU[[#This Row],[Credit Points]]</f>
        <v>25</v>
      </c>
      <c r="F213">
        <v>3</v>
      </c>
      <c r="G213" t="s">
        <v>929</v>
      </c>
      <c r="H213">
        <v>2</v>
      </c>
      <c r="I213" t="s">
        <v>935</v>
      </c>
      <c r="J213" t="s">
        <v>302</v>
      </c>
      <c r="K213" s="2">
        <v>1</v>
      </c>
      <c r="L213" t="s">
        <v>565</v>
      </c>
      <c r="M213">
        <v>25</v>
      </c>
      <c r="N213" s="152">
        <v>42005</v>
      </c>
      <c r="O213" s="152"/>
      <c r="Q213" t="s">
        <v>302</v>
      </c>
      <c r="R213">
        <v>1</v>
      </c>
    </row>
    <row r="214" spans="1:18" x14ac:dyDescent="0.25">
      <c r="A214" t="str">
        <f>TableMJRULITCU[[#This Row],[Study Package Code]]</f>
        <v>CWRI2001</v>
      </c>
      <c r="B214" s="2">
        <f>TableMJRULITCU[[#This Row],[Ver]]</f>
        <v>1</v>
      </c>
      <c r="D214" t="str">
        <f>TableMJRULITCU[[#This Row],[Structure Line]]</f>
        <v>Writing Poetry</v>
      </c>
      <c r="E214" s="42">
        <f>TableMJRULITCU[[#This Row],[Credit Points]]</f>
        <v>25</v>
      </c>
      <c r="F214">
        <v>3</v>
      </c>
      <c r="G214" t="s">
        <v>929</v>
      </c>
      <c r="H214">
        <v>2</v>
      </c>
      <c r="I214" t="s">
        <v>935</v>
      </c>
      <c r="J214" t="s">
        <v>198</v>
      </c>
      <c r="K214" s="2">
        <v>1</v>
      </c>
      <c r="L214" t="s">
        <v>569</v>
      </c>
      <c r="M214">
        <v>25</v>
      </c>
      <c r="N214" s="152">
        <v>42005</v>
      </c>
      <c r="O214" s="152"/>
      <c r="Q214" t="s">
        <v>198</v>
      </c>
      <c r="R214">
        <v>1</v>
      </c>
    </row>
    <row r="215" spans="1:18" x14ac:dyDescent="0.25">
      <c r="A215" t="str">
        <f>TableMJRULITCU[[#This Row],[Study Package Code]]</f>
        <v>CWRI2002</v>
      </c>
      <c r="B215" s="2">
        <f>TableMJRULITCU[[#This Row],[Ver]]</f>
        <v>1</v>
      </c>
      <c r="D215" t="str">
        <f>TableMJRULITCU[[#This Row],[Structure Line]]</f>
        <v>Writing Short Fiction</v>
      </c>
      <c r="E215" s="42">
        <f>TableMJRULITCU[[#This Row],[Credit Points]]</f>
        <v>25</v>
      </c>
      <c r="F215">
        <v>3</v>
      </c>
      <c r="G215" t="s">
        <v>929</v>
      </c>
      <c r="H215">
        <v>2</v>
      </c>
      <c r="I215" t="s">
        <v>935</v>
      </c>
      <c r="J215" t="s">
        <v>222</v>
      </c>
      <c r="K215" s="2">
        <v>1</v>
      </c>
      <c r="L215" t="s">
        <v>570</v>
      </c>
      <c r="M215">
        <v>25</v>
      </c>
      <c r="N215" s="152">
        <v>42005</v>
      </c>
      <c r="O215" s="152"/>
      <c r="Q215" t="s">
        <v>222</v>
      </c>
      <c r="R215">
        <v>1</v>
      </c>
    </row>
    <row r="216" spans="1:18" x14ac:dyDescent="0.25">
      <c r="A216" t="str">
        <f>TableMJRULITCU[[#This Row],[Study Package Code]]</f>
        <v>CWRI2016</v>
      </c>
      <c r="B216" s="2">
        <f>TableMJRULITCU[[#This Row],[Ver]]</f>
        <v>1</v>
      </c>
      <c r="D216" t="str">
        <f>TableMJRULITCU[[#This Row],[Structure Line]]</f>
        <v>Writing Genre Fiction</v>
      </c>
      <c r="E216" s="42">
        <f>TableMJRULITCU[[#This Row],[Credit Points]]</f>
        <v>25</v>
      </c>
      <c r="F216">
        <v>3</v>
      </c>
      <c r="G216" t="s">
        <v>929</v>
      </c>
      <c r="H216">
        <v>2</v>
      </c>
      <c r="I216" t="s">
        <v>935</v>
      </c>
      <c r="J216" t="s">
        <v>223</v>
      </c>
      <c r="K216" s="2">
        <v>1</v>
      </c>
      <c r="L216" t="s">
        <v>572</v>
      </c>
      <c r="M216">
        <v>25</v>
      </c>
      <c r="N216" s="152">
        <v>43831</v>
      </c>
      <c r="O216" s="152"/>
      <c r="Q216" t="s">
        <v>223</v>
      </c>
      <c r="R216">
        <v>1</v>
      </c>
    </row>
    <row r="217" spans="1:18" x14ac:dyDescent="0.25">
      <c r="A217" t="str">
        <f>TableMJRULITCU[[#This Row],[Study Package Code]]</f>
        <v>PWRP2007</v>
      </c>
      <c r="B217" s="2">
        <f>TableMJRULITCU[[#This Row],[Ver]]</f>
        <v>2</v>
      </c>
      <c r="D217" t="str">
        <f>TableMJRULITCU[[#This Row],[Structure Line]]</f>
        <v>Narrative Nonfiction</v>
      </c>
      <c r="E217" s="42">
        <f>TableMJRULITCU[[#This Row],[Credit Points]]</f>
        <v>25</v>
      </c>
      <c r="F217">
        <v>3</v>
      </c>
      <c r="G217" t="s">
        <v>929</v>
      </c>
      <c r="H217">
        <v>2</v>
      </c>
      <c r="I217" t="s">
        <v>935</v>
      </c>
      <c r="J217" t="s">
        <v>238</v>
      </c>
      <c r="K217" s="2">
        <v>2</v>
      </c>
      <c r="L217" t="s">
        <v>815</v>
      </c>
      <c r="M217">
        <v>25</v>
      </c>
      <c r="N217" s="152">
        <v>45292</v>
      </c>
      <c r="O217" s="152"/>
      <c r="Q217" t="s">
        <v>238</v>
      </c>
      <c r="R217">
        <v>1</v>
      </c>
    </row>
    <row r="218" spans="1:18" x14ac:dyDescent="0.25">
      <c r="A218" t="str">
        <f>TableMJRULITCU[[#This Row],[Study Package Code]]</f>
        <v>PWRP2010</v>
      </c>
      <c r="B218" s="2">
        <f>TableMJRULITCU[[#This Row],[Ver]]</f>
        <v>1</v>
      </c>
      <c r="D218" t="str">
        <f>TableMJRULITCU[[#This Row],[Structure Line]]</f>
        <v>Workplace Writing</v>
      </c>
      <c r="E218" s="42">
        <f>TableMJRULITCU[[#This Row],[Credit Points]]</f>
        <v>25</v>
      </c>
      <c r="F218">
        <v>3</v>
      </c>
      <c r="G218" t="s">
        <v>929</v>
      </c>
      <c r="H218">
        <v>2</v>
      </c>
      <c r="I218" t="s">
        <v>935</v>
      </c>
      <c r="J218" t="s">
        <v>239</v>
      </c>
      <c r="K218" s="2">
        <v>1</v>
      </c>
      <c r="L218" t="s">
        <v>820</v>
      </c>
      <c r="M218">
        <v>25</v>
      </c>
      <c r="N218" s="152">
        <v>45292</v>
      </c>
      <c r="O218" s="152"/>
      <c r="Q218" t="s">
        <v>955</v>
      </c>
      <c r="R218">
        <v>2</v>
      </c>
    </row>
    <row r="219" spans="1:18" x14ac:dyDescent="0.25">
      <c r="A219" t="str">
        <f>TableMJRULITCU[[#This Row],[Study Package Code]]</f>
        <v>CWRI3002</v>
      </c>
      <c r="B219" s="2">
        <f>TableMJRULITCU[[#This Row],[Ver]]</f>
        <v>1</v>
      </c>
      <c r="D219" t="str">
        <f>TableMJRULITCU[[#This Row],[Structure Line]]</f>
        <v>Travel Writing</v>
      </c>
      <c r="E219" s="42">
        <f>TableMJRULITCU[[#This Row],[Credit Points]]</f>
        <v>25</v>
      </c>
      <c r="F219">
        <v>6</v>
      </c>
      <c r="G219" t="s">
        <v>929</v>
      </c>
      <c r="H219">
        <v>3</v>
      </c>
      <c r="I219" t="s">
        <v>935</v>
      </c>
      <c r="J219" t="s">
        <v>300</v>
      </c>
      <c r="K219" s="2">
        <v>1</v>
      </c>
      <c r="L219" t="s">
        <v>573</v>
      </c>
      <c r="M219">
        <v>25</v>
      </c>
      <c r="N219" s="152">
        <v>42005</v>
      </c>
      <c r="O219" s="152"/>
      <c r="Q219" t="s">
        <v>300</v>
      </c>
      <c r="R219">
        <v>1</v>
      </c>
    </row>
    <row r="220" spans="1:18" x14ac:dyDescent="0.25">
      <c r="A220" t="str">
        <f>TableMJRULITCU[[#This Row],[Study Package Code]]</f>
        <v>CWRI3011</v>
      </c>
      <c r="B220" s="2">
        <f>TableMJRULITCU[[#This Row],[Ver]]</f>
        <v>1</v>
      </c>
      <c r="D220" t="str">
        <f>TableMJRULITCU[[#This Row],[Structure Line]]</f>
        <v>Writing for Children</v>
      </c>
      <c r="E220" s="42">
        <f>TableMJRULITCU[[#This Row],[Credit Points]]</f>
        <v>25</v>
      </c>
      <c r="F220">
        <v>6</v>
      </c>
      <c r="G220" t="s">
        <v>929</v>
      </c>
      <c r="H220">
        <v>3</v>
      </c>
      <c r="I220" t="s">
        <v>935</v>
      </c>
      <c r="J220" t="s">
        <v>304</v>
      </c>
      <c r="K220" s="2">
        <v>1</v>
      </c>
      <c r="L220" t="s">
        <v>577</v>
      </c>
      <c r="M220">
        <v>25</v>
      </c>
      <c r="N220" s="152">
        <v>42005</v>
      </c>
      <c r="O220" s="152"/>
      <c r="Q220" t="s">
        <v>304</v>
      </c>
      <c r="R220">
        <v>1</v>
      </c>
    </row>
    <row r="221" spans="1:18" x14ac:dyDescent="0.25">
      <c r="A221" t="str">
        <f>TableMJRULITCU[[#This Row],[Study Package Code]]</f>
        <v>PWRP3000</v>
      </c>
      <c r="B221" s="2">
        <f>TableMJRULITCU[[#This Row],[Ver]]</f>
        <v>2</v>
      </c>
      <c r="D221" t="str">
        <f>TableMJRULITCU[[#This Row],[Structure Line]]</f>
        <v>Advanced Workplace Writing</v>
      </c>
      <c r="E221" s="42">
        <f>TableMJRULITCU[[#This Row],[Credit Points]]</f>
        <v>25</v>
      </c>
      <c r="F221">
        <v>6</v>
      </c>
      <c r="G221" t="s">
        <v>929</v>
      </c>
      <c r="H221">
        <v>3</v>
      </c>
      <c r="I221" t="s">
        <v>935</v>
      </c>
      <c r="J221" t="s">
        <v>268</v>
      </c>
      <c r="K221" s="2">
        <v>2</v>
      </c>
      <c r="L221" t="s">
        <v>821</v>
      </c>
      <c r="M221">
        <v>25</v>
      </c>
      <c r="N221" s="152">
        <v>45292</v>
      </c>
      <c r="O221" s="152"/>
      <c r="Q221" t="s">
        <v>946</v>
      </c>
      <c r="R221">
        <v>1</v>
      </c>
    </row>
    <row r="222" spans="1:18" x14ac:dyDescent="0.25">
      <c r="A222" t="str">
        <f>TableMJRULITCU[[#This Row],[Study Package Code]]</f>
        <v>PWRP3010</v>
      </c>
      <c r="B222" s="2">
        <f>TableMJRULITCU[[#This Row],[Ver]]</f>
        <v>2</v>
      </c>
      <c r="D222" t="str">
        <f>TableMJRULITCU[[#This Row],[Structure Line]]</f>
        <v>Advanced Narrative Nonfiction</v>
      </c>
      <c r="E222" s="42">
        <f>TableMJRULITCU[[#This Row],[Credit Points]]</f>
        <v>25</v>
      </c>
      <c r="F222">
        <v>6</v>
      </c>
      <c r="G222" t="s">
        <v>929</v>
      </c>
      <c r="H222">
        <v>3</v>
      </c>
      <c r="I222" t="s">
        <v>935</v>
      </c>
      <c r="J222" t="s">
        <v>292</v>
      </c>
      <c r="K222" s="2">
        <v>2</v>
      </c>
      <c r="L222" t="s">
        <v>828</v>
      </c>
      <c r="M222">
        <v>25</v>
      </c>
      <c r="N222" s="152">
        <v>45292</v>
      </c>
      <c r="O222" s="152"/>
      <c r="Q222" t="s">
        <v>292</v>
      </c>
      <c r="R222">
        <v>1</v>
      </c>
    </row>
    <row r="223" spans="1:18" x14ac:dyDescent="0.25">
      <c r="A223" t="str">
        <f>TableMJRULITCU[[#This Row],[Study Package Code]]</f>
        <v>SCST3010</v>
      </c>
      <c r="B223" s="2">
        <f>TableMJRULITCU[[#This Row],[Ver]]</f>
        <v>1</v>
      </c>
      <c r="D223" t="str">
        <f>TableMJRULITCU[[#This Row],[Structure Line]]</f>
        <v>Reading Screens</v>
      </c>
      <c r="E223" s="42">
        <f>TableMJRULITCU[[#This Row],[Credit Points]]</f>
        <v>25</v>
      </c>
      <c r="F223">
        <v>6</v>
      </c>
      <c r="G223" t="s">
        <v>929</v>
      </c>
      <c r="H223">
        <v>3</v>
      </c>
      <c r="I223" t="s">
        <v>935</v>
      </c>
      <c r="J223" t="s">
        <v>335</v>
      </c>
      <c r="K223" s="2">
        <v>1</v>
      </c>
      <c r="L223" t="s">
        <v>839</v>
      </c>
      <c r="M223">
        <v>25</v>
      </c>
      <c r="N223" s="152">
        <v>43831</v>
      </c>
      <c r="O223" s="152"/>
      <c r="Q223" t="s">
        <v>335</v>
      </c>
      <c r="R223">
        <v>1</v>
      </c>
    </row>
    <row r="224" spans="1:18" x14ac:dyDescent="0.25">
      <c r="B224"/>
      <c r="E224"/>
      <c r="F224" s="39"/>
      <c r="G224" s="40" t="s">
        <v>913</v>
      </c>
      <c r="H224" s="183">
        <v>43831</v>
      </c>
      <c r="I224" s="39"/>
      <c r="J224" s="155" t="s">
        <v>121</v>
      </c>
      <c r="K224" s="41" t="s">
        <v>111</v>
      </c>
      <c r="L224" s="39" t="s">
        <v>13</v>
      </c>
      <c r="M224" s="39"/>
      <c r="N224" s="179" t="s">
        <v>914</v>
      </c>
      <c r="O224" s="180">
        <v>45327</v>
      </c>
    </row>
    <row r="225" spans="1:18" x14ac:dyDescent="0.25">
      <c r="A225" t="s">
        <v>0</v>
      </c>
      <c r="B225" s="2" t="s">
        <v>915</v>
      </c>
      <c r="C225" t="s">
        <v>916</v>
      </c>
      <c r="D225" t="s">
        <v>3</v>
      </c>
      <c r="E225" s="42" t="s">
        <v>917</v>
      </c>
      <c r="F225" t="s">
        <v>918</v>
      </c>
      <c r="G225" t="s">
        <v>919</v>
      </c>
      <c r="H225" t="s">
        <v>920</v>
      </c>
      <c r="I225" t="s">
        <v>23</v>
      </c>
      <c r="J225" t="s">
        <v>921</v>
      </c>
      <c r="K225" s="2" t="s">
        <v>1</v>
      </c>
      <c r="L225" t="s">
        <v>922</v>
      </c>
      <c r="M225" t="s">
        <v>86</v>
      </c>
      <c r="N225" t="s">
        <v>923</v>
      </c>
      <c r="O225" t="s">
        <v>924</v>
      </c>
      <c r="Q225" t="s">
        <v>925</v>
      </c>
      <c r="R225" t="s">
        <v>926</v>
      </c>
    </row>
    <row r="226" spans="1:18" x14ac:dyDescent="0.25">
      <c r="A226" t="str">
        <f>TableMJRUNETCM[[#This Row],[Study Package Code]]</f>
        <v>NETS2000</v>
      </c>
      <c r="B226" s="2">
        <f>TableMJRUNETCM[[#This Row],[Ver]]</f>
        <v>1</v>
      </c>
      <c r="D226" t="str">
        <f>TableMJRUNETCM[[#This Row],[Structure Line]]</f>
        <v>Web Media</v>
      </c>
      <c r="E226" s="42">
        <f>TableMJRUNETCM[[#This Row],[Credit Points]]</f>
        <v>25</v>
      </c>
      <c r="F226">
        <v>1</v>
      </c>
      <c r="G226" t="s">
        <v>927</v>
      </c>
      <c r="H226">
        <v>2</v>
      </c>
      <c r="I226" t="s">
        <v>928</v>
      </c>
      <c r="J226" t="s">
        <v>212</v>
      </c>
      <c r="K226" s="2">
        <v>1</v>
      </c>
      <c r="L226" t="s">
        <v>763</v>
      </c>
      <c r="M226">
        <v>25</v>
      </c>
      <c r="N226" s="152">
        <v>42005</v>
      </c>
      <c r="O226" s="152" t="s">
        <v>937</v>
      </c>
      <c r="Q226" t="s">
        <v>212</v>
      </c>
      <c r="R226">
        <v>1</v>
      </c>
    </row>
    <row r="227" spans="1:18" x14ac:dyDescent="0.25">
      <c r="A227" t="str">
        <f>TableMJRUNETCM[[#This Row],[Study Package Code]]</f>
        <v>NETS2002</v>
      </c>
      <c r="B227" s="2">
        <f>TableMJRUNETCM[[#This Row],[Ver]]</f>
        <v>2</v>
      </c>
      <c r="D227" t="str">
        <f>TableMJRUNETCM[[#This Row],[Structure Line]]</f>
        <v>Social Media, Communities and Networks</v>
      </c>
      <c r="E227" s="42">
        <f>TableMJRUNETCM[[#This Row],[Credit Points]]</f>
        <v>25</v>
      </c>
      <c r="F227">
        <v>2</v>
      </c>
      <c r="G227" t="s">
        <v>927</v>
      </c>
      <c r="H227">
        <v>2</v>
      </c>
      <c r="I227" t="s">
        <v>928</v>
      </c>
      <c r="J227" t="s">
        <v>236</v>
      </c>
      <c r="K227" s="2">
        <v>2</v>
      </c>
      <c r="L227" t="s">
        <v>765</v>
      </c>
      <c r="M227">
        <v>25</v>
      </c>
      <c r="N227" s="152">
        <v>42736</v>
      </c>
      <c r="O227" s="152" t="s">
        <v>937</v>
      </c>
      <c r="Q227" t="s">
        <v>236</v>
      </c>
      <c r="R227">
        <v>2</v>
      </c>
    </row>
    <row r="228" spans="1:18" x14ac:dyDescent="0.25">
      <c r="A228" t="str">
        <f>TableMJRUNETCM[[#This Row],[Study Package Code]]</f>
        <v>NETS2001</v>
      </c>
      <c r="B228" s="2">
        <f>TableMJRUNETCM[[#This Row],[Ver]]</f>
        <v>2</v>
      </c>
      <c r="D228" t="str">
        <f>TableMJRUNETCM[[#This Row],[Structure Line]]</f>
        <v>Writing on the Web</v>
      </c>
      <c r="E228" s="42">
        <f>TableMJRUNETCM[[#This Row],[Credit Points]]</f>
        <v>25</v>
      </c>
      <c r="F228">
        <v>3</v>
      </c>
      <c r="G228" t="s">
        <v>927</v>
      </c>
      <c r="H228">
        <v>2</v>
      </c>
      <c r="I228" t="s">
        <v>934</v>
      </c>
      <c r="J228" t="s">
        <v>213</v>
      </c>
      <c r="K228" s="2">
        <v>2</v>
      </c>
      <c r="L228" t="s">
        <v>764</v>
      </c>
      <c r="M228">
        <v>25</v>
      </c>
      <c r="N228" s="152">
        <v>42736</v>
      </c>
      <c r="O228" s="152" t="s">
        <v>937</v>
      </c>
      <c r="Q228" t="s">
        <v>213</v>
      </c>
      <c r="R228">
        <v>2</v>
      </c>
    </row>
    <row r="229" spans="1:18" x14ac:dyDescent="0.25">
      <c r="A229" t="str">
        <f>TableMJRUNETCM[[#This Row],[Study Package Code]]</f>
        <v>NETS2003</v>
      </c>
      <c r="B229" s="2">
        <f>TableMJRUNETCM[[#This Row],[Ver]]</f>
        <v>2</v>
      </c>
      <c r="D229" t="str">
        <f>TableMJRUNETCM[[#This Row],[Structure Line]]</f>
        <v>The Digital Economy</v>
      </c>
      <c r="E229" s="42">
        <f>TableMJRUNETCM[[#This Row],[Credit Points]]</f>
        <v>25</v>
      </c>
      <c r="F229">
        <v>4</v>
      </c>
      <c r="G229" t="s">
        <v>927</v>
      </c>
      <c r="H229">
        <v>2</v>
      </c>
      <c r="I229" t="s">
        <v>934</v>
      </c>
      <c r="J229" t="s">
        <v>237</v>
      </c>
      <c r="K229" s="2">
        <v>2</v>
      </c>
      <c r="L229" t="s">
        <v>766</v>
      </c>
      <c r="M229">
        <v>25</v>
      </c>
      <c r="N229" s="152">
        <v>42736</v>
      </c>
      <c r="O229" s="152" t="s">
        <v>937</v>
      </c>
      <c r="Q229" t="s">
        <v>237</v>
      </c>
      <c r="R229">
        <v>2</v>
      </c>
    </row>
    <row r="230" spans="1:18" x14ac:dyDescent="0.25">
      <c r="A230" t="str">
        <f>TableMJRUNETCM[[#This Row],[Study Package Code]]</f>
        <v>NETS3010</v>
      </c>
      <c r="B230" s="2">
        <f>TableMJRUNETCM[[#This Row],[Ver]]</f>
        <v>3</v>
      </c>
      <c r="D230" t="str">
        <f>TableMJRUNETCM[[#This Row],[Structure Line]]</f>
        <v>Online Games and Play</v>
      </c>
      <c r="E230" s="42">
        <f>TableMJRUNETCM[[#This Row],[Credit Points]]</f>
        <v>25</v>
      </c>
      <c r="F230">
        <v>5</v>
      </c>
      <c r="G230" t="s">
        <v>927</v>
      </c>
      <c r="H230">
        <v>3</v>
      </c>
      <c r="I230" t="s">
        <v>928</v>
      </c>
      <c r="J230" t="s">
        <v>266</v>
      </c>
      <c r="K230" s="2">
        <v>3</v>
      </c>
      <c r="L230" t="s">
        <v>774</v>
      </c>
      <c r="M230">
        <v>25</v>
      </c>
      <c r="N230" s="152">
        <v>45292</v>
      </c>
      <c r="O230" s="152" t="s">
        <v>937</v>
      </c>
      <c r="Q230" t="s">
        <v>266</v>
      </c>
      <c r="R230">
        <v>2</v>
      </c>
    </row>
    <row r="231" spans="1:18" x14ac:dyDescent="0.25">
      <c r="A231" t="str">
        <f>TableMJRUNETCM[[#This Row],[Study Package Code]]</f>
        <v>Opt-NETCM</v>
      </c>
      <c r="B231" s="2">
        <f>TableMJRUNETCM[[#This Row],[Ver]]</f>
        <v>0</v>
      </c>
      <c r="D231" t="str">
        <f>TableMJRUNETCM[[#This Row],[Structure Line]]</f>
        <v>Choose an Option</v>
      </c>
      <c r="E231" s="42">
        <f>TableMJRUNETCM[[#This Row],[Credit Points]]</f>
        <v>25</v>
      </c>
      <c r="F231">
        <v>6</v>
      </c>
      <c r="G231" t="s">
        <v>929</v>
      </c>
      <c r="H231">
        <v>3</v>
      </c>
      <c r="I231" t="s">
        <v>928</v>
      </c>
      <c r="J231" t="s">
        <v>289</v>
      </c>
      <c r="K231" s="2">
        <v>0</v>
      </c>
      <c r="L231" t="s">
        <v>956</v>
      </c>
      <c r="M231">
        <v>25</v>
      </c>
      <c r="N231" s="152"/>
      <c r="O231" s="152"/>
      <c r="Q231" t="s">
        <v>957</v>
      </c>
      <c r="R231">
        <v>0</v>
      </c>
    </row>
    <row r="232" spans="1:18" x14ac:dyDescent="0.25">
      <c r="A232" t="str">
        <f>TableMJRUNETCM[[#This Row],[Study Package Code]]</f>
        <v>NETS3000</v>
      </c>
      <c r="B232" s="2">
        <f>TableMJRUNETCM[[#This Row],[Ver]]</f>
        <v>3</v>
      </c>
      <c r="D232" t="str">
        <f>TableMJRUNETCM[[#This Row],[Structure Line]]</f>
        <v>Online Power and Resistance</v>
      </c>
      <c r="E232" s="42">
        <f>TableMJRUNETCM[[#This Row],[Credit Points]]</f>
        <v>25</v>
      </c>
      <c r="F232">
        <v>7</v>
      </c>
      <c r="G232" t="s">
        <v>927</v>
      </c>
      <c r="H232">
        <v>3</v>
      </c>
      <c r="I232" t="s">
        <v>934</v>
      </c>
      <c r="J232" t="s">
        <v>267</v>
      </c>
      <c r="K232" s="2">
        <v>3</v>
      </c>
      <c r="L232" t="s">
        <v>767</v>
      </c>
      <c r="M232">
        <v>25</v>
      </c>
      <c r="N232" s="152">
        <v>44562</v>
      </c>
      <c r="O232" s="152" t="s">
        <v>937</v>
      </c>
      <c r="Q232" t="s">
        <v>267</v>
      </c>
      <c r="R232">
        <v>3</v>
      </c>
    </row>
    <row r="233" spans="1:18" x14ac:dyDescent="0.25">
      <c r="A233" t="str">
        <f>TableMJRUNETCM[[#This Row],[Study Package Code]]</f>
        <v>NETS3004</v>
      </c>
      <c r="B233" s="2">
        <f>TableMJRUNETCM[[#This Row],[Ver]]</f>
        <v>3</v>
      </c>
      <c r="D233" t="str">
        <f>TableMJRUNETCM[[#This Row],[Structure Line]]</f>
        <v>Digital and Social Media Development Futures</v>
      </c>
      <c r="E233" s="42">
        <f>TableMJRUNETCM[[#This Row],[Credit Points]]</f>
        <v>25</v>
      </c>
      <c r="F233">
        <v>8</v>
      </c>
      <c r="G233" t="s">
        <v>927</v>
      </c>
      <c r="H233">
        <v>3</v>
      </c>
      <c r="I233" t="s">
        <v>934</v>
      </c>
      <c r="J233" t="s">
        <v>290</v>
      </c>
      <c r="K233" s="2">
        <v>3</v>
      </c>
      <c r="L233" t="s">
        <v>772</v>
      </c>
      <c r="M233">
        <v>25</v>
      </c>
      <c r="N233" s="152">
        <v>44927</v>
      </c>
      <c r="O233" s="152" t="s">
        <v>937</v>
      </c>
      <c r="Q233" t="s">
        <v>290</v>
      </c>
      <c r="R233">
        <v>3</v>
      </c>
    </row>
    <row r="234" spans="1:18" x14ac:dyDescent="0.25">
      <c r="A234" t="str">
        <f>TableMJRUNETCM[[#This Row],[Study Package Code]]</f>
        <v>NETS3003</v>
      </c>
      <c r="B234" s="2">
        <f>TableMJRUNETCM[[#This Row],[Ver]]</f>
        <v>2</v>
      </c>
      <c r="D234" t="str">
        <f>TableMJRUNETCM[[#This Row],[Structure Line]]</f>
        <v>Internet Collaboration and Innovation</v>
      </c>
      <c r="E234" s="42">
        <f>TableMJRUNETCM[[#This Row],[Credit Points]]</f>
        <v>25</v>
      </c>
      <c r="F234">
        <v>6</v>
      </c>
      <c r="G234" t="s">
        <v>929</v>
      </c>
      <c r="H234">
        <v>3</v>
      </c>
      <c r="I234" t="s">
        <v>928</v>
      </c>
      <c r="J234" t="s">
        <v>303</v>
      </c>
      <c r="K234" s="2">
        <v>2</v>
      </c>
      <c r="L234" t="s">
        <v>770</v>
      </c>
      <c r="M234">
        <v>25</v>
      </c>
      <c r="N234" s="152">
        <v>42736</v>
      </c>
      <c r="O234" s="152"/>
      <c r="Q234" t="s">
        <v>303</v>
      </c>
      <c r="R234">
        <v>2</v>
      </c>
    </row>
    <row r="235" spans="1:18" x14ac:dyDescent="0.25">
      <c r="A235" t="str">
        <f>TableMJRUNETCM[[#This Row],[Study Package Code]]</f>
        <v>NETS3012</v>
      </c>
      <c r="B235" s="2">
        <f>TableMJRUNETCM[[#This Row],[Ver]]</f>
        <v>2</v>
      </c>
      <c r="D235" t="str">
        <f>TableMJRUNETCM[[#This Row],[Structure Line]]</f>
        <v>Digital and Social Media Project</v>
      </c>
      <c r="E235" s="42">
        <f>TableMJRUNETCM[[#This Row],[Credit Points]]</f>
        <v>25</v>
      </c>
      <c r="F235">
        <v>6</v>
      </c>
      <c r="G235" t="s">
        <v>929</v>
      </c>
      <c r="H235">
        <v>3</v>
      </c>
      <c r="I235" t="s">
        <v>928</v>
      </c>
      <c r="J235" t="s">
        <v>306</v>
      </c>
      <c r="K235" s="2">
        <v>2</v>
      </c>
      <c r="L235" t="s">
        <v>958</v>
      </c>
      <c r="M235">
        <v>25</v>
      </c>
      <c r="N235" s="152">
        <v>45292</v>
      </c>
      <c r="O235" s="152"/>
      <c r="Q235" t="s">
        <v>306</v>
      </c>
      <c r="R235">
        <v>1</v>
      </c>
    </row>
    <row r="236" spans="1:18" x14ac:dyDescent="0.25">
      <c r="B236"/>
      <c r="E236"/>
      <c r="F236" s="39"/>
      <c r="G236" s="40" t="s">
        <v>913</v>
      </c>
      <c r="H236" s="156">
        <v>45292</v>
      </c>
      <c r="I236" s="39"/>
      <c r="J236" s="155" t="s">
        <v>151</v>
      </c>
      <c r="K236" s="159" t="s">
        <v>111</v>
      </c>
      <c r="L236" s="39" t="s">
        <v>150</v>
      </c>
      <c r="M236" s="39"/>
      <c r="N236" s="179" t="s">
        <v>914</v>
      </c>
      <c r="O236" s="180">
        <v>45327</v>
      </c>
    </row>
    <row r="237" spans="1:18" x14ac:dyDescent="0.25">
      <c r="A237" t="s">
        <v>0</v>
      </c>
      <c r="B237" s="2" t="s">
        <v>915</v>
      </c>
      <c r="C237" t="s">
        <v>916</v>
      </c>
      <c r="D237" t="s">
        <v>3</v>
      </c>
      <c r="E237" s="42" t="s">
        <v>917</v>
      </c>
      <c r="F237" t="s">
        <v>918</v>
      </c>
      <c r="G237" t="s">
        <v>919</v>
      </c>
      <c r="H237" t="s">
        <v>920</v>
      </c>
      <c r="I237" t="s">
        <v>23</v>
      </c>
      <c r="J237" t="s">
        <v>921</v>
      </c>
      <c r="K237" s="2" t="s">
        <v>1</v>
      </c>
      <c r="L237" t="s">
        <v>922</v>
      </c>
      <c r="M237" t="s">
        <v>86</v>
      </c>
      <c r="N237" s="149" t="s">
        <v>923</v>
      </c>
      <c r="O237" s="149" t="s">
        <v>924</v>
      </c>
      <c r="Q237" t="s">
        <v>925</v>
      </c>
      <c r="R237" t="s">
        <v>926</v>
      </c>
    </row>
    <row r="238" spans="1:18" x14ac:dyDescent="0.25">
      <c r="A238" t="str">
        <f>TableMJRUPRWRP[[#This Row],[Study Package Code]]</f>
        <v>PWRP2001</v>
      </c>
      <c r="B238" s="2">
        <f>TableMJRUPRWRP[[#This Row],[Ver]]</f>
        <v>2</v>
      </c>
      <c r="D238" t="str">
        <f>TableMJRUPRWRP[[#This Row],[Structure Line]]</f>
        <v>Editing</v>
      </c>
      <c r="E238" s="42">
        <f>TableMJRUPRWRP[[#This Row],[Credit Points]]</f>
        <v>25</v>
      </c>
      <c r="F238">
        <v>1</v>
      </c>
      <c r="G238" t="s">
        <v>927</v>
      </c>
      <c r="H238">
        <v>2</v>
      </c>
      <c r="I238" t="s">
        <v>928</v>
      </c>
      <c r="J238" t="s">
        <v>214</v>
      </c>
      <c r="K238" s="2">
        <v>2</v>
      </c>
      <c r="L238" t="s">
        <v>810</v>
      </c>
      <c r="M238">
        <v>25</v>
      </c>
      <c r="N238" s="152">
        <v>45292</v>
      </c>
      <c r="O238" s="152" t="s">
        <v>937</v>
      </c>
      <c r="Q238" t="s">
        <v>238</v>
      </c>
      <c r="R238">
        <v>1</v>
      </c>
    </row>
    <row r="239" spans="1:18" x14ac:dyDescent="0.25">
      <c r="A239" t="str">
        <f>TableMJRUPRWRP[[#This Row],[Study Package Code]]</f>
        <v>PWRP2007</v>
      </c>
      <c r="B239" s="2">
        <f>TableMJRUPRWRP[[#This Row],[Ver]]</f>
        <v>2</v>
      </c>
      <c r="D239" t="str">
        <f>TableMJRUPRWRP[[#This Row],[Structure Line]]</f>
        <v>Narrative Nonfiction</v>
      </c>
      <c r="E239" s="42">
        <f>TableMJRUPRWRP[[#This Row],[Credit Points]]</f>
        <v>25</v>
      </c>
      <c r="F239">
        <v>2</v>
      </c>
      <c r="G239" t="s">
        <v>927</v>
      </c>
      <c r="H239">
        <v>2</v>
      </c>
      <c r="I239" t="s">
        <v>928</v>
      </c>
      <c r="J239" t="s">
        <v>238</v>
      </c>
      <c r="K239" s="2">
        <v>2</v>
      </c>
      <c r="L239" t="s">
        <v>815</v>
      </c>
      <c r="M239">
        <v>25</v>
      </c>
      <c r="N239" s="152">
        <v>45292</v>
      </c>
      <c r="O239" s="152" t="s">
        <v>937</v>
      </c>
      <c r="Q239" t="s">
        <v>959</v>
      </c>
      <c r="R239">
        <v>2</v>
      </c>
    </row>
    <row r="240" spans="1:18" x14ac:dyDescent="0.25">
      <c r="A240" t="str">
        <f>TableMJRUPRWRP[[#This Row],[Study Package Code]]</f>
        <v>PWRP2008</v>
      </c>
      <c r="B240" s="2">
        <f>TableMJRUPRWRP[[#This Row],[Ver]]</f>
        <v>1</v>
      </c>
      <c r="D240" t="str">
        <f>TableMJRUPRWRP[[#This Row],[Structure Line]]</f>
        <v>Publishing</v>
      </c>
      <c r="E240" s="42">
        <f>TableMJRUPRWRP[[#This Row],[Credit Points]]</f>
        <v>25</v>
      </c>
      <c r="F240">
        <v>3</v>
      </c>
      <c r="G240" t="s">
        <v>927</v>
      </c>
      <c r="H240">
        <v>2</v>
      </c>
      <c r="I240" t="s">
        <v>934</v>
      </c>
      <c r="J240" t="s">
        <v>215</v>
      </c>
      <c r="K240" s="2">
        <v>1</v>
      </c>
      <c r="L240" t="s">
        <v>818</v>
      </c>
      <c r="M240">
        <v>25</v>
      </c>
      <c r="N240" s="152">
        <v>45292</v>
      </c>
      <c r="O240" s="152" t="s">
        <v>937</v>
      </c>
      <c r="Q240" t="s">
        <v>292</v>
      </c>
      <c r="R240">
        <v>1</v>
      </c>
    </row>
    <row r="241" spans="1:18" x14ac:dyDescent="0.25">
      <c r="A241" t="str">
        <f>TableMJRUPRWRP[[#This Row],[Study Package Code]]</f>
        <v>PWRP2010</v>
      </c>
      <c r="B241" s="2">
        <f>TableMJRUPRWRP[[#This Row],[Ver]]</f>
        <v>1</v>
      </c>
      <c r="D241" t="str">
        <f>TableMJRUPRWRP[[#This Row],[Structure Line]]</f>
        <v>Workplace Writing</v>
      </c>
      <c r="E241" s="42">
        <f>TableMJRUPRWRP[[#This Row],[Credit Points]]</f>
        <v>25</v>
      </c>
      <c r="F241">
        <v>4</v>
      </c>
      <c r="G241" t="s">
        <v>927</v>
      </c>
      <c r="H241">
        <v>2</v>
      </c>
      <c r="I241" t="s">
        <v>934</v>
      </c>
      <c r="J241" t="s">
        <v>239</v>
      </c>
      <c r="K241" s="2">
        <v>1</v>
      </c>
      <c r="L241" t="s">
        <v>820</v>
      </c>
      <c r="M241">
        <v>25</v>
      </c>
      <c r="N241" s="152">
        <v>45292</v>
      </c>
      <c r="O241" s="152" t="s">
        <v>937</v>
      </c>
      <c r="Q241" t="s">
        <v>268</v>
      </c>
      <c r="R241">
        <v>1</v>
      </c>
    </row>
    <row r="242" spans="1:18" x14ac:dyDescent="0.25">
      <c r="A242" t="str">
        <f>TableMJRUPRWRP[[#This Row],[Study Package Code]]</f>
        <v>PWRP3010</v>
      </c>
      <c r="B242" s="2">
        <f>TableMJRUPRWRP[[#This Row],[Ver]]</f>
        <v>2</v>
      </c>
      <c r="D242" t="str">
        <f>TableMJRUPRWRP[[#This Row],[Structure Line]]</f>
        <v>Advanced Narrative Nonfiction</v>
      </c>
      <c r="E242" s="42">
        <f>TableMJRUPRWRP[[#This Row],[Credit Points]]</f>
        <v>25</v>
      </c>
      <c r="F242">
        <v>5</v>
      </c>
      <c r="G242" t="s">
        <v>927</v>
      </c>
      <c r="H242">
        <v>3</v>
      </c>
      <c r="I242" t="s">
        <v>928</v>
      </c>
      <c r="J242" t="s">
        <v>292</v>
      </c>
      <c r="K242" s="2">
        <v>2</v>
      </c>
      <c r="L242" t="s">
        <v>828</v>
      </c>
      <c r="M242">
        <v>25</v>
      </c>
      <c r="N242" s="152">
        <v>45292</v>
      </c>
      <c r="O242" s="152" t="s">
        <v>937</v>
      </c>
      <c r="Q242" t="s">
        <v>960</v>
      </c>
      <c r="R242">
        <v>0</v>
      </c>
    </row>
    <row r="243" spans="1:18" x14ac:dyDescent="0.25">
      <c r="A243" t="str">
        <f>TableMJRUPRWRP[[#This Row],[Study Package Code]]</f>
        <v>PWRP3000</v>
      </c>
      <c r="B243" s="2">
        <f>TableMJRUPRWRP[[#This Row],[Ver]]</f>
        <v>2</v>
      </c>
      <c r="D243" t="str">
        <f>TableMJRUPRWRP[[#This Row],[Structure Line]]</f>
        <v>Advanced Workplace Writing</v>
      </c>
      <c r="E243" s="42">
        <f>TableMJRUPRWRP[[#This Row],[Credit Points]]</f>
        <v>25</v>
      </c>
      <c r="F243">
        <v>6</v>
      </c>
      <c r="G243" t="s">
        <v>927</v>
      </c>
      <c r="H243">
        <v>3</v>
      </c>
      <c r="I243" t="s">
        <v>928</v>
      </c>
      <c r="J243" t="s">
        <v>268</v>
      </c>
      <c r="K243" s="2">
        <v>2</v>
      </c>
      <c r="L243" t="s">
        <v>821</v>
      </c>
      <c r="M243">
        <v>25</v>
      </c>
      <c r="N243" s="152">
        <v>45292</v>
      </c>
      <c r="O243" s="152" t="s">
        <v>937</v>
      </c>
      <c r="Q243" t="s">
        <v>214</v>
      </c>
      <c r="R243">
        <v>1</v>
      </c>
    </row>
    <row r="244" spans="1:18" x14ac:dyDescent="0.25">
      <c r="A244" t="str">
        <f>TableMJRUPRWRP[[#This Row],[Study Package Code]]</f>
        <v>PWRP3002</v>
      </c>
      <c r="B244" s="2">
        <f>TableMJRUPRWRP[[#This Row],[Ver]]</f>
        <v>2</v>
      </c>
      <c r="D244" t="str">
        <f>TableMJRUPRWRP[[#This Row],[Structure Line]]</f>
        <v>Professional Writing Placement and Project</v>
      </c>
      <c r="E244" s="42">
        <f>TableMJRUPRWRP[[#This Row],[Credit Points]]</f>
        <v>25</v>
      </c>
      <c r="F244">
        <v>7</v>
      </c>
      <c r="G244" t="s">
        <v>927</v>
      </c>
      <c r="H244">
        <v>3</v>
      </c>
      <c r="I244" t="s">
        <v>934</v>
      </c>
      <c r="J244" t="s">
        <v>269</v>
      </c>
      <c r="K244" s="2">
        <v>2</v>
      </c>
      <c r="L244" t="s">
        <v>824</v>
      </c>
      <c r="M244">
        <v>25</v>
      </c>
      <c r="N244" s="152">
        <v>45292</v>
      </c>
      <c r="O244" s="152" t="s">
        <v>937</v>
      </c>
      <c r="Q244" t="s">
        <v>955</v>
      </c>
      <c r="R244">
        <v>2</v>
      </c>
    </row>
    <row r="245" spans="1:18" x14ac:dyDescent="0.25">
      <c r="A245" t="str">
        <f>TableMJRUPRWRP[[#This Row],[Study Package Code]]</f>
        <v>PWRP3014</v>
      </c>
      <c r="B245" s="2">
        <f>TableMJRUPRWRP[[#This Row],[Ver]]</f>
        <v>1</v>
      </c>
      <c r="D245" t="str">
        <f>TableMJRUPRWRP[[#This Row],[Structure Line]]</f>
        <v>Publishing Studio</v>
      </c>
      <c r="E245" s="42">
        <f>TableMJRUPRWRP[[#This Row],[Credit Points]]</f>
        <v>25</v>
      </c>
      <c r="F245">
        <v>8</v>
      </c>
      <c r="G245" t="s">
        <v>927</v>
      </c>
      <c r="H245">
        <v>3</v>
      </c>
      <c r="I245" t="s">
        <v>934</v>
      </c>
      <c r="J245" t="s">
        <v>291</v>
      </c>
      <c r="K245" s="2">
        <v>1</v>
      </c>
      <c r="L245" t="s">
        <v>835</v>
      </c>
      <c r="M245">
        <v>25</v>
      </c>
      <c r="N245" s="152">
        <v>45292</v>
      </c>
      <c r="O245" s="152" t="s">
        <v>937</v>
      </c>
      <c r="Q245" t="s">
        <v>961</v>
      </c>
      <c r="R245">
        <v>1</v>
      </c>
    </row>
    <row r="246" spans="1:18" x14ac:dyDescent="0.25">
      <c r="A246">
        <f>TableMJRUPRWRP[[#This Row],[Study Package Code]]</f>
        <v>0</v>
      </c>
      <c r="B246" s="2">
        <f>TableMJRUPRWRP[[#This Row],[Ver]]</f>
        <v>0</v>
      </c>
      <c r="D246">
        <f>TableMJRUPRWRP[[#This Row],[Structure Line]]</f>
        <v>0</v>
      </c>
      <c r="E246" s="42">
        <f>TableMJRUPRWRP[[#This Row],[Credit Points]]</f>
        <v>0</v>
      </c>
      <c r="N246" s="152"/>
      <c r="O246" s="152"/>
      <c r="Q246" t="s">
        <v>269</v>
      </c>
      <c r="R246">
        <v>1</v>
      </c>
    </row>
    <row r="247" spans="1:18" x14ac:dyDescent="0.25">
      <c r="A247">
        <f>TableMJRUPRWRP[[#This Row],[Study Package Code]]</f>
        <v>0</v>
      </c>
      <c r="B247" s="2">
        <f>TableMJRUPRWRP[[#This Row],[Ver]]</f>
        <v>0</v>
      </c>
      <c r="D247">
        <f>TableMJRUPRWRP[[#This Row],[Structure Line]]</f>
        <v>0</v>
      </c>
      <c r="E247" s="42">
        <f>TableMJRUPRWRP[[#This Row],[Credit Points]]</f>
        <v>0</v>
      </c>
      <c r="N247" s="152"/>
      <c r="O247" s="152"/>
      <c r="Q247" t="s">
        <v>946</v>
      </c>
      <c r="R247">
        <v>1</v>
      </c>
    </row>
    <row r="248" spans="1:18" x14ac:dyDescent="0.25">
      <c r="B248"/>
      <c r="E248"/>
      <c r="F248" s="39"/>
      <c r="G248" s="40" t="s">
        <v>913</v>
      </c>
      <c r="H248" s="183">
        <v>44927</v>
      </c>
      <c r="I248" s="39"/>
      <c r="J248" s="155" t="s">
        <v>154</v>
      </c>
      <c r="K248" s="41" t="s">
        <v>116</v>
      </c>
      <c r="L248" s="39" t="s">
        <v>153</v>
      </c>
      <c r="M248" s="39"/>
      <c r="N248" s="179" t="s">
        <v>914</v>
      </c>
      <c r="O248" s="180">
        <v>45327</v>
      </c>
    </row>
    <row r="249" spans="1:18" x14ac:dyDescent="0.25">
      <c r="A249" t="s">
        <v>0</v>
      </c>
      <c r="B249" s="2" t="s">
        <v>915</v>
      </c>
      <c r="C249" t="s">
        <v>916</v>
      </c>
      <c r="D249" t="s">
        <v>3</v>
      </c>
      <c r="E249" s="42" t="s">
        <v>917</v>
      </c>
      <c r="F249" t="s">
        <v>918</v>
      </c>
      <c r="G249" t="s">
        <v>919</v>
      </c>
      <c r="H249" t="s">
        <v>920</v>
      </c>
      <c r="I249" t="s">
        <v>23</v>
      </c>
      <c r="J249" t="s">
        <v>921</v>
      </c>
      <c r="K249" s="2" t="s">
        <v>1</v>
      </c>
      <c r="L249" t="s">
        <v>922</v>
      </c>
      <c r="M249" t="s">
        <v>86</v>
      </c>
      <c r="N249" s="149" t="s">
        <v>923</v>
      </c>
      <c r="O249" s="149" t="s">
        <v>924</v>
      </c>
      <c r="Q249" t="s">
        <v>925</v>
      </c>
      <c r="R249" t="s">
        <v>926</v>
      </c>
    </row>
    <row r="250" spans="1:18" x14ac:dyDescent="0.25">
      <c r="A250" t="str">
        <f>TableMJRUSCSTR[[#This Row],[Study Package Code]]</f>
        <v>STRD2001</v>
      </c>
      <c r="B250" s="2">
        <f>TableMJRUSCSTR[[#This Row],[Ver]]</f>
        <v>1</v>
      </c>
      <c r="D250" t="str">
        <f>TableMJRUSCSTR[[#This Row],[Structure Line]]</f>
        <v>Great Power Competition</v>
      </c>
      <c r="E250" s="42">
        <f>TableMJRUSCSTR[[#This Row],[Credit Points]]</f>
        <v>25</v>
      </c>
      <c r="F250">
        <v>1</v>
      </c>
      <c r="G250" t="s">
        <v>927</v>
      </c>
      <c r="H250">
        <v>2</v>
      </c>
      <c r="I250" t="s">
        <v>935</v>
      </c>
      <c r="J250" t="s">
        <v>216</v>
      </c>
      <c r="K250" s="2">
        <v>1</v>
      </c>
      <c r="L250" t="s">
        <v>859</v>
      </c>
      <c r="M250">
        <v>25</v>
      </c>
      <c r="N250" s="152">
        <v>44562</v>
      </c>
      <c r="O250" s="152" t="s">
        <v>937</v>
      </c>
      <c r="Q250" t="s">
        <v>216</v>
      </c>
      <c r="R250">
        <v>1</v>
      </c>
    </row>
    <row r="251" spans="1:18" x14ac:dyDescent="0.25">
      <c r="A251" t="str">
        <f>TableMJRUSCSTR[[#This Row],[Study Package Code]]</f>
        <v>STRD2000</v>
      </c>
      <c r="B251" s="2">
        <f>TableMJRUSCSTR[[#This Row],[Ver]]</f>
        <v>1</v>
      </c>
      <c r="D251" t="str">
        <f>TableMJRUSCSTR[[#This Row],[Structure Line]]</f>
        <v>History of Warfare and the Evolution of Conflict</v>
      </c>
      <c r="E251" s="42">
        <f>TableMJRUSCSTR[[#This Row],[Credit Points]]</f>
        <v>25</v>
      </c>
      <c r="F251">
        <v>2</v>
      </c>
      <c r="G251" t="s">
        <v>927</v>
      </c>
      <c r="H251">
        <v>2</v>
      </c>
      <c r="I251" t="s">
        <v>935</v>
      </c>
      <c r="J251" t="s">
        <v>217</v>
      </c>
      <c r="K251" s="2">
        <v>1</v>
      </c>
      <c r="L251" t="s">
        <v>858</v>
      </c>
      <c r="M251">
        <v>25</v>
      </c>
      <c r="N251" s="152">
        <v>44562</v>
      </c>
      <c r="O251" s="152" t="s">
        <v>937</v>
      </c>
      <c r="Q251" t="s">
        <v>217</v>
      </c>
      <c r="R251">
        <v>1</v>
      </c>
    </row>
    <row r="252" spans="1:18" x14ac:dyDescent="0.25">
      <c r="A252" t="str">
        <f>TableMJRUSCSTR[[#This Row],[Study Package Code]]</f>
        <v>STRD2002</v>
      </c>
      <c r="B252" s="2">
        <f>TableMJRUSCSTR[[#This Row],[Ver]]</f>
        <v>1</v>
      </c>
      <c r="D252" t="str">
        <f>TableMJRUSCSTR[[#This Row],[Structure Line]]</f>
        <v>Military Technology and the Arms Race</v>
      </c>
      <c r="E252" s="42">
        <f>TableMJRUSCSTR[[#This Row],[Credit Points]]</f>
        <v>25</v>
      </c>
      <c r="F252">
        <v>3</v>
      </c>
      <c r="G252" t="s">
        <v>927</v>
      </c>
      <c r="H252">
        <v>2</v>
      </c>
      <c r="I252" t="s">
        <v>935</v>
      </c>
      <c r="J252" t="s">
        <v>240</v>
      </c>
      <c r="K252" s="2">
        <v>1</v>
      </c>
      <c r="L252" t="s">
        <v>860</v>
      </c>
      <c r="M252">
        <v>25</v>
      </c>
      <c r="N252" s="152">
        <v>44927</v>
      </c>
      <c r="O252" s="152" t="s">
        <v>937</v>
      </c>
      <c r="Q252" t="s">
        <v>240</v>
      </c>
      <c r="R252">
        <v>1</v>
      </c>
    </row>
    <row r="253" spans="1:18" x14ac:dyDescent="0.25">
      <c r="A253" t="str">
        <f>TableMJRUSCSTR[[#This Row],[Study Package Code]]</f>
        <v>STRD2003</v>
      </c>
      <c r="B253" s="2">
        <f>TableMJRUSCSTR[[#This Row],[Ver]]</f>
        <v>1</v>
      </c>
      <c r="D253" t="str">
        <f>TableMJRUSCSTR[[#This Row],[Structure Line]]</f>
        <v>Unconventional Threats and Conflict</v>
      </c>
      <c r="E253" s="42">
        <f>TableMJRUSCSTR[[#This Row],[Credit Points]]</f>
        <v>25</v>
      </c>
      <c r="F253">
        <v>4</v>
      </c>
      <c r="G253" t="s">
        <v>927</v>
      </c>
      <c r="H253">
        <v>2</v>
      </c>
      <c r="I253" t="s">
        <v>935</v>
      </c>
      <c r="J253" t="s">
        <v>241</v>
      </c>
      <c r="K253" s="2">
        <v>1</v>
      </c>
      <c r="L253" t="s">
        <v>861</v>
      </c>
      <c r="M253">
        <v>25</v>
      </c>
      <c r="N253" s="152">
        <v>44927</v>
      </c>
      <c r="O253" s="152" t="s">
        <v>937</v>
      </c>
      <c r="Q253" t="s">
        <v>241</v>
      </c>
      <c r="R253">
        <v>1</v>
      </c>
    </row>
    <row r="254" spans="1:18" x14ac:dyDescent="0.25">
      <c r="A254" t="str">
        <f>TableMJRUSCSTR[[#This Row],[Study Package Code]]</f>
        <v>STRD3002</v>
      </c>
      <c r="B254" s="2">
        <f>TableMJRUSCSTR[[#This Row],[Ver]]</f>
        <v>1</v>
      </c>
      <c r="D254" t="str">
        <f>TableMJRUSCSTR[[#This Row],[Structure Line]]</f>
        <v>Intelligence and Strategic Risk</v>
      </c>
      <c r="E254" s="42">
        <f>TableMJRUSCSTR[[#This Row],[Credit Points]]</f>
        <v>25</v>
      </c>
      <c r="F254">
        <v>5</v>
      </c>
      <c r="G254" t="s">
        <v>927</v>
      </c>
      <c r="H254">
        <v>3</v>
      </c>
      <c r="I254" t="s">
        <v>935</v>
      </c>
      <c r="J254" t="s">
        <v>271</v>
      </c>
      <c r="K254" s="2">
        <v>1</v>
      </c>
      <c r="L254" t="s">
        <v>864</v>
      </c>
      <c r="M254">
        <v>25</v>
      </c>
      <c r="N254" s="152">
        <v>44927</v>
      </c>
      <c r="O254" s="152" t="s">
        <v>937</v>
      </c>
      <c r="Q254" t="s">
        <v>271</v>
      </c>
      <c r="R254">
        <v>1</v>
      </c>
    </row>
    <row r="255" spans="1:18" x14ac:dyDescent="0.25">
      <c r="A255" t="str">
        <f>TableMJRUSCSTR[[#This Row],[Study Package Code]]</f>
        <v>STRD3001</v>
      </c>
      <c r="B255" s="2">
        <f>TableMJRUSCSTR[[#This Row],[Ver]]</f>
        <v>1</v>
      </c>
      <c r="D255" t="str">
        <f>TableMJRUSCSTR[[#This Row],[Structure Line]]</f>
        <v>Strategic and Defence Planning</v>
      </c>
      <c r="E255" s="42">
        <f>TableMJRUSCSTR[[#This Row],[Credit Points]]</f>
        <v>25</v>
      </c>
      <c r="F255">
        <v>6</v>
      </c>
      <c r="G255" t="s">
        <v>927</v>
      </c>
      <c r="H255">
        <v>3</v>
      </c>
      <c r="I255" t="s">
        <v>935</v>
      </c>
      <c r="J255" t="s">
        <v>293</v>
      </c>
      <c r="K255" s="2">
        <v>1</v>
      </c>
      <c r="L255" t="s">
        <v>863</v>
      </c>
      <c r="M255">
        <v>25</v>
      </c>
      <c r="N255" s="152">
        <v>44927</v>
      </c>
      <c r="O255" s="152" t="s">
        <v>937</v>
      </c>
      <c r="Q255" t="s">
        <v>293</v>
      </c>
      <c r="R255">
        <v>1</v>
      </c>
    </row>
    <row r="256" spans="1:18" x14ac:dyDescent="0.25">
      <c r="A256" t="str">
        <f>TableMJRUSCSTR[[#This Row],[Study Package Code]]</f>
        <v>STRD3000</v>
      </c>
      <c r="B256" s="2">
        <f>TableMJRUSCSTR[[#This Row],[Ver]]</f>
        <v>1</v>
      </c>
      <c r="D256" t="str">
        <f>TableMJRUSCSTR[[#This Row],[Structure Line]]</f>
        <v>Ethics, Leadership and Management</v>
      </c>
      <c r="E256" s="42">
        <f>TableMJRUSCSTR[[#This Row],[Credit Points]]</f>
        <v>25</v>
      </c>
      <c r="F256">
        <v>7</v>
      </c>
      <c r="G256" t="s">
        <v>927</v>
      </c>
      <c r="H256">
        <v>3</v>
      </c>
      <c r="I256" t="s">
        <v>935</v>
      </c>
      <c r="J256" t="s">
        <v>270</v>
      </c>
      <c r="K256" s="2">
        <v>1</v>
      </c>
      <c r="L256" t="s">
        <v>862</v>
      </c>
      <c r="M256">
        <v>25</v>
      </c>
      <c r="N256" s="152">
        <v>44927</v>
      </c>
      <c r="O256" s="152" t="s">
        <v>937</v>
      </c>
      <c r="Q256" t="s">
        <v>270</v>
      </c>
      <c r="R256">
        <v>1</v>
      </c>
    </row>
    <row r="257" spans="1:18" x14ac:dyDescent="0.25">
      <c r="A257" t="str">
        <f>TableMJRUSCSTR[[#This Row],[Study Package Code]]</f>
        <v>STRD3003</v>
      </c>
      <c r="B257" s="2">
        <f>TableMJRUSCSTR[[#This Row],[Ver]]</f>
        <v>1</v>
      </c>
      <c r="D257" t="str">
        <f>TableMJRUSCSTR[[#This Row],[Structure Line]]</f>
        <v>Strategic Analysis Project</v>
      </c>
      <c r="E257" s="42">
        <f>TableMJRUSCSTR[[#This Row],[Credit Points]]</f>
        <v>25</v>
      </c>
      <c r="F257">
        <v>8</v>
      </c>
      <c r="G257" t="s">
        <v>927</v>
      </c>
      <c r="H257">
        <v>3</v>
      </c>
      <c r="I257" t="s">
        <v>935</v>
      </c>
      <c r="J257" t="s">
        <v>294</v>
      </c>
      <c r="K257" s="2">
        <v>1</v>
      </c>
      <c r="L257" t="s">
        <v>865</v>
      </c>
      <c r="M257">
        <v>25</v>
      </c>
      <c r="N257" s="152">
        <v>44927</v>
      </c>
      <c r="O257" s="152" t="s">
        <v>937</v>
      </c>
      <c r="Q257" t="s">
        <v>294</v>
      </c>
      <c r="R257">
        <v>1</v>
      </c>
    </row>
    <row r="258" spans="1:18" x14ac:dyDescent="0.25">
      <c r="A258" s="51"/>
      <c r="B258" s="52"/>
      <c r="C258" s="51"/>
      <c r="D258" s="51"/>
      <c r="E258" s="52"/>
      <c r="F258" s="51"/>
      <c r="G258" s="51"/>
      <c r="H258" s="51"/>
      <c r="I258" s="51"/>
      <c r="J258" s="51"/>
      <c r="K258" s="52"/>
      <c r="L258" s="51"/>
      <c r="M258" s="51"/>
      <c r="N258" s="51"/>
      <c r="O258" s="51"/>
    </row>
    <row r="259" spans="1:18" x14ac:dyDescent="0.25">
      <c r="B259"/>
      <c r="E259"/>
      <c r="F259" s="39"/>
      <c r="G259" s="40" t="s">
        <v>913</v>
      </c>
      <c r="H259" s="183">
        <v>43831</v>
      </c>
      <c r="I259" s="39"/>
      <c r="J259" s="155" t="s">
        <v>313</v>
      </c>
      <c r="K259" s="185" t="s">
        <v>111</v>
      </c>
      <c r="L259" s="155" t="s">
        <v>312</v>
      </c>
      <c r="M259" s="39"/>
      <c r="N259" s="179" t="s">
        <v>914</v>
      </c>
      <c r="O259" s="180">
        <v>45328</v>
      </c>
    </row>
    <row r="260" spans="1:18" x14ac:dyDescent="0.25">
      <c r="A260" t="s">
        <v>0</v>
      </c>
      <c r="B260" s="2" t="s">
        <v>915</v>
      </c>
      <c r="C260" t="s">
        <v>916</v>
      </c>
      <c r="D260" t="s">
        <v>3</v>
      </c>
      <c r="E260" s="42" t="s">
        <v>917</v>
      </c>
      <c r="F260" t="s">
        <v>918</v>
      </c>
      <c r="G260" t="s">
        <v>919</v>
      </c>
      <c r="H260" t="s">
        <v>920</v>
      </c>
      <c r="I260" t="s">
        <v>23</v>
      </c>
      <c r="J260" t="s">
        <v>921</v>
      </c>
      <c r="K260" s="2" t="s">
        <v>1</v>
      </c>
      <c r="L260" t="s">
        <v>922</v>
      </c>
      <c r="M260" t="s">
        <v>86</v>
      </c>
      <c r="N260" t="s">
        <v>923</v>
      </c>
      <c r="O260" t="s">
        <v>924</v>
      </c>
      <c r="Q260" t="s">
        <v>925</v>
      </c>
      <c r="R260" t="s">
        <v>926</v>
      </c>
    </row>
    <row r="261" spans="1:18" x14ac:dyDescent="0.25">
      <c r="A261" t="str">
        <f>TableMJRUBSLAW[[#This Row],[Study Package Code]]</f>
        <v>BLAW1006</v>
      </c>
      <c r="B261" s="2">
        <f>TableMJRUBSLAW[[#This Row],[Ver]]</f>
        <v>1</v>
      </c>
      <c r="D261" t="str">
        <f>TableMJRUBSLAW[[#This Row],[Structure Line]]</f>
        <v>Introduction to Business Law</v>
      </c>
      <c r="E261" s="42">
        <f>TableMJRUBSLAW[[#This Row],[Credit Points]]</f>
        <v>25</v>
      </c>
      <c r="F261">
        <v>1</v>
      </c>
      <c r="G261" t="s">
        <v>927</v>
      </c>
      <c r="H261">
        <v>1</v>
      </c>
      <c r="I261" t="s">
        <v>934</v>
      </c>
      <c r="J261" t="s">
        <v>380</v>
      </c>
      <c r="K261" s="2">
        <v>1</v>
      </c>
      <c r="L261" t="s">
        <v>538</v>
      </c>
      <c r="M261">
        <v>25</v>
      </c>
      <c r="N261" s="152">
        <v>44013</v>
      </c>
      <c r="O261" s="152" t="s">
        <v>937</v>
      </c>
      <c r="Q261" t="s">
        <v>380</v>
      </c>
      <c r="R261">
        <v>1</v>
      </c>
    </row>
    <row r="262" spans="1:18" x14ac:dyDescent="0.25">
      <c r="A262" t="str">
        <f>TableMJRUBSLAW[[#This Row],[Study Package Code]]</f>
        <v>BLAW2012</v>
      </c>
      <c r="B262" s="2">
        <f>TableMJRUBSLAW[[#This Row],[Ver]]</f>
        <v>1</v>
      </c>
      <c r="D262" t="str">
        <f>TableMJRUBSLAW[[#This Row],[Structure Line]]</f>
        <v>Applied Contract Law</v>
      </c>
      <c r="E262" s="42">
        <f>TableMJRUBSLAW[[#This Row],[Credit Points]]</f>
        <v>25</v>
      </c>
      <c r="F262">
        <v>2</v>
      </c>
      <c r="G262" t="s">
        <v>927</v>
      </c>
      <c r="H262">
        <v>2</v>
      </c>
      <c r="I262" t="s">
        <v>928</v>
      </c>
      <c r="J262" t="s">
        <v>391</v>
      </c>
      <c r="K262" s="2">
        <v>1</v>
      </c>
      <c r="L262" t="s">
        <v>544</v>
      </c>
      <c r="M262">
        <v>25</v>
      </c>
      <c r="N262" s="152">
        <v>42005</v>
      </c>
      <c r="O262" s="152" t="s">
        <v>937</v>
      </c>
      <c r="Q262" t="s">
        <v>391</v>
      </c>
      <c r="R262">
        <v>1</v>
      </c>
    </row>
    <row r="263" spans="1:18" x14ac:dyDescent="0.25">
      <c r="A263" t="str">
        <f>TableMJRUBSLAW[[#This Row],[Study Package Code]]</f>
        <v>BLAW2006</v>
      </c>
      <c r="B263" s="2">
        <f>TableMJRUBSLAW[[#This Row],[Ver]]</f>
        <v>1</v>
      </c>
      <c r="D263" t="str">
        <f>TableMJRUBSLAW[[#This Row],[Structure Line]]</f>
        <v>Company Law for Business</v>
      </c>
      <c r="E263" s="42">
        <f>TableMJRUBSLAW[[#This Row],[Credit Points]]</f>
        <v>25</v>
      </c>
      <c r="F263">
        <v>3</v>
      </c>
      <c r="G263" t="s">
        <v>927</v>
      </c>
      <c r="H263">
        <v>2</v>
      </c>
      <c r="I263" t="s">
        <v>928</v>
      </c>
      <c r="J263" t="s">
        <v>413</v>
      </c>
      <c r="K263" s="2">
        <v>1</v>
      </c>
      <c r="L263" t="s">
        <v>539</v>
      </c>
      <c r="M263">
        <v>25</v>
      </c>
      <c r="N263" s="152">
        <v>42005</v>
      </c>
      <c r="O263" s="152" t="s">
        <v>937</v>
      </c>
      <c r="Q263" t="s">
        <v>413</v>
      </c>
      <c r="R263">
        <v>1</v>
      </c>
    </row>
    <row r="264" spans="1:18" x14ac:dyDescent="0.25">
      <c r="A264" t="str">
        <f>TableMJRUBSLAW[[#This Row],[Study Package Code]]</f>
        <v>BLAW2010</v>
      </c>
      <c r="B264" s="2">
        <f>TableMJRUBSLAW[[#This Row],[Ver]]</f>
        <v>1</v>
      </c>
      <c r="D264" t="str">
        <f>TableMJRUBSLAW[[#This Row],[Structure Line]]</f>
        <v>Practical Consumer and Competition Law</v>
      </c>
      <c r="E264" s="42">
        <f>TableMJRUBSLAW[[#This Row],[Credit Points]]</f>
        <v>25</v>
      </c>
      <c r="F264">
        <v>4</v>
      </c>
      <c r="G264" t="s">
        <v>927</v>
      </c>
      <c r="H264">
        <v>2</v>
      </c>
      <c r="I264" t="s">
        <v>934</v>
      </c>
      <c r="J264" t="s">
        <v>392</v>
      </c>
      <c r="K264" s="2">
        <v>1</v>
      </c>
      <c r="L264" t="s">
        <v>541</v>
      </c>
      <c r="M264">
        <v>25</v>
      </c>
      <c r="N264" s="152">
        <v>42005</v>
      </c>
      <c r="O264" s="152" t="s">
        <v>937</v>
      </c>
      <c r="Q264" t="s">
        <v>392</v>
      </c>
      <c r="R264">
        <v>1</v>
      </c>
    </row>
    <row r="265" spans="1:18" x14ac:dyDescent="0.25">
      <c r="A265" t="str">
        <f>TableMJRUBSLAW[[#This Row],[Study Package Code]]</f>
        <v>BLAW2009</v>
      </c>
      <c r="B265" s="2">
        <f>TableMJRUBSLAW[[#This Row],[Ver]]</f>
        <v>1</v>
      </c>
      <c r="D265" t="str">
        <f>TableMJRUBSLAW[[#This Row],[Structure Line]]</f>
        <v>Property Law for Business</v>
      </c>
      <c r="E265" s="42">
        <f>TableMJRUBSLAW[[#This Row],[Credit Points]]</f>
        <v>25</v>
      </c>
      <c r="F265">
        <v>5</v>
      </c>
      <c r="G265" t="s">
        <v>927</v>
      </c>
      <c r="H265">
        <v>2</v>
      </c>
      <c r="I265" t="s">
        <v>934</v>
      </c>
      <c r="J265" t="s">
        <v>414</v>
      </c>
      <c r="K265" s="2">
        <v>1</v>
      </c>
      <c r="L265" t="s">
        <v>540</v>
      </c>
      <c r="M265">
        <v>25</v>
      </c>
      <c r="N265" s="152">
        <v>42005</v>
      </c>
      <c r="O265" s="152" t="s">
        <v>937</v>
      </c>
      <c r="Q265" t="s">
        <v>414</v>
      </c>
      <c r="R265">
        <v>1</v>
      </c>
    </row>
    <row r="266" spans="1:18" x14ac:dyDescent="0.25">
      <c r="A266" t="str">
        <f>TableMJRUBSLAW[[#This Row],[Study Package Code]]</f>
        <v>BLAW3004</v>
      </c>
      <c r="B266" s="2">
        <f>TableMJRUBSLAW[[#This Row],[Ver]]</f>
        <v>1</v>
      </c>
      <c r="D266" t="str">
        <f>TableMJRUBSLAW[[#This Row],[Structure Line]]</f>
        <v>Business Intellectual Property</v>
      </c>
      <c r="E266" s="42">
        <f>TableMJRUBSLAW[[#This Row],[Credit Points]]</f>
        <v>25</v>
      </c>
      <c r="F266">
        <v>6</v>
      </c>
      <c r="G266" t="s">
        <v>927</v>
      </c>
      <c r="H266">
        <v>3</v>
      </c>
      <c r="I266" t="s">
        <v>928</v>
      </c>
      <c r="J266" t="s">
        <v>441</v>
      </c>
      <c r="K266" s="2">
        <v>1</v>
      </c>
      <c r="L266" t="s">
        <v>546</v>
      </c>
      <c r="M266">
        <v>25</v>
      </c>
      <c r="N266" s="152">
        <v>42005</v>
      </c>
      <c r="O266" s="152" t="s">
        <v>937</v>
      </c>
      <c r="Q266" t="s">
        <v>441</v>
      </c>
      <c r="R266">
        <v>1</v>
      </c>
    </row>
    <row r="267" spans="1:18" x14ac:dyDescent="0.25">
      <c r="A267" t="str">
        <f>TableMJRUBSLAW[[#This Row],[Study Package Code]]</f>
        <v>BLAW2014</v>
      </c>
      <c r="B267" s="2">
        <f>TableMJRUBSLAW[[#This Row],[Ver]]</f>
        <v>1</v>
      </c>
      <c r="D267" t="str">
        <f>TableMJRUBSLAW[[#This Row],[Structure Line]]</f>
        <v>Tort Liability for Business</v>
      </c>
      <c r="E267" s="42">
        <f>TableMJRUBSLAW[[#This Row],[Credit Points]]</f>
        <v>25</v>
      </c>
      <c r="F267">
        <v>7</v>
      </c>
      <c r="G267" t="s">
        <v>927</v>
      </c>
      <c r="H267">
        <v>3</v>
      </c>
      <c r="I267" t="s">
        <v>928</v>
      </c>
      <c r="J267" t="s">
        <v>460</v>
      </c>
      <c r="K267" s="2">
        <v>1</v>
      </c>
      <c r="L267" t="s">
        <v>545</v>
      </c>
      <c r="M267">
        <v>25</v>
      </c>
      <c r="N267" s="152">
        <v>42005</v>
      </c>
      <c r="O267" s="152" t="s">
        <v>937</v>
      </c>
      <c r="Q267" t="s">
        <v>460</v>
      </c>
      <c r="R267">
        <v>1</v>
      </c>
    </row>
    <row r="268" spans="1:18" x14ac:dyDescent="0.25">
      <c r="A268" t="str">
        <f>TableMJRUBSLAW[[#This Row],[Study Package Code]]</f>
        <v>AC-BSLAW</v>
      </c>
      <c r="B268" s="2">
        <f>TableMJRUBSLAW[[#This Row],[Ver]]</f>
        <v>0</v>
      </c>
      <c r="D268" t="str">
        <f>TableMJRUBSLAW[[#This Row],[Structure Line]]</f>
        <v>Choose TAXA3007 or BLAW3005</v>
      </c>
      <c r="E268" s="42">
        <f>TableMJRUBSLAW[[#This Row],[Credit Points]]</f>
        <v>25</v>
      </c>
      <c r="F268">
        <v>8</v>
      </c>
      <c r="G268" t="s">
        <v>947</v>
      </c>
      <c r="H268">
        <v>3</v>
      </c>
      <c r="I268" t="s">
        <v>934</v>
      </c>
      <c r="J268" t="s">
        <v>442</v>
      </c>
      <c r="K268" s="2">
        <v>0</v>
      </c>
      <c r="L268" t="s">
        <v>962</v>
      </c>
      <c r="M268">
        <v>25</v>
      </c>
      <c r="N268" s="152">
        <v>44197</v>
      </c>
      <c r="O268" s="152"/>
      <c r="Q268" t="s">
        <v>963</v>
      </c>
      <c r="R268">
        <v>0</v>
      </c>
    </row>
    <row r="269" spans="1:18" x14ac:dyDescent="0.25">
      <c r="A269" t="str">
        <f>TableMJRUBSLAW[[#This Row],[Study Package Code]]</f>
        <v>BLAW3005</v>
      </c>
      <c r="B269" s="2">
        <f>TableMJRUBSLAW[[#This Row],[Ver]]</f>
        <v>1</v>
      </c>
      <c r="D269" t="str">
        <f>TableMJRUBSLAW[[#This Row],[Structure Line]]</f>
        <v>Practical Employment Law</v>
      </c>
      <c r="E269" s="42">
        <f>TableMJRUBSLAW[[#This Row],[Credit Points]]</f>
        <v>25</v>
      </c>
      <c r="F269">
        <v>8</v>
      </c>
      <c r="G269" t="s">
        <v>947</v>
      </c>
      <c r="H269">
        <v>3</v>
      </c>
      <c r="I269" t="s">
        <v>934</v>
      </c>
      <c r="J269" t="s">
        <v>477</v>
      </c>
      <c r="K269" s="2">
        <v>1</v>
      </c>
      <c r="L269" t="s">
        <v>548</v>
      </c>
      <c r="M269">
        <v>25</v>
      </c>
      <c r="N269" s="152">
        <v>42005</v>
      </c>
      <c r="O269" s="152"/>
      <c r="Q269" t="s">
        <v>477</v>
      </c>
      <c r="R269">
        <v>1</v>
      </c>
    </row>
    <row r="270" spans="1:18" x14ac:dyDescent="0.25">
      <c r="A270" t="str">
        <f>TableMJRUBSLAW[[#This Row],[Study Package Code]]</f>
        <v>TAXA3007</v>
      </c>
      <c r="B270" s="2">
        <f>TableMJRUBSLAW[[#This Row],[Ver]]</f>
        <v>2</v>
      </c>
      <c r="D270" t="str">
        <f>TableMJRUBSLAW[[#This Row],[Structure Line]]</f>
        <v>Elementary Australian Taxation Law</v>
      </c>
      <c r="E270" s="42">
        <f>TableMJRUBSLAW[[#This Row],[Credit Points]]</f>
        <v>25</v>
      </c>
      <c r="F270">
        <v>8</v>
      </c>
      <c r="G270" t="s">
        <v>947</v>
      </c>
      <c r="H270">
        <v>3</v>
      </c>
      <c r="I270" t="s">
        <v>934</v>
      </c>
      <c r="J270" t="s">
        <v>484</v>
      </c>
      <c r="K270" s="2">
        <v>2</v>
      </c>
      <c r="L270" t="s">
        <v>867</v>
      </c>
      <c r="M270">
        <v>25</v>
      </c>
      <c r="N270" s="152">
        <v>44197</v>
      </c>
      <c r="O270" s="152"/>
      <c r="Q270" t="s">
        <v>484</v>
      </c>
      <c r="R270">
        <v>2</v>
      </c>
    </row>
    <row r="271" spans="1:18" x14ac:dyDescent="0.25">
      <c r="B271"/>
      <c r="E271"/>
      <c r="F271" s="39"/>
      <c r="G271" s="40" t="s">
        <v>913</v>
      </c>
      <c r="H271" s="156">
        <v>45292</v>
      </c>
      <c r="I271" s="39"/>
      <c r="J271" s="155" t="s">
        <v>315</v>
      </c>
      <c r="K271" s="159" t="s">
        <v>111</v>
      </c>
      <c r="L271" s="155" t="s">
        <v>314</v>
      </c>
      <c r="M271" s="39"/>
      <c r="N271" s="179" t="s">
        <v>914</v>
      </c>
      <c r="O271" s="180">
        <v>45328</v>
      </c>
    </row>
    <row r="272" spans="1:18" x14ac:dyDescent="0.25">
      <c r="A272" t="s">
        <v>0</v>
      </c>
      <c r="B272" s="2" t="s">
        <v>915</v>
      </c>
      <c r="C272" t="s">
        <v>916</v>
      </c>
      <c r="D272" t="s">
        <v>3</v>
      </c>
      <c r="E272" s="42" t="s">
        <v>917</v>
      </c>
      <c r="F272" t="s">
        <v>918</v>
      </c>
      <c r="G272" t="s">
        <v>919</v>
      </c>
      <c r="H272" t="s">
        <v>920</v>
      </c>
      <c r="I272" t="s">
        <v>23</v>
      </c>
      <c r="J272" t="s">
        <v>921</v>
      </c>
      <c r="K272" s="2" t="s">
        <v>1</v>
      </c>
      <c r="L272" t="s">
        <v>922</v>
      </c>
      <c r="M272" t="s">
        <v>86</v>
      </c>
      <c r="N272" t="s">
        <v>923</v>
      </c>
      <c r="O272" t="s">
        <v>924</v>
      </c>
      <c r="Q272" t="s">
        <v>925</v>
      </c>
      <c r="R272" t="s">
        <v>926</v>
      </c>
    </row>
    <row r="273" spans="1:18" x14ac:dyDescent="0.25">
      <c r="A273" t="str">
        <f>TableMJRUECONS[[#This Row],[Study Package Code]]</f>
        <v>ECON1000</v>
      </c>
      <c r="B273" s="2">
        <f>TableMJRUECONS[[#This Row],[Ver]]</f>
        <v>1</v>
      </c>
      <c r="D273" t="str">
        <f>TableMJRUECONS[[#This Row],[Structure Line]]</f>
        <v>Introductory Economics</v>
      </c>
      <c r="E273" s="42">
        <f>TableMJRUECONS[[#This Row],[Credit Points]]</f>
        <v>25</v>
      </c>
      <c r="F273">
        <v>1</v>
      </c>
      <c r="G273" t="s">
        <v>927</v>
      </c>
      <c r="H273">
        <v>1</v>
      </c>
      <c r="I273" t="s">
        <v>934</v>
      </c>
      <c r="J273" t="s">
        <v>381</v>
      </c>
      <c r="K273" s="2">
        <v>1</v>
      </c>
      <c r="L273" t="s">
        <v>581</v>
      </c>
      <c r="M273">
        <v>25</v>
      </c>
      <c r="N273" s="152">
        <v>42005</v>
      </c>
      <c r="O273" s="152" t="s">
        <v>937</v>
      </c>
      <c r="Q273" t="s">
        <v>381</v>
      </c>
      <c r="R273">
        <v>1</v>
      </c>
    </row>
    <row r="274" spans="1:18" x14ac:dyDescent="0.25">
      <c r="A274" t="str">
        <f>TableMJRUECONS[[#This Row],[Study Package Code]]</f>
        <v>ECON2004</v>
      </c>
      <c r="B274" s="2">
        <f>TableMJRUECONS[[#This Row],[Ver]]</f>
        <v>1</v>
      </c>
      <c r="D274" t="str">
        <f>TableMJRUECONS[[#This Row],[Structure Line]]</f>
        <v>Microeconomic Principles</v>
      </c>
      <c r="E274" s="42">
        <f>TableMJRUECONS[[#This Row],[Credit Points]]</f>
        <v>25</v>
      </c>
      <c r="F274">
        <v>2</v>
      </c>
      <c r="G274" t="s">
        <v>927</v>
      </c>
      <c r="H274">
        <v>2</v>
      </c>
      <c r="I274" t="s">
        <v>928</v>
      </c>
      <c r="J274" t="s">
        <v>393</v>
      </c>
      <c r="K274" s="2">
        <v>1</v>
      </c>
      <c r="L274" t="s">
        <v>583</v>
      </c>
      <c r="M274">
        <v>25</v>
      </c>
      <c r="N274" s="152">
        <v>42005</v>
      </c>
      <c r="O274" s="152" t="s">
        <v>937</v>
      </c>
      <c r="Q274" t="s">
        <v>393</v>
      </c>
      <c r="R274">
        <v>1</v>
      </c>
    </row>
    <row r="275" spans="1:18" x14ac:dyDescent="0.25">
      <c r="A275" t="str">
        <f>TableMJRUECONS[[#This Row],[Study Package Code]]</f>
        <v>ECOM2001</v>
      </c>
      <c r="B275" s="2">
        <f>TableMJRUECONS[[#This Row],[Ver]]</f>
        <v>1</v>
      </c>
      <c r="D275" t="str">
        <f>TableMJRUECONS[[#This Row],[Structure Line]]</f>
        <v>Quantitative Techniques for Business</v>
      </c>
      <c r="E275" s="42">
        <f>TableMJRUECONS[[#This Row],[Credit Points]]</f>
        <v>25</v>
      </c>
      <c r="F275">
        <v>3</v>
      </c>
      <c r="G275" t="s">
        <v>927</v>
      </c>
      <c r="H275">
        <v>2</v>
      </c>
      <c r="I275" t="s">
        <v>928</v>
      </c>
      <c r="J275" t="s">
        <v>415</v>
      </c>
      <c r="K275" s="2">
        <v>1</v>
      </c>
      <c r="L275" t="s">
        <v>580</v>
      </c>
      <c r="M275">
        <v>25</v>
      </c>
      <c r="N275" s="152">
        <v>42005</v>
      </c>
      <c r="O275" s="152" t="s">
        <v>937</v>
      </c>
      <c r="Q275" t="s">
        <v>415</v>
      </c>
      <c r="R275">
        <v>1</v>
      </c>
    </row>
    <row r="276" spans="1:18" x14ac:dyDescent="0.25">
      <c r="A276" t="str">
        <f>TableMJRUECONS[[#This Row],[Study Package Code]]</f>
        <v>ECON2001</v>
      </c>
      <c r="B276" s="2">
        <f>TableMJRUECONS[[#This Row],[Ver]]</f>
        <v>1</v>
      </c>
      <c r="D276" t="str">
        <f>TableMJRUECONS[[#This Row],[Structure Line]]</f>
        <v>Macroeconomic Principles</v>
      </c>
      <c r="E276" s="42">
        <f>TableMJRUECONS[[#This Row],[Credit Points]]</f>
        <v>25</v>
      </c>
      <c r="F276">
        <v>4</v>
      </c>
      <c r="G276" t="s">
        <v>927</v>
      </c>
      <c r="H276">
        <v>2</v>
      </c>
      <c r="I276" t="s">
        <v>934</v>
      </c>
      <c r="J276" t="s">
        <v>394</v>
      </c>
      <c r="K276" s="2">
        <v>1</v>
      </c>
      <c r="L276" t="s">
        <v>582</v>
      </c>
      <c r="M276">
        <v>25</v>
      </c>
      <c r="N276" s="152">
        <v>42005</v>
      </c>
      <c r="O276" s="152" t="s">
        <v>937</v>
      </c>
      <c r="Q276" t="s">
        <v>394</v>
      </c>
      <c r="R276">
        <v>1</v>
      </c>
    </row>
    <row r="277" spans="1:18" x14ac:dyDescent="0.25">
      <c r="A277" t="str">
        <f>TableMJRUECONS[[#This Row],[Study Package Code]]</f>
        <v>AC-ECONSY2</v>
      </c>
      <c r="B277" s="2">
        <f>TableMJRUECONS[[#This Row],[Ver]]</f>
        <v>0</v>
      </c>
      <c r="D277" t="str">
        <f>TableMJRUECONS[[#This Row],[Structure Line]]</f>
        <v>Choose ECOM2000 or ECON2006 or ECON2007</v>
      </c>
      <c r="E277" s="42">
        <f>TableMJRUECONS[[#This Row],[Credit Points]]</f>
        <v>25</v>
      </c>
      <c r="F277">
        <v>5</v>
      </c>
      <c r="G277" t="s">
        <v>947</v>
      </c>
      <c r="H277">
        <v>2</v>
      </c>
      <c r="I277" t="s">
        <v>934</v>
      </c>
      <c r="J277" t="s">
        <v>438</v>
      </c>
      <c r="K277" s="2">
        <v>0</v>
      </c>
      <c r="L277" t="s">
        <v>964</v>
      </c>
      <c r="M277">
        <v>25</v>
      </c>
      <c r="N277" s="152"/>
      <c r="O277" s="152"/>
      <c r="Q277" t="s">
        <v>965</v>
      </c>
      <c r="R277">
        <v>0</v>
      </c>
    </row>
    <row r="278" spans="1:18" x14ac:dyDescent="0.25">
      <c r="A278" t="str">
        <f>TableMJRUECONS[[#This Row],[Study Package Code]]</f>
        <v>ECON3004</v>
      </c>
      <c r="B278" s="2">
        <f>TableMJRUECONS[[#This Row],[Ver]]</f>
        <v>1</v>
      </c>
      <c r="D278" t="str">
        <f>TableMJRUECONS[[#This Row],[Structure Line]]</f>
        <v>Macroeconomic Theory</v>
      </c>
      <c r="E278" s="42">
        <f>TableMJRUECONS[[#This Row],[Credit Points]]</f>
        <v>25</v>
      </c>
      <c r="F278">
        <v>6</v>
      </c>
      <c r="G278" t="s">
        <v>927</v>
      </c>
      <c r="H278">
        <v>3</v>
      </c>
      <c r="I278" t="s">
        <v>928</v>
      </c>
      <c r="J278" t="s">
        <v>444</v>
      </c>
      <c r="K278" s="2">
        <v>1</v>
      </c>
      <c r="L278" t="s">
        <v>591</v>
      </c>
      <c r="M278">
        <v>25</v>
      </c>
      <c r="N278" s="152">
        <v>42005</v>
      </c>
      <c r="O278" s="152" t="s">
        <v>937</v>
      </c>
      <c r="Q278" t="s">
        <v>444</v>
      </c>
      <c r="R278">
        <v>1</v>
      </c>
    </row>
    <row r="279" spans="1:18" x14ac:dyDescent="0.25">
      <c r="A279" t="str">
        <f>TableMJRUECONS[[#This Row],[Study Package Code]]</f>
        <v>ECON3000</v>
      </c>
      <c r="B279" s="2">
        <f>TableMJRUECONS[[#This Row],[Ver]]</f>
        <v>1</v>
      </c>
      <c r="D279" t="str">
        <f>TableMJRUECONS[[#This Row],[Structure Line]]</f>
        <v>Microeconomic Theory</v>
      </c>
      <c r="E279" s="42">
        <f>TableMJRUECONS[[#This Row],[Credit Points]]</f>
        <v>25</v>
      </c>
      <c r="F279">
        <v>7</v>
      </c>
      <c r="G279" t="s">
        <v>927</v>
      </c>
      <c r="H279">
        <v>3</v>
      </c>
      <c r="I279" t="s">
        <v>928</v>
      </c>
      <c r="J279" t="s">
        <v>443</v>
      </c>
      <c r="K279" s="2">
        <v>1</v>
      </c>
      <c r="L279" t="s">
        <v>587</v>
      </c>
      <c r="M279">
        <v>25</v>
      </c>
      <c r="N279" s="152">
        <v>42005</v>
      </c>
      <c r="O279" s="152" t="s">
        <v>937</v>
      </c>
      <c r="Q279" t="s">
        <v>443</v>
      </c>
      <c r="R279">
        <v>1</v>
      </c>
    </row>
    <row r="280" spans="1:18" x14ac:dyDescent="0.25">
      <c r="A280" t="str">
        <f>TableMJRUECONS[[#This Row],[Study Package Code]]</f>
        <v>AC-ECONSY3</v>
      </c>
      <c r="B280" s="2">
        <f>TableMJRUECONS[[#This Row],[Ver]]</f>
        <v>0</v>
      </c>
      <c r="D280" t="str">
        <f>TableMJRUECONS[[#This Row],[Structure Line]]</f>
        <v>Choose ECON3002 or ECON3007</v>
      </c>
      <c r="E280" s="42">
        <f>TableMJRUECONS[[#This Row],[Credit Points]]</f>
        <v>25</v>
      </c>
      <c r="F280">
        <v>8</v>
      </c>
      <c r="G280" t="s">
        <v>947</v>
      </c>
      <c r="H280">
        <v>3</v>
      </c>
      <c r="I280" t="s">
        <v>934</v>
      </c>
      <c r="J280" t="s">
        <v>461</v>
      </c>
      <c r="K280" s="2">
        <v>0</v>
      </c>
      <c r="L280" t="s">
        <v>966</v>
      </c>
      <c r="M280">
        <v>25</v>
      </c>
      <c r="N280" s="152"/>
      <c r="O280" s="152"/>
      <c r="Q280" t="s">
        <v>967</v>
      </c>
      <c r="R280">
        <v>0</v>
      </c>
    </row>
    <row r="281" spans="1:18" x14ac:dyDescent="0.25">
      <c r="A281" t="str">
        <f>TableMJRUECONS[[#This Row],[Study Package Code]]</f>
        <v>ECOM2000</v>
      </c>
      <c r="B281" s="2">
        <f>TableMJRUECONS[[#This Row],[Ver]]</f>
        <v>1</v>
      </c>
      <c r="D281" t="str">
        <f>TableMJRUECONS[[#This Row],[Structure Line]]</f>
        <v>Econometric Principles</v>
      </c>
      <c r="E281" s="42">
        <f>TableMJRUECONS[[#This Row],[Credit Points]]</f>
        <v>25</v>
      </c>
      <c r="F281">
        <v>5</v>
      </c>
      <c r="G281" t="s">
        <v>947</v>
      </c>
      <c r="H281">
        <v>2</v>
      </c>
      <c r="I281" t="s">
        <v>934</v>
      </c>
      <c r="J281" t="s">
        <v>478</v>
      </c>
      <c r="K281" s="2">
        <v>1</v>
      </c>
      <c r="L281" t="s">
        <v>578</v>
      </c>
      <c r="M281">
        <v>25</v>
      </c>
      <c r="N281" s="152">
        <v>42005</v>
      </c>
      <c r="O281" s="152"/>
      <c r="Q281" t="s">
        <v>478</v>
      </c>
      <c r="R281">
        <v>1</v>
      </c>
    </row>
    <row r="282" spans="1:18" x14ac:dyDescent="0.25">
      <c r="A282" t="str">
        <f>TableMJRUECONS[[#This Row],[Study Package Code]]</f>
        <v>ECON2006</v>
      </c>
      <c r="B282" s="2">
        <f>TableMJRUECONS[[#This Row],[Ver]]</f>
        <v>1</v>
      </c>
      <c r="D282" t="str">
        <f>TableMJRUECONS[[#This Row],[Structure Line]]</f>
        <v>Applied Economics</v>
      </c>
      <c r="E282" s="42">
        <f>TableMJRUECONS[[#This Row],[Credit Points]]</f>
        <v>25</v>
      </c>
      <c r="F282">
        <v>5</v>
      </c>
      <c r="G282" t="s">
        <v>947</v>
      </c>
      <c r="H282">
        <v>2</v>
      </c>
      <c r="I282" t="s">
        <v>934</v>
      </c>
      <c r="J282" t="s">
        <v>485</v>
      </c>
      <c r="K282" s="2">
        <v>1</v>
      </c>
      <c r="L282" t="s">
        <v>584</v>
      </c>
      <c r="M282">
        <v>25</v>
      </c>
      <c r="N282" s="152">
        <v>42370</v>
      </c>
      <c r="O282" s="152"/>
      <c r="Q282" t="s">
        <v>485</v>
      </c>
      <c r="R282">
        <v>1</v>
      </c>
    </row>
    <row r="283" spans="1:18" x14ac:dyDescent="0.25">
      <c r="A283" t="str">
        <f>TableMJRUECONS[[#This Row],[Study Package Code]]</f>
        <v>ECON2007</v>
      </c>
      <c r="B283" s="2">
        <f>TableMJRUECONS[[#This Row],[Ver]]</f>
        <v>1</v>
      </c>
      <c r="D283" t="str">
        <f>TableMJRUECONS[[#This Row],[Structure Line]]</f>
        <v>Behavioural Economics and Finance</v>
      </c>
      <c r="E283" s="42">
        <f>TableMJRUECONS[[#This Row],[Credit Points]]</f>
        <v>25</v>
      </c>
      <c r="F283">
        <v>5</v>
      </c>
      <c r="G283" t="s">
        <v>947</v>
      </c>
      <c r="H283">
        <v>2</v>
      </c>
      <c r="I283" t="s">
        <v>934</v>
      </c>
      <c r="J283" t="s">
        <v>486</v>
      </c>
      <c r="K283" s="2">
        <v>1</v>
      </c>
      <c r="L283" t="s">
        <v>586</v>
      </c>
      <c r="M283">
        <v>25</v>
      </c>
      <c r="N283" s="152">
        <v>43466</v>
      </c>
      <c r="O283" s="152"/>
      <c r="Q283" t="s">
        <v>486</v>
      </c>
      <c r="R283">
        <v>1</v>
      </c>
    </row>
    <row r="284" spans="1:18" x14ac:dyDescent="0.25">
      <c r="A284" t="str">
        <f>TableMJRUECONS[[#This Row],[Study Package Code]]</f>
        <v>ECON3002</v>
      </c>
      <c r="B284" s="2">
        <f>TableMJRUECONS[[#This Row],[Ver]]</f>
        <v>2</v>
      </c>
      <c r="D284" t="str">
        <f>TableMJRUECONS[[#This Row],[Structure Line]]</f>
        <v>Economic Modelling</v>
      </c>
      <c r="E284" s="42">
        <f>TableMJRUECONS[[#This Row],[Credit Points]]</f>
        <v>25</v>
      </c>
      <c r="F284">
        <v>8</v>
      </c>
      <c r="G284" t="s">
        <v>947</v>
      </c>
      <c r="H284">
        <v>3</v>
      </c>
      <c r="I284" t="s">
        <v>934</v>
      </c>
      <c r="J284" t="s">
        <v>494</v>
      </c>
      <c r="K284" s="2">
        <v>2</v>
      </c>
      <c r="L284" t="s">
        <v>589</v>
      </c>
      <c r="M284">
        <v>25</v>
      </c>
      <c r="N284" s="152">
        <v>42370</v>
      </c>
      <c r="O284" s="152"/>
      <c r="Q284" t="s">
        <v>494</v>
      </c>
      <c r="R284">
        <v>2</v>
      </c>
    </row>
    <row r="285" spans="1:18" x14ac:dyDescent="0.25">
      <c r="A285" t="str">
        <f>TableMJRUECONS[[#This Row],[Study Package Code]]</f>
        <v>ECON3007</v>
      </c>
      <c r="B285" s="2">
        <f>TableMJRUECONS[[#This Row],[Ver]]</f>
        <v>1</v>
      </c>
      <c r="D285" t="str">
        <f>TableMJRUECONS[[#This Row],[Structure Line]]</f>
        <v>Advanced Applied Economics</v>
      </c>
      <c r="E285" s="42">
        <f>TableMJRUECONS[[#This Row],[Credit Points]]</f>
        <v>25</v>
      </c>
      <c r="F285">
        <v>8</v>
      </c>
      <c r="G285" t="s">
        <v>947</v>
      </c>
      <c r="H285">
        <v>3</v>
      </c>
      <c r="I285" t="s">
        <v>934</v>
      </c>
      <c r="J285" t="s">
        <v>496</v>
      </c>
      <c r="K285" s="2">
        <v>1</v>
      </c>
      <c r="L285" t="s">
        <v>592</v>
      </c>
      <c r="M285">
        <v>25</v>
      </c>
      <c r="N285" s="152">
        <v>42370</v>
      </c>
      <c r="O285" s="152"/>
      <c r="Q285" t="s">
        <v>496</v>
      </c>
      <c r="R285">
        <v>1</v>
      </c>
    </row>
    <row r="286" spans="1:18" x14ac:dyDescent="0.25">
      <c r="B286"/>
      <c r="E286"/>
      <c r="F286" s="39"/>
      <c r="G286" s="40" t="s">
        <v>913</v>
      </c>
      <c r="H286" s="183">
        <v>43831</v>
      </c>
      <c r="I286" s="39"/>
      <c r="J286" s="155" t="s">
        <v>347</v>
      </c>
      <c r="K286" s="41" t="s">
        <v>116</v>
      </c>
      <c r="L286" s="39" t="s">
        <v>346</v>
      </c>
      <c r="M286" s="39"/>
      <c r="N286" s="179" t="s">
        <v>914</v>
      </c>
      <c r="O286" s="180">
        <v>45328</v>
      </c>
    </row>
    <row r="287" spans="1:18" x14ac:dyDescent="0.25">
      <c r="A287" t="s">
        <v>0</v>
      </c>
      <c r="B287" s="2" t="s">
        <v>915</v>
      </c>
      <c r="C287" t="s">
        <v>916</v>
      </c>
      <c r="D287" t="s">
        <v>3</v>
      </c>
      <c r="E287" s="42" t="s">
        <v>917</v>
      </c>
      <c r="F287" t="s">
        <v>918</v>
      </c>
      <c r="G287" t="s">
        <v>919</v>
      </c>
      <c r="H287" t="s">
        <v>920</v>
      </c>
      <c r="I287" t="s">
        <v>23</v>
      </c>
      <c r="J287" t="s">
        <v>921</v>
      </c>
      <c r="K287" s="2" t="s">
        <v>1</v>
      </c>
      <c r="L287" t="s">
        <v>922</v>
      </c>
      <c r="M287" t="s">
        <v>86</v>
      </c>
      <c r="N287" t="s">
        <v>923</v>
      </c>
      <c r="O287" t="s">
        <v>924</v>
      </c>
      <c r="Q287" t="s">
        <v>925</v>
      </c>
      <c r="R287" t="s">
        <v>926</v>
      </c>
    </row>
    <row r="288" spans="1:18" x14ac:dyDescent="0.25">
      <c r="A288" t="str">
        <f>TableMJRUFINAR[[#This Row],[Study Package Code]]</f>
        <v>VISA2004</v>
      </c>
      <c r="B288" s="2">
        <f>TableMJRUFINAR[[#This Row],[Ver]]</f>
        <v>2</v>
      </c>
      <c r="D288" t="str">
        <f>TableMJRUFINAR[[#This Row],[Structure Line]]</f>
        <v>Fine Art Studio Strategies</v>
      </c>
      <c r="E288" s="42">
        <f>TableMJRUFINAR[[#This Row],[Credit Points]]</f>
        <v>25</v>
      </c>
      <c r="F288">
        <v>1</v>
      </c>
      <c r="G288" t="s">
        <v>927</v>
      </c>
      <c r="H288">
        <v>2</v>
      </c>
      <c r="I288" t="s">
        <v>928</v>
      </c>
      <c r="J288" t="s">
        <v>395</v>
      </c>
      <c r="K288" s="2">
        <v>2</v>
      </c>
      <c r="L288" t="s">
        <v>897</v>
      </c>
      <c r="M288">
        <v>25</v>
      </c>
      <c r="N288" s="152">
        <v>42370</v>
      </c>
      <c r="O288" s="152" t="s">
        <v>937</v>
      </c>
      <c r="Q288" t="s">
        <v>395</v>
      </c>
      <c r="R288">
        <v>2</v>
      </c>
    </row>
    <row r="289" spans="1:18" x14ac:dyDescent="0.25">
      <c r="A289" t="str">
        <f>TableMJRUFINAR[[#This Row],[Study Package Code]]</f>
        <v>VISA2023</v>
      </c>
      <c r="B289" s="2">
        <f>TableMJRUFINAR[[#This Row],[Ver]]</f>
        <v>2</v>
      </c>
      <c r="D289" t="str">
        <f>TableMJRUFINAR[[#This Row],[Structure Line]]</f>
        <v>Fine Art Theory and Criticism</v>
      </c>
      <c r="E289" s="42">
        <f>TableMJRUFINAR[[#This Row],[Credit Points]]</f>
        <v>25</v>
      </c>
      <c r="F289">
        <v>2</v>
      </c>
      <c r="G289" t="s">
        <v>927</v>
      </c>
      <c r="H289">
        <v>2</v>
      </c>
      <c r="I289" t="s">
        <v>928</v>
      </c>
      <c r="J289" t="s">
        <v>416</v>
      </c>
      <c r="K289" s="2">
        <v>2</v>
      </c>
      <c r="L289" t="s">
        <v>902</v>
      </c>
      <c r="M289">
        <v>25</v>
      </c>
      <c r="N289" s="152">
        <v>43831</v>
      </c>
      <c r="O289" s="152" t="s">
        <v>937</v>
      </c>
      <c r="Q289" t="s">
        <v>416</v>
      </c>
      <c r="R289">
        <v>2</v>
      </c>
    </row>
    <row r="290" spans="1:18" x14ac:dyDescent="0.25">
      <c r="A290" t="str">
        <f>TableMJRUFINAR[[#This Row],[Study Package Code]]</f>
        <v>VISA2006</v>
      </c>
      <c r="B290" s="2">
        <f>TableMJRUFINAR[[#This Row],[Ver]]</f>
        <v>2</v>
      </c>
      <c r="D290" t="str">
        <f>TableMJRUFINAR[[#This Row],[Structure Line]]</f>
        <v>Fine Art Studio Extension</v>
      </c>
      <c r="E290" s="42">
        <f>TableMJRUFINAR[[#This Row],[Credit Points]]</f>
        <v>25</v>
      </c>
      <c r="F290">
        <v>3</v>
      </c>
      <c r="G290" t="s">
        <v>927</v>
      </c>
      <c r="H290">
        <v>2</v>
      </c>
      <c r="I290" t="s">
        <v>934</v>
      </c>
      <c r="J290" t="s">
        <v>436</v>
      </c>
      <c r="K290" s="2">
        <v>2</v>
      </c>
      <c r="L290" t="s">
        <v>898</v>
      </c>
      <c r="M290">
        <v>25</v>
      </c>
      <c r="N290" s="152">
        <v>42370</v>
      </c>
      <c r="O290" s="152" t="s">
        <v>937</v>
      </c>
      <c r="Q290" t="s">
        <v>436</v>
      </c>
      <c r="R290">
        <v>2</v>
      </c>
    </row>
    <row r="291" spans="1:18" x14ac:dyDescent="0.25">
      <c r="A291" t="str">
        <f>TableMJRUFINAR[[#This Row],[Study Package Code]]</f>
        <v>VISA2007</v>
      </c>
      <c r="B291" s="2">
        <f>TableMJRUFINAR[[#This Row],[Ver]]</f>
        <v>2</v>
      </c>
      <c r="D291" t="str">
        <f>TableMJRUFINAR[[#This Row],[Structure Line]]</f>
        <v>Fine Art Project</v>
      </c>
      <c r="E291" s="42">
        <f>TableMJRUFINAR[[#This Row],[Credit Points]]</f>
        <v>25</v>
      </c>
      <c r="F291">
        <v>4</v>
      </c>
      <c r="G291" t="s">
        <v>927</v>
      </c>
      <c r="H291">
        <v>2</v>
      </c>
      <c r="I291" t="s">
        <v>934</v>
      </c>
      <c r="J291" t="s">
        <v>439</v>
      </c>
      <c r="K291" s="2">
        <v>2</v>
      </c>
      <c r="L291" t="s">
        <v>900</v>
      </c>
      <c r="M291">
        <v>25</v>
      </c>
      <c r="N291" s="152">
        <v>42370</v>
      </c>
      <c r="O291" s="152" t="s">
        <v>937</v>
      </c>
      <c r="Q291" t="s">
        <v>439</v>
      </c>
      <c r="R291">
        <v>2</v>
      </c>
    </row>
    <row r="292" spans="1:18" x14ac:dyDescent="0.25">
      <c r="A292" t="str">
        <f>TableMJRUFINAR[[#This Row],[Study Package Code]]</f>
        <v>VISA3009</v>
      </c>
      <c r="B292" s="2">
        <f>TableMJRUFINAR[[#This Row],[Ver]]</f>
        <v>2</v>
      </c>
      <c r="D292" t="str">
        <f>TableMJRUFINAR[[#This Row],[Structure Line]]</f>
        <v>Fine Art Project Development</v>
      </c>
      <c r="E292" s="42">
        <f>TableMJRUFINAR[[#This Row],[Credit Points]]</f>
        <v>25</v>
      </c>
      <c r="F292">
        <v>5</v>
      </c>
      <c r="G292" t="s">
        <v>927</v>
      </c>
      <c r="H292">
        <v>3</v>
      </c>
      <c r="I292" s="157" t="s">
        <v>928</v>
      </c>
      <c r="J292" t="s">
        <v>445</v>
      </c>
      <c r="K292" s="2">
        <v>2</v>
      </c>
      <c r="L292" t="s">
        <v>906</v>
      </c>
      <c r="M292">
        <v>25</v>
      </c>
      <c r="N292" s="152">
        <v>42370</v>
      </c>
      <c r="O292" s="152" t="s">
        <v>937</v>
      </c>
      <c r="Q292" t="s">
        <v>445</v>
      </c>
      <c r="R292">
        <v>2</v>
      </c>
    </row>
    <row r="293" spans="1:18" x14ac:dyDescent="0.25">
      <c r="A293" t="str">
        <f>TableMJRUFINAR[[#This Row],[Study Package Code]]</f>
        <v>VISA3006</v>
      </c>
      <c r="B293" s="2">
        <f>TableMJRUFINAR[[#This Row],[Ver]]</f>
        <v>2</v>
      </c>
      <c r="D293" t="str">
        <f>TableMJRUFINAR[[#This Row],[Structure Line]]</f>
        <v>Fine Art Concepts and Contexts</v>
      </c>
      <c r="E293" s="42">
        <f>TableMJRUFINAR[[#This Row],[Credit Points]]</f>
        <v>25</v>
      </c>
      <c r="F293">
        <v>6</v>
      </c>
      <c r="G293" t="s">
        <v>927</v>
      </c>
      <c r="H293">
        <v>3</v>
      </c>
      <c r="I293" s="157" t="s">
        <v>928</v>
      </c>
      <c r="J293" t="s">
        <v>474</v>
      </c>
      <c r="K293" s="2">
        <v>2</v>
      </c>
      <c r="L293" t="s">
        <v>904</v>
      </c>
      <c r="M293">
        <v>25</v>
      </c>
      <c r="N293" s="152">
        <v>43831</v>
      </c>
      <c r="O293" s="152" t="s">
        <v>937</v>
      </c>
      <c r="Q293" t="s">
        <v>462</v>
      </c>
      <c r="R293">
        <v>2</v>
      </c>
    </row>
    <row r="294" spans="1:18" x14ac:dyDescent="0.25">
      <c r="A294" t="str">
        <f>TableMJRUFINAR[[#This Row],[Study Package Code]]</f>
        <v>VISA3010</v>
      </c>
      <c r="B294" s="2">
        <f>TableMJRUFINAR[[#This Row],[Ver]]</f>
        <v>2</v>
      </c>
      <c r="D294" t="str">
        <f>TableMJRUFINAR[[#This Row],[Structure Line]]</f>
        <v>Fine Art Studio Practice</v>
      </c>
      <c r="E294" s="42">
        <f>TableMJRUFINAR[[#This Row],[Credit Points]]</f>
        <v>25</v>
      </c>
      <c r="F294">
        <v>7</v>
      </c>
      <c r="G294" t="s">
        <v>927</v>
      </c>
      <c r="H294">
        <v>3</v>
      </c>
      <c r="I294" s="157" t="s">
        <v>928</v>
      </c>
      <c r="J294" t="s">
        <v>462</v>
      </c>
      <c r="K294" s="2">
        <v>2</v>
      </c>
      <c r="L294" t="s">
        <v>908</v>
      </c>
      <c r="M294">
        <v>25</v>
      </c>
      <c r="N294" s="152">
        <v>42370</v>
      </c>
      <c r="O294" s="152" t="s">
        <v>937</v>
      </c>
      <c r="Q294" t="s">
        <v>474</v>
      </c>
      <c r="R294">
        <v>2</v>
      </c>
    </row>
    <row r="295" spans="1:18" x14ac:dyDescent="0.25">
      <c r="A295" t="str">
        <f>TableMJRUFINAR[[#This Row],[Study Package Code]]</f>
        <v>VISA3023</v>
      </c>
      <c r="B295" s="2">
        <f>TableMJRUFINAR[[#This Row],[Ver]]</f>
        <v>1</v>
      </c>
      <c r="D295" t="str">
        <f>TableMJRUFINAR[[#This Row],[Structure Line]]</f>
        <v>Fine Art Project Advanced</v>
      </c>
      <c r="E295" s="42">
        <f>TableMJRUFINAR[[#This Row],[Credit Points]]</f>
        <v>25</v>
      </c>
      <c r="F295">
        <v>8</v>
      </c>
      <c r="G295" t="s">
        <v>927</v>
      </c>
      <c r="H295">
        <v>3</v>
      </c>
      <c r="I295" t="s">
        <v>934</v>
      </c>
      <c r="J295" t="s">
        <v>476</v>
      </c>
      <c r="K295" s="2">
        <v>1</v>
      </c>
      <c r="L295" t="s">
        <v>909</v>
      </c>
      <c r="M295">
        <v>25</v>
      </c>
      <c r="N295" s="152">
        <v>43831</v>
      </c>
      <c r="O295" s="152" t="s">
        <v>937</v>
      </c>
      <c r="Q295" t="s">
        <v>476</v>
      </c>
      <c r="R295">
        <v>1</v>
      </c>
    </row>
    <row r="296" spans="1:18" x14ac:dyDescent="0.25">
      <c r="B296"/>
      <c r="E296"/>
      <c r="G296" s="40" t="s">
        <v>913</v>
      </c>
      <c r="H296" s="156">
        <v>45292</v>
      </c>
      <c r="I296" s="39"/>
      <c r="J296" s="155" t="s">
        <v>317</v>
      </c>
      <c r="K296" s="159" t="s">
        <v>111</v>
      </c>
      <c r="L296" s="155" t="s">
        <v>316</v>
      </c>
      <c r="M296" s="39"/>
      <c r="N296" s="179" t="s">
        <v>914</v>
      </c>
      <c r="O296" s="180">
        <v>45328</v>
      </c>
    </row>
    <row r="297" spans="1:18" x14ac:dyDescent="0.25">
      <c r="A297" t="s">
        <v>0</v>
      </c>
      <c r="B297" s="2" t="s">
        <v>915</v>
      </c>
      <c r="C297" t="s">
        <v>916</v>
      </c>
      <c r="D297" t="s">
        <v>3</v>
      </c>
      <c r="E297" s="42" t="s">
        <v>917</v>
      </c>
      <c r="F297" t="s">
        <v>918</v>
      </c>
      <c r="G297" t="s">
        <v>919</v>
      </c>
      <c r="H297" t="s">
        <v>920</v>
      </c>
      <c r="I297" t="s">
        <v>23</v>
      </c>
      <c r="J297" t="s">
        <v>921</v>
      </c>
      <c r="K297" s="2" t="s">
        <v>1</v>
      </c>
      <c r="L297" t="s">
        <v>922</v>
      </c>
      <c r="M297" t="s">
        <v>86</v>
      </c>
      <c r="N297" t="s">
        <v>923</v>
      </c>
      <c r="O297" t="s">
        <v>924</v>
      </c>
      <c r="Q297" t="s">
        <v>925</v>
      </c>
      <c r="R297" t="s">
        <v>926</v>
      </c>
    </row>
    <row r="298" spans="1:18" x14ac:dyDescent="0.25">
      <c r="A298" t="str">
        <f>TableMJRUFINCE[[#This Row],[Study Package Code]]</f>
        <v>FNCE2000</v>
      </c>
      <c r="B298" s="2">
        <f>TableMJRUFINCE[[#This Row],[Ver]]</f>
        <v>1</v>
      </c>
      <c r="D298" t="str">
        <f>TableMJRUFINCE[[#This Row],[Structure Line]]</f>
        <v>Introduction to Finance Principles</v>
      </c>
      <c r="E298" s="42">
        <f>TableMJRUFINCE[[#This Row],[Credit Points]]</f>
        <v>25</v>
      </c>
      <c r="F298">
        <v>1</v>
      </c>
      <c r="G298" t="s">
        <v>927</v>
      </c>
      <c r="H298">
        <v>1</v>
      </c>
      <c r="I298" t="s">
        <v>934</v>
      </c>
      <c r="J298" t="s">
        <v>382</v>
      </c>
      <c r="K298" s="2">
        <v>1</v>
      </c>
      <c r="L298" t="s">
        <v>595</v>
      </c>
      <c r="M298">
        <v>25</v>
      </c>
      <c r="N298" s="152">
        <v>42005</v>
      </c>
      <c r="O298" s="152" t="s">
        <v>937</v>
      </c>
      <c r="Q298" t="s">
        <v>396</v>
      </c>
      <c r="R298">
        <v>1</v>
      </c>
    </row>
    <row r="299" spans="1:18" x14ac:dyDescent="0.25">
      <c r="A299" t="str">
        <f>TableMJRUFINCE[[#This Row],[Study Package Code]]</f>
        <v>FNCE2003</v>
      </c>
      <c r="B299" s="2">
        <f>TableMJRUFINCE[[#This Row],[Ver]]</f>
        <v>3</v>
      </c>
      <c r="D299" t="str">
        <f>TableMJRUFINCE[[#This Row],[Structure Line]]</f>
        <v>Business Analysis for Investment</v>
      </c>
      <c r="E299" s="42">
        <f>TableMJRUFINCE[[#This Row],[Credit Points]]</f>
        <v>25</v>
      </c>
      <c r="F299">
        <v>2</v>
      </c>
      <c r="G299" t="s">
        <v>927</v>
      </c>
      <c r="H299">
        <v>2</v>
      </c>
      <c r="I299" t="s">
        <v>928</v>
      </c>
      <c r="J299" t="s">
        <v>397</v>
      </c>
      <c r="K299" s="2">
        <v>3</v>
      </c>
      <c r="L299" t="s">
        <v>596</v>
      </c>
      <c r="M299">
        <v>25</v>
      </c>
      <c r="N299" s="152">
        <v>43282</v>
      </c>
      <c r="O299" s="152" t="s">
        <v>937</v>
      </c>
      <c r="Q299" t="s">
        <v>397</v>
      </c>
      <c r="R299">
        <v>3</v>
      </c>
    </row>
    <row r="300" spans="1:18" x14ac:dyDescent="0.25">
      <c r="A300" t="str">
        <f>TableMJRUFINCE[[#This Row],[Study Package Code]]</f>
        <v>FNCE3001</v>
      </c>
      <c r="B300" s="2">
        <f>TableMJRUFINCE[[#This Row],[Ver]]</f>
        <v>1</v>
      </c>
      <c r="D300" t="str">
        <f>TableMJRUFINCE[[#This Row],[Structure Line]]</f>
        <v>Introduction to Financial Instruments and Markets</v>
      </c>
      <c r="E300" s="42">
        <f>TableMJRUFINCE[[#This Row],[Credit Points]]</f>
        <v>25</v>
      </c>
      <c r="F300">
        <v>3</v>
      </c>
      <c r="G300" t="s">
        <v>927</v>
      </c>
      <c r="H300">
        <v>2</v>
      </c>
      <c r="I300" t="s">
        <v>928</v>
      </c>
      <c r="J300" t="s">
        <v>396</v>
      </c>
      <c r="K300" s="2">
        <v>1</v>
      </c>
      <c r="L300" t="s">
        <v>599</v>
      </c>
      <c r="M300">
        <v>25</v>
      </c>
      <c r="N300" s="152">
        <v>42005</v>
      </c>
      <c r="O300" s="152" t="s">
        <v>937</v>
      </c>
      <c r="Q300" t="s">
        <v>417</v>
      </c>
      <c r="R300">
        <v>1</v>
      </c>
    </row>
    <row r="301" spans="1:18" x14ac:dyDescent="0.25">
      <c r="A301" t="str">
        <f>TableMJRUFINCE[[#This Row],[Study Package Code]]</f>
        <v>FNCE3000</v>
      </c>
      <c r="B301" s="2">
        <f>TableMJRUFINCE[[#This Row],[Ver]]</f>
        <v>1</v>
      </c>
      <c r="D301" t="str">
        <f>TableMJRUFINCE[[#This Row],[Structure Line]]</f>
        <v>Corporate Finance</v>
      </c>
      <c r="E301" s="42">
        <f>TableMJRUFINCE[[#This Row],[Credit Points]]</f>
        <v>25</v>
      </c>
      <c r="F301">
        <v>4</v>
      </c>
      <c r="G301" t="s">
        <v>927</v>
      </c>
      <c r="H301">
        <v>2</v>
      </c>
      <c r="I301" t="s">
        <v>934</v>
      </c>
      <c r="J301" t="s">
        <v>417</v>
      </c>
      <c r="K301" s="2">
        <v>1</v>
      </c>
      <c r="L301" t="s">
        <v>597</v>
      </c>
      <c r="M301">
        <v>25</v>
      </c>
      <c r="N301" s="152">
        <v>42005</v>
      </c>
      <c r="O301" s="152" t="s">
        <v>937</v>
      </c>
      <c r="Q301" t="s">
        <v>463</v>
      </c>
      <c r="R301">
        <v>1</v>
      </c>
    </row>
    <row r="302" spans="1:18" x14ac:dyDescent="0.25">
      <c r="A302" t="str">
        <f>TableMJRUFINCE[[#This Row],[Study Package Code]]</f>
        <v>AC-FINCE</v>
      </c>
      <c r="B302" s="2">
        <f>TableMJRUFINCE[[#This Row],[Ver]]</f>
        <v>0</v>
      </c>
      <c r="D302" t="str">
        <f>TableMJRUFINCE[[#This Row],[Structure Line]]</f>
        <v>Choose ECOM2001 or ECON2007</v>
      </c>
      <c r="E302" s="42">
        <f>TableMJRUFINCE[[#This Row],[Credit Points]]</f>
        <v>25</v>
      </c>
      <c r="F302">
        <v>5</v>
      </c>
      <c r="G302" t="s">
        <v>947</v>
      </c>
      <c r="H302">
        <v>2</v>
      </c>
      <c r="I302" t="s">
        <v>934</v>
      </c>
      <c r="J302" t="s">
        <v>418</v>
      </c>
      <c r="K302" s="2">
        <v>0</v>
      </c>
      <c r="L302" t="s">
        <v>968</v>
      </c>
      <c r="M302">
        <v>25</v>
      </c>
      <c r="N302" s="152"/>
      <c r="O302" s="152"/>
      <c r="Q302" t="s">
        <v>475</v>
      </c>
      <c r="R302">
        <v>1</v>
      </c>
    </row>
    <row r="303" spans="1:18" x14ac:dyDescent="0.25">
      <c r="A303" t="str">
        <f>TableMJRUFINCE[[#This Row],[Study Package Code]]</f>
        <v>FNCE3004</v>
      </c>
      <c r="B303" s="2">
        <f>TableMJRUFINCE[[#This Row],[Ver]]</f>
        <v>1</v>
      </c>
      <c r="D303" t="str">
        <f>TableMJRUFINCE[[#This Row],[Structure Line]]</f>
        <v>International Finance</v>
      </c>
      <c r="E303" s="42">
        <f>TableMJRUFINCE[[#This Row],[Credit Points]]</f>
        <v>25</v>
      </c>
      <c r="F303">
        <v>6</v>
      </c>
      <c r="G303" t="s">
        <v>927</v>
      </c>
      <c r="H303">
        <v>3</v>
      </c>
      <c r="I303" t="s">
        <v>928</v>
      </c>
      <c r="J303" t="s">
        <v>446</v>
      </c>
      <c r="K303" s="2">
        <v>1</v>
      </c>
      <c r="L303" t="s">
        <v>600</v>
      </c>
      <c r="M303">
        <v>25</v>
      </c>
      <c r="N303" s="152">
        <v>42005</v>
      </c>
      <c r="O303" s="152" t="s">
        <v>937</v>
      </c>
      <c r="Q303" t="s">
        <v>446</v>
      </c>
      <c r="R303">
        <v>1</v>
      </c>
    </row>
    <row r="304" spans="1:18" x14ac:dyDescent="0.25">
      <c r="A304" t="str">
        <f>TableMJRUFINCE[[#This Row],[Study Package Code]]</f>
        <v>INVE3001</v>
      </c>
      <c r="B304" s="2">
        <f>TableMJRUFINCE[[#This Row],[Ver]]</f>
        <v>2</v>
      </c>
      <c r="D304" t="str">
        <f>TableMJRUFINCE[[#This Row],[Structure Line]]</f>
        <v>Portfolio Management</v>
      </c>
      <c r="E304" s="42">
        <f>TableMJRUFINCE[[#This Row],[Credit Points]]</f>
        <v>25</v>
      </c>
      <c r="F304">
        <v>7</v>
      </c>
      <c r="G304" t="s">
        <v>927</v>
      </c>
      <c r="H304">
        <v>3</v>
      </c>
      <c r="I304" t="s">
        <v>928</v>
      </c>
      <c r="J304" t="s">
        <v>463</v>
      </c>
      <c r="K304" s="2">
        <v>2</v>
      </c>
      <c r="L304" t="s">
        <v>641</v>
      </c>
      <c r="M304">
        <v>25</v>
      </c>
      <c r="N304" s="152">
        <v>45108</v>
      </c>
      <c r="O304" s="152" t="s">
        <v>937</v>
      </c>
      <c r="Q304" t="s">
        <v>969</v>
      </c>
      <c r="R304">
        <v>0</v>
      </c>
    </row>
    <row r="305" spans="1:18" x14ac:dyDescent="0.25">
      <c r="A305" t="str">
        <f>TableMJRUFINCE[[#This Row],[Study Package Code]]</f>
        <v>INVE3000</v>
      </c>
      <c r="B305" s="2">
        <f>TableMJRUFINCE[[#This Row],[Ver]]</f>
        <v>1</v>
      </c>
      <c r="D305" t="str">
        <f>TableMJRUFINCE[[#This Row],[Structure Line]]</f>
        <v>Introduction to Derivative Securities</v>
      </c>
      <c r="E305" s="42">
        <f>TableMJRUFINCE[[#This Row],[Credit Points]]</f>
        <v>25</v>
      </c>
      <c r="F305">
        <v>8</v>
      </c>
      <c r="G305" t="s">
        <v>927</v>
      </c>
      <c r="H305">
        <v>3</v>
      </c>
      <c r="I305" t="s">
        <v>934</v>
      </c>
      <c r="J305" t="s">
        <v>475</v>
      </c>
      <c r="K305" s="2">
        <v>1</v>
      </c>
      <c r="L305" t="s">
        <v>639</v>
      </c>
      <c r="M305">
        <v>25</v>
      </c>
      <c r="N305" s="152">
        <v>42005</v>
      </c>
      <c r="O305" s="152" t="s">
        <v>937</v>
      </c>
      <c r="Q305" t="s">
        <v>382</v>
      </c>
      <c r="R305">
        <v>1</v>
      </c>
    </row>
    <row r="306" spans="1:18" x14ac:dyDescent="0.25">
      <c r="A306" t="str">
        <f>TableMJRUFINCE[[#This Row],[Study Package Code]]</f>
        <v>ECOM2001</v>
      </c>
      <c r="B306" s="2">
        <f>TableMJRUFINCE[[#This Row],[Ver]]</f>
        <v>1</v>
      </c>
      <c r="D306" t="str">
        <f>TableMJRUFINCE[[#This Row],[Structure Line]]</f>
        <v>Quantitative Techniques for Business</v>
      </c>
      <c r="E306" s="42">
        <f>TableMJRUFINCE[[#This Row],[Credit Points]]</f>
        <v>25</v>
      </c>
      <c r="F306">
        <v>5</v>
      </c>
      <c r="G306" t="s">
        <v>947</v>
      </c>
      <c r="H306">
        <v>2</v>
      </c>
      <c r="I306" t="s">
        <v>934</v>
      </c>
      <c r="J306" t="s">
        <v>415</v>
      </c>
      <c r="K306" s="2">
        <v>1</v>
      </c>
      <c r="L306" t="s">
        <v>580</v>
      </c>
      <c r="M306">
        <v>25</v>
      </c>
      <c r="N306" s="152">
        <v>42005</v>
      </c>
      <c r="O306" s="152"/>
      <c r="Q306" t="s">
        <v>415</v>
      </c>
      <c r="R306">
        <v>1</v>
      </c>
    </row>
    <row r="307" spans="1:18" x14ac:dyDescent="0.25">
      <c r="A307" t="str">
        <f>TableMJRUFINCE[[#This Row],[Study Package Code]]</f>
        <v>ECON2007</v>
      </c>
      <c r="B307" s="2">
        <f>TableMJRUFINCE[[#This Row],[Ver]]</f>
        <v>1</v>
      </c>
      <c r="D307" t="str">
        <f>TableMJRUFINCE[[#This Row],[Structure Line]]</f>
        <v>Behavioural Economics and Finance</v>
      </c>
      <c r="E307" s="42">
        <f>TableMJRUFINCE[[#This Row],[Credit Points]]</f>
        <v>25</v>
      </c>
      <c r="F307">
        <v>5</v>
      </c>
      <c r="G307" t="s">
        <v>947</v>
      </c>
      <c r="H307">
        <v>2</v>
      </c>
      <c r="I307" t="s">
        <v>934</v>
      </c>
      <c r="J307" t="s">
        <v>486</v>
      </c>
      <c r="K307" s="2">
        <v>1</v>
      </c>
      <c r="L307" t="s">
        <v>586</v>
      </c>
      <c r="M307">
        <v>25</v>
      </c>
      <c r="N307" s="152">
        <v>43466</v>
      </c>
      <c r="O307" s="152"/>
      <c r="Q307" t="s">
        <v>486</v>
      </c>
      <c r="R307">
        <v>1</v>
      </c>
    </row>
    <row r="308" spans="1:18" x14ac:dyDescent="0.25">
      <c r="B308"/>
      <c r="E308"/>
      <c r="F308" s="39"/>
      <c r="G308" s="40" t="s">
        <v>913</v>
      </c>
      <c r="H308" s="183">
        <v>42005</v>
      </c>
      <c r="I308" s="39"/>
      <c r="J308" s="155" t="s">
        <v>320</v>
      </c>
      <c r="K308" s="41" t="s">
        <v>116</v>
      </c>
      <c r="L308" s="39" t="s">
        <v>319</v>
      </c>
      <c r="M308" s="39"/>
      <c r="N308" s="179" t="s">
        <v>914</v>
      </c>
      <c r="O308" s="180">
        <v>45328</v>
      </c>
    </row>
    <row r="309" spans="1:18" x14ac:dyDescent="0.25">
      <c r="A309" t="s">
        <v>0</v>
      </c>
      <c r="B309" s="2" t="s">
        <v>915</v>
      </c>
      <c r="C309" t="s">
        <v>916</v>
      </c>
      <c r="D309" t="s">
        <v>3</v>
      </c>
      <c r="E309" s="42" t="s">
        <v>917</v>
      </c>
      <c r="F309" t="s">
        <v>918</v>
      </c>
      <c r="G309" t="s">
        <v>919</v>
      </c>
      <c r="H309" t="s">
        <v>920</v>
      </c>
      <c r="I309" t="s">
        <v>23</v>
      </c>
      <c r="J309" t="s">
        <v>921</v>
      </c>
      <c r="K309" s="2" t="s">
        <v>1</v>
      </c>
      <c r="L309" t="s">
        <v>922</v>
      </c>
      <c r="M309" t="s">
        <v>86</v>
      </c>
      <c r="N309" t="s">
        <v>923</v>
      </c>
      <c r="O309" t="s">
        <v>924</v>
      </c>
      <c r="Q309" t="s">
        <v>925</v>
      </c>
      <c r="R309" t="s">
        <v>926</v>
      </c>
    </row>
    <row r="310" spans="1:18" x14ac:dyDescent="0.25">
      <c r="A310" t="str">
        <f>TableMJRUHRMGM[[#This Row],[Study Package Code]]</f>
        <v>MGMT2008</v>
      </c>
      <c r="B310" s="2">
        <f>TableMJRUHRMGM[[#This Row],[Ver]]</f>
        <v>2</v>
      </c>
      <c r="D310" t="str">
        <f>TableMJRUHRMGM[[#This Row],[Structure Line]]</f>
        <v>Human Resources Management Introduction</v>
      </c>
      <c r="E310" s="42">
        <f>TableMJRUHRMGM[[#This Row],[Credit Points]]</f>
        <v>25</v>
      </c>
      <c r="F310">
        <v>1</v>
      </c>
      <c r="G310" t="s">
        <v>927</v>
      </c>
      <c r="H310">
        <v>1</v>
      </c>
      <c r="I310" t="s">
        <v>934</v>
      </c>
      <c r="J310" t="s">
        <v>383</v>
      </c>
      <c r="K310" s="2">
        <v>2</v>
      </c>
      <c r="L310" t="s">
        <v>700</v>
      </c>
      <c r="M310">
        <v>25</v>
      </c>
      <c r="N310" s="152">
        <v>43647</v>
      </c>
      <c r="O310" s="152"/>
      <c r="Q310" t="s">
        <v>383</v>
      </c>
      <c r="R310">
        <v>2</v>
      </c>
    </row>
    <row r="311" spans="1:18" x14ac:dyDescent="0.25">
      <c r="A311" t="str">
        <f>TableMJRUHRMGM[[#This Row],[Study Package Code]]</f>
        <v>MGMT2009</v>
      </c>
      <c r="B311" s="2">
        <f>TableMJRUHRMGM[[#This Row],[Ver]]</f>
        <v>2</v>
      </c>
      <c r="D311" t="str">
        <f>TableMJRUHRMGM[[#This Row],[Structure Line]]</f>
        <v>Human Resources Development</v>
      </c>
      <c r="E311" s="42">
        <f>TableMJRUHRMGM[[#This Row],[Credit Points]]</f>
        <v>25</v>
      </c>
      <c r="F311">
        <v>2</v>
      </c>
      <c r="G311" t="s">
        <v>927</v>
      </c>
      <c r="H311">
        <v>2</v>
      </c>
      <c r="I311" t="s">
        <v>934</v>
      </c>
      <c r="J311" t="s">
        <v>437</v>
      </c>
      <c r="K311" s="2">
        <v>2</v>
      </c>
      <c r="L311" t="s">
        <v>701</v>
      </c>
      <c r="M311">
        <v>25</v>
      </c>
      <c r="N311" s="152">
        <v>43647</v>
      </c>
      <c r="O311" s="152"/>
      <c r="Q311" t="s">
        <v>437</v>
      </c>
      <c r="R311">
        <v>2</v>
      </c>
    </row>
    <row r="312" spans="1:18" x14ac:dyDescent="0.25">
      <c r="A312" t="str">
        <f>TableMJRUHRMGM[[#This Row],[Study Package Code]]</f>
        <v>MGMT3013</v>
      </c>
      <c r="B312" s="2">
        <f>TableMJRUHRMGM[[#This Row],[Ver]]</f>
        <v>2</v>
      </c>
      <c r="D312" t="str">
        <f>TableMJRUHRMGM[[#This Row],[Structure Line]]</f>
        <v>Building a Sustainable Workforce</v>
      </c>
      <c r="E312" s="42">
        <f>TableMJRUHRMGM[[#This Row],[Credit Points]]</f>
        <v>25</v>
      </c>
      <c r="F312">
        <v>3</v>
      </c>
      <c r="G312" t="s">
        <v>927</v>
      </c>
      <c r="H312">
        <v>3</v>
      </c>
      <c r="I312" t="s">
        <v>928</v>
      </c>
      <c r="J312" t="s">
        <v>447</v>
      </c>
      <c r="K312" s="2">
        <v>2</v>
      </c>
      <c r="L312" t="s">
        <v>714</v>
      </c>
      <c r="M312">
        <v>25</v>
      </c>
      <c r="N312" s="152">
        <v>43831</v>
      </c>
      <c r="O312" s="152"/>
      <c r="Q312" t="s">
        <v>447</v>
      </c>
      <c r="R312">
        <v>2</v>
      </c>
    </row>
    <row r="313" spans="1:18" x14ac:dyDescent="0.25">
      <c r="A313" t="str">
        <f>TableMJRUHRMGM[[#This Row],[Study Package Code]]</f>
        <v>MGMT3014</v>
      </c>
      <c r="B313" s="2">
        <f>TableMJRUHRMGM[[#This Row],[Ver]]</f>
        <v>3</v>
      </c>
      <c r="D313" t="str">
        <f>TableMJRUHRMGM[[#This Row],[Structure Line]]</f>
        <v>Strategic Rewards and Performance Management</v>
      </c>
      <c r="E313" s="42">
        <f>TableMJRUHRMGM[[#This Row],[Credit Points]]</f>
        <v>25</v>
      </c>
      <c r="F313">
        <v>4</v>
      </c>
      <c r="G313" t="s">
        <v>927</v>
      </c>
      <c r="H313">
        <v>3</v>
      </c>
      <c r="I313" t="s">
        <v>934</v>
      </c>
      <c r="J313" t="s">
        <v>448</v>
      </c>
      <c r="K313" s="2">
        <v>3</v>
      </c>
      <c r="L313" t="s">
        <v>715</v>
      </c>
      <c r="M313">
        <v>25</v>
      </c>
      <c r="N313" s="152">
        <v>44562</v>
      </c>
      <c r="O313" s="152"/>
      <c r="Q313" t="s">
        <v>448</v>
      </c>
      <c r="R313">
        <v>3</v>
      </c>
    </row>
    <row r="314" spans="1:18" x14ac:dyDescent="0.25">
      <c r="A314" t="str">
        <f>TableMJRUHRMGM[[#This Row],[Study Package Code]]</f>
        <v>MGMT3012</v>
      </c>
      <c r="B314" s="2">
        <f>TableMJRUHRMGM[[#This Row],[Ver]]</f>
        <v>2</v>
      </c>
      <c r="D314" t="str">
        <f>TableMJRUHRMGM[[#This Row],[Structure Line]]</f>
        <v>International Human Resources Management</v>
      </c>
      <c r="E314" s="42">
        <f>TableMJRUHRMGM[[#This Row],[Credit Points]]</f>
        <v>25</v>
      </c>
      <c r="F314">
        <v>5</v>
      </c>
      <c r="G314" t="s">
        <v>927</v>
      </c>
      <c r="H314">
        <v>3</v>
      </c>
      <c r="I314" t="s">
        <v>928</v>
      </c>
      <c r="J314" t="s">
        <v>464</v>
      </c>
      <c r="K314" s="2">
        <v>2</v>
      </c>
      <c r="L314" t="s">
        <v>713</v>
      </c>
      <c r="M314">
        <v>25</v>
      </c>
      <c r="N314" s="152">
        <v>43647</v>
      </c>
      <c r="O314" s="152"/>
      <c r="Q314" t="s">
        <v>464</v>
      </c>
      <c r="R314">
        <v>2</v>
      </c>
    </row>
    <row r="315" spans="1:18" x14ac:dyDescent="0.25">
      <c r="A315" t="str">
        <f>TableMJRUHRMGM[[#This Row],[Study Package Code]]</f>
        <v>ISYS2013</v>
      </c>
      <c r="B315" s="2">
        <f>TableMJRUHRMGM[[#This Row],[Ver]]</f>
        <v>2</v>
      </c>
      <c r="D315" t="str">
        <f>TableMJRUHRMGM[[#This Row],[Structure Line]]</f>
        <v>Project Management</v>
      </c>
      <c r="E315" s="42">
        <f>TableMJRUHRMGM[[#This Row],[Credit Points]]</f>
        <v>25</v>
      </c>
      <c r="F315">
        <v>6</v>
      </c>
      <c r="G315" t="s">
        <v>927</v>
      </c>
      <c r="H315">
        <v>2</v>
      </c>
      <c r="I315" t="s">
        <v>928</v>
      </c>
      <c r="J315" t="s">
        <v>398</v>
      </c>
      <c r="K315" s="2">
        <v>2</v>
      </c>
      <c r="L315" t="s">
        <v>644</v>
      </c>
      <c r="M315">
        <v>25</v>
      </c>
      <c r="N315" s="152">
        <v>43647</v>
      </c>
      <c r="O315" s="152"/>
      <c r="Q315" t="s">
        <v>398</v>
      </c>
      <c r="R315">
        <v>2</v>
      </c>
    </row>
    <row r="316" spans="1:18" x14ac:dyDescent="0.25">
      <c r="A316" t="str">
        <f>TableMJRUHRMGM[[#This Row],[Study Package Code]]</f>
        <v>AC-HRMGM</v>
      </c>
      <c r="B316" s="2">
        <f>TableMJRUHRMGM[[#This Row],[Ver]]</f>
        <v>0</v>
      </c>
      <c r="D316" t="str">
        <f>TableMJRUHRMGM[[#This Row],[Structure Line]]</f>
        <v>Choose MGMT2007 if you are studying in Australia and are NOT undertaking the Employment Relations specialisation.  Choose MGMT2000 if you are studying in Australia and are undertaking this major with the Employment Relations specialisation.  Choose MGMT2002 if you are studying in Singapore.</v>
      </c>
      <c r="E316" s="42">
        <f>TableMJRUHRMGM[[#This Row],[Credit Points]]</f>
        <v>25</v>
      </c>
      <c r="F316">
        <v>7</v>
      </c>
      <c r="G316" t="s">
        <v>947</v>
      </c>
      <c r="H316">
        <v>2</v>
      </c>
      <c r="I316" t="s">
        <v>928</v>
      </c>
      <c r="J316" t="s">
        <v>514</v>
      </c>
      <c r="K316" s="2">
        <v>0</v>
      </c>
      <c r="L316" t="s">
        <v>970</v>
      </c>
      <c r="M316">
        <v>25</v>
      </c>
      <c r="N316" s="152"/>
      <c r="O316" s="152"/>
      <c r="Q316" t="s">
        <v>971</v>
      </c>
      <c r="R316">
        <v>0</v>
      </c>
    </row>
    <row r="317" spans="1:18" x14ac:dyDescent="0.25">
      <c r="A317" t="str">
        <f>TableMJRUHRMGM[[#This Row],[Study Package Code]]</f>
        <v>MGMT3002</v>
      </c>
      <c r="B317" s="2">
        <f>TableMJRUHRMGM[[#This Row],[Ver]]</f>
        <v>1</v>
      </c>
      <c r="D317" t="str">
        <f>TableMJRUHRMGM[[#This Row],[Structure Line]]</f>
        <v>Managing Change</v>
      </c>
      <c r="E317" s="42">
        <f>TableMJRUHRMGM[[#This Row],[Credit Points]]</f>
        <v>25</v>
      </c>
      <c r="F317">
        <v>8</v>
      </c>
      <c r="G317" t="s">
        <v>927</v>
      </c>
      <c r="H317">
        <v>2</v>
      </c>
      <c r="I317" t="s">
        <v>934</v>
      </c>
      <c r="J317" t="s">
        <v>440</v>
      </c>
      <c r="K317" s="2">
        <v>1</v>
      </c>
      <c r="L317" t="s">
        <v>707</v>
      </c>
      <c r="M317">
        <v>25</v>
      </c>
      <c r="N317" s="152">
        <v>42005</v>
      </c>
      <c r="O317" s="152"/>
      <c r="Q317" t="s">
        <v>440</v>
      </c>
      <c r="R317">
        <v>1</v>
      </c>
    </row>
    <row r="318" spans="1:18" x14ac:dyDescent="0.25">
      <c r="A318" t="str">
        <f>TableMJRUHRMGM[[#This Row],[Study Package Code]]</f>
        <v>MGMT2000</v>
      </c>
      <c r="B318" s="2">
        <f>TableMJRUHRMGM[[#This Row],[Ver]]</f>
        <v>1</v>
      </c>
      <c r="D318" t="str">
        <f>TableMJRUHRMGM[[#This Row],[Structure Line]]</f>
        <v>Organisational Behaviour</v>
      </c>
      <c r="E318" s="42">
        <f>TableMJRUHRMGM[[#This Row],[Credit Points]]</f>
        <v>25</v>
      </c>
      <c r="F318" s="108">
        <v>7</v>
      </c>
      <c r="G318" s="108" t="s">
        <v>947</v>
      </c>
      <c r="H318" s="108">
        <v>2</v>
      </c>
      <c r="I318" s="108" t="s">
        <v>928</v>
      </c>
      <c r="J318" s="108" t="s">
        <v>386</v>
      </c>
      <c r="K318" s="186">
        <v>1</v>
      </c>
      <c r="L318" s="108" t="s">
        <v>693</v>
      </c>
      <c r="M318" s="108">
        <v>25</v>
      </c>
      <c r="N318" s="152">
        <v>42005</v>
      </c>
      <c r="O318" s="152"/>
      <c r="Q318" t="s">
        <v>386</v>
      </c>
      <c r="R318">
        <v>1</v>
      </c>
    </row>
    <row r="319" spans="1:18" x14ac:dyDescent="0.25">
      <c r="A319" t="str">
        <f>TableMJRUHRMGM[[#This Row],[Study Package Code]]</f>
        <v>MGMT2002</v>
      </c>
      <c r="B319" s="2">
        <f>TableMJRUHRMGM[[#This Row],[Ver]]</f>
        <v>1</v>
      </c>
      <c r="D319" t="str">
        <f>TableMJRUHRMGM[[#This Row],[Structure Line]]</f>
        <v>Employee Relations in Singapore</v>
      </c>
      <c r="E319" s="42">
        <f>TableMJRUHRMGM[[#This Row],[Credit Points]]</f>
        <v>25</v>
      </c>
      <c r="F319" s="108">
        <v>7</v>
      </c>
      <c r="G319" s="108" t="s">
        <v>947</v>
      </c>
      <c r="H319" s="108">
        <v>2</v>
      </c>
      <c r="I319" s="108" t="s">
        <v>928</v>
      </c>
      <c r="J319" s="108" t="s">
        <v>694</v>
      </c>
      <c r="K319" s="186">
        <v>1</v>
      </c>
      <c r="L319" s="108" t="s">
        <v>695</v>
      </c>
      <c r="M319" s="108">
        <v>25</v>
      </c>
      <c r="N319" s="152">
        <v>42005</v>
      </c>
      <c r="O319" s="152"/>
      <c r="Q319" t="s">
        <v>694</v>
      </c>
      <c r="R319">
        <v>1</v>
      </c>
    </row>
    <row r="320" spans="1:18" x14ac:dyDescent="0.25">
      <c r="A320" t="str">
        <f>TableMJRUHRMGM[[#This Row],[Study Package Code]]</f>
        <v>MGMT2007</v>
      </c>
      <c r="B320" s="2">
        <f>TableMJRUHRMGM[[#This Row],[Ver]]</f>
        <v>2</v>
      </c>
      <c r="D320" t="str">
        <f>TableMJRUHRMGM[[#This Row],[Structure Line]]</f>
        <v>Australian Employment Relations</v>
      </c>
      <c r="E320" s="42">
        <f>TableMJRUHRMGM[[#This Row],[Credit Points]]</f>
        <v>25</v>
      </c>
      <c r="F320">
        <v>7</v>
      </c>
      <c r="G320" t="s">
        <v>947</v>
      </c>
      <c r="H320">
        <v>2</v>
      </c>
      <c r="I320" t="s">
        <v>928</v>
      </c>
      <c r="J320" t="s">
        <v>419</v>
      </c>
      <c r="K320" s="2">
        <v>2</v>
      </c>
      <c r="L320" t="s">
        <v>698</v>
      </c>
      <c r="M320">
        <v>25</v>
      </c>
      <c r="N320" s="152">
        <v>43831</v>
      </c>
      <c r="O320" s="152"/>
      <c r="Q320" t="s">
        <v>419</v>
      </c>
      <c r="R320">
        <v>2</v>
      </c>
    </row>
    <row r="321" spans="1:18" x14ac:dyDescent="0.25">
      <c r="B321"/>
      <c r="E321"/>
      <c r="F321" s="39"/>
      <c r="G321" s="40" t="s">
        <v>913</v>
      </c>
      <c r="H321" s="156">
        <v>45292</v>
      </c>
      <c r="I321" s="39"/>
      <c r="J321" s="155" t="s">
        <v>322</v>
      </c>
      <c r="K321" s="159" t="s">
        <v>111</v>
      </c>
      <c r="L321" s="187" t="s">
        <v>321</v>
      </c>
      <c r="M321" s="39"/>
      <c r="N321" s="179" t="s">
        <v>914</v>
      </c>
      <c r="O321" s="180">
        <v>45328</v>
      </c>
    </row>
    <row r="322" spans="1:18" x14ac:dyDescent="0.25">
      <c r="A322" t="s">
        <v>0</v>
      </c>
      <c r="B322" s="2" t="s">
        <v>915</v>
      </c>
      <c r="C322" t="s">
        <v>916</v>
      </c>
      <c r="D322" t="s">
        <v>3</v>
      </c>
      <c r="E322" s="42" t="s">
        <v>917</v>
      </c>
      <c r="F322" t="s">
        <v>918</v>
      </c>
      <c r="G322" t="s">
        <v>919</v>
      </c>
      <c r="H322" t="s">
        <v>920</v>
      </c>
      <c r="I322" t="s">
        <v>23</v>
      </c>
      <c r="J322" t="s">
        <v>921</v>
      </c>
      <c r="K322" s="2" t="s">
        <v>1</v>
      </c>
      <c r="L322" t="s">
        <v>922</v>
      </c>
      <c r="M322" t="s">
        <v>86</v>
      </c>
      <c r="N322" t="s">
        <v>923</v>
      </c>
      <c r="O322" t="s">
        <v>924</v>
      </c>
      <c r="Q322" t="s">
        <v>925</v>
      </c>
      <c r="R322" t="s">
        <v>926</v>
      </c>
    </row>
    <row r="323" spans="1:18" x14ac:dyDescent="0.25">
      <c r="A323" t="str">
        <f>TableMJRUINTBU[[#This Row],[Study Package Code]]</f>
        <v>IBUS1001</v>
      </c>
      <c r="B323" s="2">
        <f>TableMJRUINTBU[[#This Row],[Ver]]</f>
        <v>1</v>
      </c>
      <c r="D323" t="str">
        <f>TableMJRUINTBU[[#This Row],[Structure Line]]</f>
        <v>Introduction to Global Business</v>
      </c>
      <c r="E323" s="42">
        <f>TableMJRUINTBU[[#This Row],[Credit Points]]</f>
        <v>25</v>
      </c>
      <c r="F323">
        <v>1</v>
      </c>
      <c r="G323" t="s">
        <v>927</v>
      </c>
      <c r="H323">
        <v>1</v>
      </c>
      <c r="I323" t="s">
        <v>934</v>
      </c>
      <c r="J323" t="s">
        <v>384</v>
      </c>
      <c r="K323" s="2">
        <v>1</v>
      </c>
      <c r="L323" t="s">
        <v>617</v>
      </c>
      <c r="M323">
        <v>25</v>
      </c>
      <c r="N323" s="152">
        <v>43466</v>
      </c>
      <c r="O323" s="152" t="s">
        <v>937</v>
      </c>
      <c r="Q323" t="s">
        <v>384</v>
      </c>
      <c r="R323">
        <v>1</v>
      </c>
    </row>
    <row r="324" spans="1:18" x14ac:dyDescent="0.25">
      <c r="A324" t="str">
        <f>TableMJRUINTBU[[#This Row],[Study Package Code]]</f>
        <v>MGMT2000</v>
      </c>
      <c r="B324" s="2">
        <f>TableMJRUINTBU[[#This Row],[Ver]]</f>
        <v>1</v>
      </c>
      <c r="D324" t="str">
        <f>TableMJRUINTBU[[#This Row],[Structure Line]]</f>
        <v>Organisational Behaviour</v>
      </c>
      <c r="E324" s="42">
        <f>TableMJRUINTBU[[#This Row],[Credit Points]]</f>
        <v>25</v>
      </c>
      <c r="F324">
        <v>2</v>
      </c>
      <c r="G324" t="s">
        <v>927</v>
      </c>
      <c r="H324">
        <v>2</v>
      </c>
      <c r="I324" t="s">
        <v>928</v>
      </c>
      <c r="J324" t="s">
        <v>386</v>
      </c>
      <c r="K324" s="2">
        <v>1</v>
      </c>
      <c r="L324" t="s">
        <v>693</v>
      </c>
      <c r="M324">
        <v>25</v>
      </c>
      <c r="N324" s="152">
        <v>42005</v>
      </c>
      <c r="O324" s="152" t="s">
        <v>937</v>
      </c>
      <c r="Q324" t="s">
        <v>386</v>
      </c>
      <c r="R324">
        <v>1</v>
      </c>
    </row>
    <row r="325" spans="1:18" x14ac:dyDescent="0.25">
      <c r="A325" t="str">
        <f>TableMJRUINTBU[[#This Row],[Study Package Code]]</f>
        <v>AC-INTBU</v>
      </c>
      <c r="B325" s="2">
        <f>TableMJRUINTBU[[#This Row],[Ver]]</f>
        <v>0</v>
      </c>
      <c r="D325" t="str">
        <f>TableMJRUINTBU[[#This Row],[Structure Line]]</f>
        <v>Choose MKTG2002 or ISYS2013</v>
      </c>
      <c r="E325" s="42">
        <f>TableMJRUINTBU[[#This Row],[Credit Points]]</f>
        <v>25</v>
      </c>
      <c r="F325">
        <v>3</v>
      </c>
      <c r="G325" t="s">
        <v>947</v>
      </c>
      <c r="H325">
        <v>2</v>
      </c>
      <c r="I325" t="s">
        <v>928</v>
      </c>
      <c r="J325" t="s">
        <v>420</v>
      </c>
      <c r="K325" s="2">
        <v>0</v>
      </c>
      <c r="L325" t="s">
        <v>972</v>
      </c>
      <c r="M325">
        <v>25</v>
      </c>
      <c r="N325" s="152"/>
      <c r="O325" s="152"/>
      <c r="Q325" t="s">
        <v>385</v>
      </c>
      <c r="R325">
        <v>1</v>
      </c>
    </row>
    <row r="326" spans="1:18" x14ac:dyDescent="0.25">
      <c r="A326" t="str">
        <f>TableMJRUINTBU[[#This Row],[Study Package Code]]</f>
        <v>MGMT2015</v>
      </c>
      <c r="B326" s="2">
        <f>TableMJRUINTBU[[#This Row],[Ver]]</f>
        <v>1</v>
      </c>
      <c r="D326" t="str">
        <f>TableMJRUINTBU[[#This Row],[Structure Line]]</f>
        <v>Supply Chain Management</v>
      </c>
      <c r="E326" s="42">
        <f>TableMJRUINTBU[[#This Row],[Credit Points]]</f>
        <v>25</v>
      </c>
      <c r="F326">
        <v>4</v>
      </c>
      <c r="G326" t="s">
        <v>927</v>
      </c>
      <c r="H326">
        <v>2</v>
      </c>
      <c r="I326" t="s">
        <v>934</v>
      </c>
      <c r="J326" t="s">
        <v>385</v>
      </c>
      <c r="K326" s="2">
        <v>1</v>
      </c>
      <c r="L326" t="s">
        <v>702</v>
      </c>
      <c r="M326">
        <v>25</v>
      </c>
      <c r="N326" s="152">
        <v>44562</v>
      </c>
      <c r="O326" s="152" t="s">
        <v>937</v>
      </c>
      <c r="Q326" t="s">
        <v>421</v>
      </c>
      <c r="R326">
        <v>1</v>
      </c>
    </row>
    <row r="327" spans="1:18" x14ac:dyDescent="0.25">
      <c r="A327" t="str">
        <f>TableMJRUINTBU[[#This Row],[Study Package Code]]</f>
        <v>IBUS2000</v>
      </c>
      <c r="B327" s="2">
        <f>TableMJRUINTBU[[#This Row],[Ver]]</f>
        <v>1</v>
      </c>
      <c r="D327" t="str">
        <f>TableMJRUINTBU[[#This Row],[Structure Line]]</f>
        <v>International Business Ethics</v>
      </c>
      <c r="E327" s="42">
        <f>TableMJRUINTBU[[#This Row],[Credit Points]]</f>
        <v>25</v>
      </c>
      <c r="F327">
        <v>5</v>
      </c>
      <c r="G327" t="s">
        <v>927</v>
      </c>
      <c r="H327">
        <v>2</v>
      </c>
      <c r="I327" t="s">
        <v>934</v>
      </c>
      <c r="J327" t="s">
        <v>421</v>
      </c>
      <c r="K327" s="2">
        <v>1</v>
      </c>
      <c r="L327" t="s">
        <v>618</v>
      </c>
      <c r="M327">
        <v>25</v>
      </c>
      <c r="N327" s="152">
        <v>44562</v>
      </c>
      <c r="O327" s="152" t="s">
        <v>937</v>
      </c>
      <c r="Q327" t="s">
        <v>402</v>
      </c>
      <c r="R327">
        <v>2</v>
      </c>
    </row>
    <row r="328" spans="1:18" x14ac:dyDescent="0.25">
      <c r="A328" t="str">
        <f>TableMJRUINTBU[[#This Row],[Study Package Code]]</f>
        <v>MGMT3001</v>
      </c>
      <c r="B328" s="2">
        <f>TableMJRUINTBU[[#This Row],[Ver]]</f>
        <v>2</v>
      </c>
      <c r="D328" t="str">
        <f>TableMJRUINTBU[[#This Row],[Structure Line]]</f>
        <v>International Management</v>
      </c>
      <c r="E328" s="42">
        <f>TableMJRUINTBU[[#This Row],[Credit Points]]</f>
        <v>25</v>
      </c>
      <c r="F328">
        <v>6</v>
      </c>
      <c r="G328" t="s">
        <v>927</v>
      </c>
      <c r="H328">
        <v>3</v>
      </c>
      <c r="I328" t="s">
        <v>928</v>
      </c>
      <c r="J328" t="s">
        <v>402</v>
      </c>
      <c r="K328" s="2">
        <v>2</v>
      </c>
      <c r="L328" t="s">
        <v>706</v>
      </c>
      <c r="M328">
        <v>25</v>
      </c>
      <c r="N328" s="152">
        <v>42370</v>
      </c>
      <c r="O328" s="152" t="s">
        <v>937</v>
      </c>
      <c r="Q328" t="s">
        <v>449</v>
      </c>
      <c r="R328">
        <v>2</v>
      </c>
    </row>
    <row r="329" spans="1:18" x14ac:dyDescent="0.25">
      <c r="A329" t="str">
        <f>TableMJRUINTBU[[#This Row],[Study Package Code]]</f>
        <v>MGMT3010</v>
      </c>
      <c r="B329" s="2">
        <f>TableMJRUINTBU[[#This Row],[Ver]]</f>
        <v>1</v>
      </c>
      <c r="D329" t="str">
        <f>TableMJRUINTBU[[#This Row],[Structure Line]]</f>
        <v>Strategic Management</v>
      </c>
      <c r="E329" s="42">
        <f>TableMJRUINTBU[[#This Row],[Credit Points]]</f>
        <v>25</v>
      </c>
      <c r="F329">
        <v>7</v>
      </c>
      <c r="G329" t="s">
        <v>927</v>
      </c>
      <c r="H329">
        <v>3</v>
      </c>
      <c r="I329" t="s">
        <v>928</v>
      </c>
      <c r="J329" t="s">
        <v>465</v>
      </c>
      <c r="K329" s="2">
        <v>1</v>
      </c>
      <c r="L329" t="s">
        <v>712</v>
      </c>
      <c r="M329">
        <v>25</v>
      </c>
      <c r="N329" s="152">
        <v>42005</v>
      </c>
      <c r="O329" s="152" t="s">
        <v>937</v>
      </c>
      <c r="Q329" t="s">
        <v>973</v>
      </c>
      <c r="R329">
        <v>0</v>
      </c>
    </row>
    <row r="330" spans="1:18" x14ac:dyDescent="0.25">
      <c r="A330" t="str">
        <f>TableMJRUINTBU[[#This Row],[Study Package Code]]</f>
        <v>MGMT3016</v>
      </c>
      <c r="B330" s="2">
        <f>TableMJRUINTBU[[#This Row],[Ver]]</f>
        <v>2</v>
      </c>
      <c r="D330" t="str">
        <f>TableMJRUINTBU[[#This Row],[Structure Line]]</f>
        <v>Responsible Management in Asia</v>
      </c>
      <c r="E330" s="42">
        <f>TableMJRUINTBU[[#This Row],[Credit Points]]</f>
        <v>25</v>
      </c>
      <c r="F330">
        <v>8</v>
      </c>
      <c r="G330" t="s">
        <v>927</v>
      </c>
      <c r="H330">
        <v>3</v>
      </c>
      <c r="I330" t="s">
        <v>934</v>
      </c>
      <c r="J330" t="s">
        <v>449</v>
      </c>
      <c r="K330" s="2">
        <v>2</v>
      </c>
      <c r="L330" t="s">
        <v>716</v>
      </c>
      <c r="M330">
        <v>25</v>
      </c>
      <c r="N330" s="152">
        <v>44562</v>
      </c>
      <c r="O330" s="152" t="s">
        <v>937</v>
      </c>
      <c r="Q330" t="s">
        <v>465</v>
      </c>
      <c r="R330">
        <v>1</v>
      </c>
    </row>
    <row r="331" spans="1:18" x14ac:dyDescent="0.25">
      <c r="A331" t="str">
        <f>TableMJRUINTBU[[#This Row],[Study Package Code]]</f>
        <v>ISYS2013</v>
      </c>
      <c r="B331" s="2">
        <f>TableMJRUINTBU[[#This Row],[Ver]]</f>
        <v>2</v>
      </c>
      <c r="D331" t="str">
        <f>TableMJRUINTBU[[#This Row],[Structure Line]]</f>
        <v>Project Management</v>
      </c>
      <c r="E331" s="42">
        <f>TableMJRUINTBU[[#This Row],[Credit Points]]</f>
        <v>25</v>
      </c>
      <c r="F331">
        <v>3</v>
      </c>
      <c r="G331" t="s">
        <v>947</v>
      </c>
      <c r="H331">
        <v>2</v>
      </c>
      <c r="I331" t="s">
        <v>928</v>
      </c>
      <c r="J331" t="s">
        <v>398</v>
      </c>
      <c r="K331" s="2">
        <v>2</v>
      </c>
      <c r="L331" t="s">
        <v>644</v>
      </c>
      <c r="M331">
        <v>25</v>
      </c>
      <c r="N331" s="152">
        <v>43647</v>
      </c>
      <c r="O331" s="152"/>
      <c r="Q331" t="s">
        <v>398</v>
      </c>
      <c r="R331">
        <v>2</v>
      </c>
    </row>
    <row r="332" spans="1:18" x14ac:dyDescent="0.25">
      <c r="A332" t="str">
        <f>TableMJRUINTBU[[#This Row],[Study Package Code]]</f>
        <v>MKTG2002</v>
      </c>
      <c r="B332" s="2">
        <f>TableMJRUINTBU[[#This Row],[Ver]]</f>
        <v>2</v>
      </c>
      <c r="D332" t="str">
        <f>TableMJRUINTBU[[#This Row],[Structure Line]]</f>
        <v>Marketing Across Borders</v>
      </c>
      <c r="E332" s="42">
        <f>TableMJRUINTBU[[#This Row],[Credit Points]]</f>
        <v>25</v>
      </c>
      <c r="F332">
        <v>3</v>
      </c>
      <c r="G332" t="s">
        <v>947</v>
      </c>
      <c r="H332">
        <v>2</v>
      </c>
      <c r="I332" t="s">
        <v>928</v>
      </c>
      <c r="J332" t="s">
        <v>487</v>
      </c>
      <c r="K332" s="2">
        <v>2</v>
      </c>
      <c r="L332" t="s">
        <v>743</v>
      </c>
      <c r="M332">
        <v>25</v>
      </c>
      <c r="N332" s="152">
        <v>43831</v>
      </c>
      <c r="O332" s="152"/>
      <c r="Q332" t="s">
        <v>487</v>
      </c>
      <c r="R332">
        <v>2</v>
      </c>
    </row>
    <row r="333" spans="1:18" x14ac:dyDescent="0.25">
      <c r="B333"/>
      <c r="E333"/>
      <c r="F333" s="39"/>
      <c r="G333" s="40" t="s">
        <v>913</v>
      </c>
      <c r="H333" s="156">
        <v>45292</v>
      </c>
      <c r="I333" s="39"/>
      <c r="J333" s="155" t="s">
        <v>324</v>
      </c>
      <c r="K333" s="159" t="s">
        <v>325</v>
      </c>
      <c r="L333" s="155" t="s">
        <v>323</v>
      </c>
      <c r="M333" s="39"/>
      <c r="N333" s="179" t="s">
        <v>914</v>
      </c>
      <c r="O333" s="180">
        <v>45328</v>
      </c>
    </row>
    <row r="334" spans="1:18" x14ac:dyDescent="0.25">
      <c r="A334" t="s">
        <v>0</v>
      </c>
      <c r="B334" s="2" t="s">
        <v>915</v>
      </c>
      <c r="C334" t="s">
        <v>916</v>
      </c>
      <c r="D334" t="s">
        <v>3</v>
      </c>
      <c r="E334" s="42" t="s">
        <v>917</v>
      </c>
      <c r="F334" t="s">
        <v>918</v>
      </c>
      <c r="G334" t="s">
        <v>919</v>
      </c>
      <c r="H334" t="s">
        <v>920</v>
      </c>
      <c r="I334" t="s">
        <v>23</v>
      </c>
      <c r="J334" t="s">
        <v>921</v>
      </c>
      <c r="K334" s="2" t="s">
        <v>1</v>
      </c>
      <c r="L334" t="s">
        <v>922</v>
      </c>
      <c r="M334" t="s">
        <v>86</v>
      </c>
      <c r="N334" t="s">
        <v>923</v>
      </c>
      <c r="O334" t="s">
        <v>924</v>
      </c>
      <c r="Q334" t="s">
        <v>925</v>
      </c>
      <c r="R334" t="s">
        <v>926</v>
      </c>
    </row>
    <row r="335" spans="1:18" ht="15" customHeight="1" x14ac:dyDescent="0.25">
      <c r="A335" t="str">
        <f>TableMJRULGSCM[[#This Row],[Study Package Code]]</f>
        <v>MGMT2015</v>
      </c>
      <c r="B335" s="2">
        <f>TableMJRULGSCM[[#This Row],[Ver]]</f>
        <v>1</v>
      </c>
      <c r="D335" t="str">
        <f>TableMJRULGSCM[[#This Row],[Structure Line]]</f>
        <v>Supply Chain Management</v>
      </c>
      <c r="E335" s="42">
        <f>TableMJRULGSCM[[#This Row],[Credit Points]]</f>
        <v>25</v>
      </c>
      <c r="F335">
        <v>1</v>
      </c>
      <c r="G335" t="s">
        <v>927</v>
      </c>
      <c r="H335">
        <v>1</v>
      </c>
      <c r="I335" t="s">
        <v>934</v>
      </c>
      <c r="J335" t="s">
        <v>385</v>
      </c>
      <c r="K335" s="2">
        <v>1</v>
      </c>
      <c r="L335" t="s">
        <v>702</v>
      </c>
      <c r="M335">
        <v>25</v>
      </c>
      <c r="N335" s="152">
        <v>44562</v>
      </c>
      <c r="O335" s="152" t="s">
        <v>937</v>
      </c>
      <c r="Q335" t="s">
        <v>385</v>
      </c>
      <c r="R335">
        <v>1</v>
      </c>
    </row>
    <row r="336" spans="1:18" x14ac:dyDescent="0.25">
      <c r="A336" t="str">
        <f>TableMJRULGSCM[[#This Row],[Study Package Code]]</f>
        <v>MGMT2017</v>
      </c>
      <c r="B336" s="2">
        <f>TableMJRULGSCM[[#This Row],[Ver]]</f>
        <v>1</v>
      </c>
      <c r="D336" t="str">
        <f>TableMJRULGSCM[[#This Row],[Structure Line]]</f>
        <v>Supply Chain Decision Analytics</v>
      </c>
      <c r="E336" s="42">
        <f>TableMJRULGSCM[[#This Row],[Credit Points]]</f>
        <v>25</v>
      </c>
      <c r="F336">
        <v>2</v>
      </c>
      <c r="G336" t="s">
        <v>927</v>
      </c>
      <c r="H336">
        <v>2</v>
      </c>
      <c r="I336" t="s">
        <v>928</v>
      </c>
      <c r="J336" t="s">
        <v>399</v>
      </c>
      <c r="K336" s="2">
        <v>1</v>
      </c>
      <c r="L336" t="s">
        <v>704</v>
      </c>
      <c r="M336">
        <v>25</v>
      </c>
      <c r="N336" s="152">
        <v>44562</v>
      </c>
      <c r="O336" s="152" t="s">
        <v>937</v>
      </c>
      <c r="Q336" t="s">
        <v>399</v>
      </c>
      <c r="R336">
        <v>1</v>
      </c>
    </row>
    <row r="337" spans="1:18" x14ac:dyDescent="0.25">
      <c r="A337" t="str">
        <f>TableMJRULGSCM[[#This Row],[Study Package Code]]</f>
        <v>MGMT2016</v>
      </c>
      <c r="B337" s="2">
        <f>TableMJRULGSCM[[#This Row],[Ver]]</f>
        <v>1</v>
      </c>
      <c r="D337" t="str">
        <f>TableMJRULGSCM[[#This Row],[Structure Line]]</f>
        <v>Supply Chain Logistics</v>
      </c>
      <c r="E337" s="42">
        <f>TableMJRULGSCM[[#This Row],[Credit Points]]</f>
        <v>25</v>
      </c>
      <c r="F337">
        <v>3</v>
      </c>
      <c r="G337" t="s">
        <v>927</v>
      </c>
      <c r="H337">
        <v>2</v>
      </c>
      <c r="I337" t="s">
        <v>928</v>
      </c>
      <c r="J337" t="s">
        <v>422</v>
      </c>
      <c r="K337" s="2">
        <v>1</v>
      </c>
      <c r="L337" t="s">
        <v>703</v>
      </c>
      <c r="M337">
        <v>25</v>
      </c>
      <c r="N337" s="152">
        <v>44562</v>
      </c>
      <c r="O337" s="152" t="s">
        <v>937</v>
      </c>
      <c r="Q337" t="s">
        <v>422</v>
      </c>
      <c r="R337">
        <v>1</v>
      </c>
    </row>
    <row r="338" spans="1:18" x14ac:dyDescent="0.25">
      <c r="A338" t="str">
        <f>TableMJRULGSCM[[#This Row],[Study Package Code]]</f>
        <v>ISYS2013</v>
      </c>
      <c r="B338" s="2">
        <f>TableMJRULGSCM[[#This Row],[Ver]]</f>
        <v>2</v>
      </c>
      <c r="D338" t="str">
        <f>TableMJRULGSCM[[#This Row],[Structure Line]]</f>
        <v>Project Management</v>
      </c>
      <c r="E338" s="42">
        <f>TableMJRULGSCM[[#This Row],[Credit Points]]</f>
        <v>25</v>
      </c>
      <c r="F338">
        <v>4</v>
      </c>
      <c r="G338" t="s">
        <v>927</v>
      </c>
      <c r="H338">
        <v>2</v>
      </c>
      <c r="I338" t="s">
        <v>934</v>
      </c>
      <c r="J338" t="s">
        <v>398</v>
      </c>
      <c r="K338" s="2">
        <v>2</v>
      </c>
      <c r="L338" t="s">
        <v>644</v>
      </c>
      <c r="M338">
        <v>25</v>
      </c>
      <c r="N338" s="152">
        <v>43647</v>
      </c>
      <c r="O338" s="152" t="s">
        <v>937</v>
      </c>
      <c r="Q338" t="s">
        <v>398</v>
      </c>
      <c r="R338">
        <v>2</v>
      </c>
    </row>
    <row r="339" spans="1:18" x14ac:dyDescent="0.25">
      <c r="A339" t="str">
        <f>TableMJRULGSCM[[#This Row],[Study Package Code]]</f>
        <v>MGMT2018</v>
      </c>
      <c r="B339" s="2">
        <f>TableMJRULGSCM[[#This Row],[Ver]]</f>
        <v>1</v>
      </c>
      <c r="D339" t="str">
        <f>TableMJRULGSCM[[#This Row],[Structure Line]]</f>
        <v>Sustainable Procurement</v>
      </c>
      <c r="E339" s="42">
        <f>TableMJRULGSCM[[#This Row],[Credit Points]]</f>
        <v>25</v>
      </c>
      <c r="F339">
        <v>5</v>
      </c>
      <c r="G339" t="s">
        <v>927</v>
      </c>
      <c r="H339">
        <v>2</v>
      </c>
      <c r="I339" t="s">
        <v>934</v>
      </c>
      <c r="J339" t="s">
        <v>400</v>
      </c>
      <c r="K339" s="2">
        <v>1</v>
      </c>
      <c r="L339" t="s">
        <v>705</v>
      </c>
      <c r="M339">
        <v>25</v>
      </c>
      <c r="N339" s="152">
        <v>44562</v>
      </c>
      <c r="O339" s="152" t="s">
        <v>937</v>
      </c>
      <c r="Q339" t="s">
        <v>400</v>
      </c>
      <c r="R339">
        <v>1</v>
      </c>
    </row>
    <row r="340" spans="1:18" x14ac:dyDescent="0.25">
      <c r="A340" t="str">
        <f>TableMJRULGSCM[[#This Row],[Study Package Code]]</f>
        <v>MGMT3018</v>
      </c>
      <c r="B340" s="2">
        <f>TableMJRULGSCM[[#This Row],[Ver]]</f>
        <v>1</v>
      </c>
      <c r="D340" t="str">
        <f>TableMJRULGSCM[[#This Row],[Structure Line]]</f>
        <v>Operations and Materials Management</v>
      </c>
      <c r="E340" s="42">
        <f>TableMJRULGSCM[[#This Row],[Credit Points]]</f>
        <v>25</v>
      </c>
      <c r="F340">
        <v>6</v>
      </c>
      <c r="G340" t="s">
        <v>927</v>
      </c>
      <c r="H340">
        <v>3</v>
      </c>
      <c r="I340" s="153" t="s">
        <v>928</v>
      </c>
      <c r="J340" t="s">
        <v>423</v>
      </c>
      <c r="K340" s="2">
        <v>1</v>
      </c>
      <c r="L340" t="s">
        <v>718</v>
      </c>
      <c r="M340">
        <v>25</v>
      </c>
      <c r="N340" s="152">
        <v>42005</v>
      </c>
      <c r="O340" s="152" t="s">
        <v>937</v>
      </c>
      <c r="Q340" t="s">
        <v>423</v>
      </c>
      <c r="R340">
        <v>1</v>
      </c>
    </row>
    <row r="341" spans="1:18" x14ac:dyDescent="0.25">
      <c r="A341" t="str">
        <f>TableMJRULGSCM[[#This Row],[Study Package Code]]</f>
        <v>MGMT3017</v>
      </c>
      <c r="B341" s="2">
        <f>TableMJRULGSCM[[#This Row],[Ver]]</f>
        <v>2</v>
      </c>
      <c r="D341" t="str">
        <f>TableMJRULGSCM[[#This Row],[Structure Line]]</f>
        <v>Supply Chain Capstone</v>
      </c>
      <c r="E341" s="42">
        <f>TableMJRULGSCM[[#This Row],[Credit Points]]</f>
        <v>25</v>
      </c>
      <c r="F341">
        <v>7</v>
      </c>
      <c r="G341" t="s">
        <v>927</v>
      </c>
      <c r="H341">
        <v>3</v>
      </c>
      <c r="I341" t="s">
        <v>934</v>
      </c>
      <c r="J341" t="s">
        <v>450</v>
      </c>
      <c r="K341" s="2">
        <v>2</v>
      </c>
      <c r="L341" t="s">
        <v>717</v>
      </c>
      <c r="M341">
        <v>25</v>
      </c>
      <c r="N341" s="152">
        <v>44562</v>
      </c>
      <c r="O341" s="152" t="s">
        <v>937</v>
      </c>
      <c r="Q341" t="s">
        <v>450</v>
      </c>
      <c r="R341">
        <v>2</v>
      </c>
    </row>
    <row r="342" spans="1:18" x14ac:dyDescent="0.25">
      <c r="A342" t="str">
        <f>TableMJRULGSCM[[#This Row],[Study Package Code]]</f>
        <v>MGMT3031</v>
      </c>
      <c r="B342" s="2">
        <f>TableMJRULGSCM[[#This Row],[Ver]]</f>
        <v>1</v>
      </c>
      <c r="D342" t="str">
        <f>TableMJRULGSCM[[#This Row],[Structure Line]]</f>
        <v>Supply Chain Project</v>
      </c>
      <c r="E342" s="42">
        <f>TableMJRULGSCM[[#This Row],[Credit Points]]</f>
        <v>25</v>
      </c>
      <c r="F342">
        <v>8</v>
      </c>
      <c r="G342" t="s">
        <v>927</v>
      </c>
      <c r="H342">
        <v>3</v>
      </c>
      <c r="I342" t="s">
        <v>934</v>
      </c>
      <c r="J342" t="s">
        <v>466</v>
      </c>
      <c r="K342" s="2">
        <v>1</v>
      </c>
      <c r="L342" t="s">
        <v>721</v>
      </c>
      <c r="M342">
        <v>25</v>
      </c>
      <c r="N342" s="152">
        <v>44562</v>
      </c>
      <c r="O342" s="152" t="s">
        <v>937</v>
      </c>
      <c r="Q342" t="s">
        <v>466</v>
      </c>
      <c r="R342">
        <v>1</v>
      </c>
    </row>
    <row r="343" spans="1:18" x14ac:dyDescent="0.25">
      <c r="B343"/>
      <c r="E343"/>
      <c r="F343" s="39"/>
      <c r="G343" s="40" t="s">
        <v>913</v>
      </c>
      <c r="H343" s="183">
        <v>42005</v>
      </c>
      <c r="I343" s="39"/>
      <c r="J343" s="155" t="s">
        <v>327</v>
      </c>
      <c r="K343" s="41" t="s">
        <v>116</v>
      </c>
      <c r="L343" s="39" t="s">
        <v>326</v>
      </c>
      <c r="M343" s="39"/>
      <c r="N343" s="179" t="s">
        <v>914</v>
      </c>
      <c r="O343" s="180">
        <v>45328</v>
      </c>
    </row>
    <row r="344" spans="1:18" x14ac:dyDescent="0.25">
      <c r="A344" t="s">
        <v>0</v>
      </c>
      <c r="B344" s="2" t="s">
        <v>915</v>
      </c>
      <c r="C344" t="s">
        <v>916</v>
      </c>
      <c r="D344" t="s">
        <v>3</v>
      </c>
      <c r="E344" s="42" t="s">
        <v>917</v>
      </c>
      <c r="F344" t="s">
        <v>918</v>
      </c>
      <c r="G344" t="s">
        <v>919</v>
      </c>
      <c r="H344" t="s">
        <v>920</v>
      </c>
      <c r="I344" t="s">
        <v>23</v>
      </c>
      <c r="J344" t="s">
        <v>921</v>
      </c>
      <c r="K344" s="2" t="s">
        <v>1</v>
      </c>
      <c r="L344" t="s">
        <v>922</v>
      </c>
      <c r="M344" t="s">
        <v>86</v>
      </c>
      <c r="N344" s="149" t="s">
        <v>923</v>
      </c>
      <c r="O344" s="149" t="s">
        <v>924</v>
      </c>
      <c r="Q344" t="s">
        <v>925</v>
      </c>
      <c r="R344" t="s">
        <v>926</v>
      </c>
    </row>
    <row r="345" spans="1:18" x14ac:dyDescent="0.25">
      <c r="A345" t="str">
        <f>TableMJRUMNGMT[[#This Row],[Study Package Code]]</f>
        <v>MGMT2000</v>
      </c>
      <c r="B345" s="2">
        <f>TableMJRUMNGMT[[#This Row],[Ver]]</f>
        <v>1</v>
      </c>
      <c r="D345" t="str">
        <f>TableMJRUMNGMT[[#This Row],[Structure Line]]</f>
        <v>Organisational Behaviour</v>
      </c>
      <c r="E345" s="42">
        <f>TableMJRUMNGMT[[#This Row],[Credit Points]]</f>
        <v>25</v>
      </c>
      <c r="F345">
        <v>1</v>
      </c>
      <c r="G345" t="s">
        <v>927</v>
      </c>
      <c r="H345">
        <v>1</v>
      </c>
      <c r="I345" t="s">
        <v>934</v>
      </c>
      <c r="J345" t="s">
        <v>386</v>
      </c>
      <c r="K345" s="2">
        <v>1</v>
      </c>
      <c r="L345" t="s">
        <v>693</v>
      </c>
      <c r="M345">
        <v>25</v>
      </c>
      <c r="N345" s="152">
        <v>42005</v>
      </c>
      <c r="O345" s="152"/>
      <c r="Q345" t="s">
        <v>386</v>
      </c>
      <c r="R345">
        <v>1</v>
      </c>
    </row>
    <row r="346" spans="1:18" x14ac:dyDescent="0.25">
      <c r="A346" t="str">
        <f>TableMJRUMNGMT[[#This Row],[Study Package Code]]</f>
        <v>MGMT3002</v>
      </c>
      <c r="B346" s="2">
        <f>TableMJRUMNGMT[[#This Row],[Ver]]</f>
        <v>1</v>
      </c>
      <c r="D346" t="str">
        <f>TableMJRUMNGMT[[#This Row],[Structure Line]]</f>
        <v>Managing Change</v>
      </c>
      <c r="E346" s="42">
        <f>TableMJRUMNGMT[[#This Row],[Credit Points]]</f>
        <v>25</v>
      </c>
      <c r="F346">
        <v>2</v>
      </c>
      <c r="G346" t="s">
        <v>927</v>
      </c>
      <c r="H346">
        <v>3</v>
      </c>
      <c r="I346" t="s">
        <v>928</v>
      </c>
      <c r="J346" t="s">
        <v>440</v>
      </c>
      <c r="K346" s="2">
        <v>1</v>
      </c>
      <c r="L346" t="s">
        <v>707</v>
      </c>
      <c r="M346">
        <v>25</v>
      </c>
      <c r="N346" s="152">
        <v>42005</v>
      </c>
      <c r="O346" s="152"/>
      <c r="Q346" t="s">
        <v>440</v>
      </c>
      <c r="R346">
        <v>1</v>
      </c>
    </row>
    <row r="347" spans="1:18" x14ac:dyDescent="0.25">
      <c r="A347" t="str">
        <f>TableMJRUMNGMT[[#This Row],[Study Package Code]]</f>
        <v>AC-MNGMT</v>
      </c>
      <c r="B347" s="2">
        <f>TableMJRUMNGMT[[#This Row],[Ver]]</f>
        <v>0</v>
      </c>
      <c r="D347" t="str">
        <f>TableMJRUMNGMT[[#This Row],[Structure Line]]</f>
        <v>Choose MGMT2008 or BLAW2011</v>
      </c>
      <c r="E347" s="42">
        <f>TableMJRUMNGMT[[#This Row],[Credit Points]]</f>
        <v>25</v>
      </c>
      <c r="F347">
        <v>3</v>
      </c>
      <c r="G347" t="s">
        <v>947</v>
      </c>
      <c r="H347">
        <v>2</v>
      </c>
      <c r="I347" t="s">
        <v>928</v>
      </c>
      <c r="J347" t="s">
        <v>424</v>
      </c>
      <c r="K347" s="2">
        <v>0</v>
      </c>
      <c r="L347" t="s">
        <v>974</v>
      </c>
      <c r="M347">
        <v>25</v>
      </c>
      <c r="N347" s="152"/>
      <c r="O347" s="152"/>
      <c r="Q347" t="s">
        <v>975</v>
      </c>
      <c r="R347">
        <v>0</v>
      </c>
    </row>
    <row r="348" spans="1:18" x14ac:dyDescent="0.25">
      <c r="A348" t="str">
        <f>TableMJRUMNGMT[[#This Row],[Study Package Code]]</f>
        <v>MGMT2004</v>
      </c>
      <c r="B348" s="2">
        <f>TableMJRUMNGMT[[#This Row],[Ver]]</f>
        <v>2</v>
      </c>
      <c r="D348" t="str">
        <f>TableMJRUMNGMT[[#This Row],[Structure Line]]</f>
        <v>Business and Sustainable Development</v>
      </c>
      <c r="E348" s="42">
        <f>TableMJRUMNGMT[[#This Row],[Credit Points]]</f>
        <v>25</v>
      </c>
      <c r="F348">
        <v>4</v>
      </c>
      <c r="G348" t="s">
        <v>927</v>
      </c>
      <c r="H348">
        <v>2</v>
      </c>
      <c r="I348" t="s">
        <v>928</v>
      </c>
      <c r="J348" t="s">
        <v>401</v>
      </c>
      <c r="K348" s="2">
        <v>2</v>
      </c>
      <c r="L348" t="s">
        <v>697</v>
      </c>
      <c r="M348">
        <v>25</v>
      </c>
      <c r="N348" s="152">
        <v>42736</v>
      </c>
      <c r="O348" s="152"/>
      <c r="Q348" t="s">
        <v>401</v>
      </c>
      <c r="R348">
        <v>2</v>
      </c>
    </row>
    <row r="349" spans="1:18" x14ac:dyDescent="0.25">
      <c r="A349" t="str">
        <f>TableMJRUMNGMT[[#This Row],[Study Package Code]]</f>
        <v>MGMT3001</v>
      </c>
      <c r="B349" s="2">
        <f>TableMJRUMNGMT[[#This Row],[Ver]]</f>
        <v>2</v>
      </c>
      <c r="D349" t="str">
        <f>TableMJRUMNGMT[[#This Row],[Structure Line]]</f>
        <v>International Management</v>
      </c>
      <c r="E349" s="42">
        <f>TableMJRUMNGMT[[#This Row],[Credit Points]]</f>
        <v>25</v>
      </c>
      <c r="F349">
        <v>5</v>
      </c>
      <c r="G349" t="s">
        <v>927</v>
      </c>
      <c r="H349">
        <v>2</v>
      </c>
      <c r="I349" t="s">
        <v>934</v>
      </c>
      <c r="J349" t="s">
        <v>402</v>
      </c>
      <c r="K349" s="2">
        <v>2</v>
      </c>
      <c r="L349" t="s">
        <v>706</v>
      </c>
      <c r="M349">
        <v>25</v>
      </c>
      <c r="N349" s="152">
        <v>42370</v>
      </c>
      <c r="O349" s="152"/>
      <c r="Q349" t="s">
        <v>402</v>
      </c>
      <c r="R349">
        <v>2</v>
      </c>
    </row>
    <row r="350" spans="1:18" x14ac:dyDescent="0.25">
      <c r="A350" t="str">
        <f>TableMJRUMNGMT[[#This Row],[Study Package Code]]</f>
        <v>MGMT3004</v>
      </c>
      <c r="B350" s="2">
        <f>TableMJRUMNGMT[[#This Row],[Ver]]</f>
        <v>1</v>
      </c>
      <c r="D350" t="str">
        <f>TableMJRUMNGMT[[#This Row],[Structure Line]]</f>
        <v>Entrepreneurship</v>
      </c>
      <c r="E350" s="42">
        <f>TableMJRUMNGMT[[#This Row],[Credit Points]]</f>
        <v>25</v>
      </c>
      <c r="F350">
        <v>6</v>
      </c>
      <c r="G350" t="s">
        <v>927</v>
      </c>
      <c r="H350">
        <v>2</v>
      </c>
      <c r="I350" t="s">
        <v>934</v>
      </c>
      <c r="J350" t="s">
        <v>425</v>
      </c>
      <c r="K350" s="2">
        <v>1</v>
      </c>
      <c r="L350" t="s">
        <v>709</v>
      </c>
      <c r="M350">
        <v>25</v>
      </c>
      <c r="N350" s="152">
        <v>42005</v>
      </c>
      <c r="O350" s="152">
        <v>45322</v>
      </c>
      <c r="Q350" t="s">
        <v>425</v>
      </c>
      <c r="R350">
        <v>1</v>
      </c>
    </row>
    <row r="351" spans="1:18" x14ac:dyDescent="0.25">
      <c r="A351" t="str">
        <f>TableMJRUMNGMT[[#This Row],[Study Package Code]]</f>
        <v>MGMT3006</v>
      </c>
      <c r="B351" s="2">
        <f>TableMJRUMNGMT[[#This Row],[Ver]]</f>
        <v>1</v>
      </c>
      <c r="D351" t="str">
        <f>TableMJRUMNGMT[[#This Row],[Structure Line]]</f>
        <v>Business Ethics</v>
      </c>
      <c r="E351" s="42">
        <f>TableMJRUMNGMT[[#This Row],[Credit Points]]</f>
        <v>25</v>
      </c>
      <c r="F351">
        <v>7</v>
      </c>
      <c r="G351" t="s">
        <v>927</v>
      </c>
      <c r="H351">
        <v>3</v>
      </c>
      <c r="I351" t="s">
        <v>934</v>
      </c>
      <c r="J351" t="s">
        <v>451</v>
      </c>
      <c r="K351" s="2">
        <v>1</v>
      </c>
      <c r="L351" t="s">
        <v>711</v>
      </c>
      <c r="M351">
        <v>25</v>
      </c>
      <c r="N351" s="152">
        <v>42005</v>
      </c>
      <c r="O351" s="152"/>
      <c r="Q351" t="s">
        <v>451</v>
      </c>
      <c r="R351">
        <v>1</v>
      </c>
    </row>
    <row r="352" spans="1:18" x14ac:dyDescent="0.25">
      <c r="A352" t="str">
        <f>TableMJRUMNGMT[[#This Row],[Study Package Code]]</f>
        <v>MGMT3010</v>
      </c>
      <c r="B352" s="2">
        <f>TableMJRUMNGMT[[#This Row],[Ver]]</f>
        <v>1</v>
      </c>
      <c r="D352" t="str">
        <f>TableMJRUMNGMT[[#This Row],[Structure Line]]</f>
        <v>Strategic Management</v>
      </c>
      <c r="E352" s="42">
        <f>TableMJRUMNGMT[[#This Row],[Credit Points]]</f>
        <v>25</v>
      </c>
      <c r="F352">
        <v>8</v>
      </c>
      <c r="G352" t="s">
        <v>927</v>
      </c>
      <c r="H352">
        <v>3</v>
      </c>
      <c r="I352" t="s">
        <v>928</v>
      </c>
      <c r="J352" t="s">
        <v>465</v>
      </c>
      <c r="K352" s="2">
        <v>1</v>
      </c>
      <c r="L352" t="s">
        <v>712</v>
      </c>
      <c r="M352">
        <v>25</v>
      </c>
      <c r="N352" s="152">
        <v>42005</v>
      </c>
      <c r="O352" s="152"/>
      <c r="Q352" t="s">
        <v>465</v>
      </c>
      <c r="R352">
        <v>1</v>
      </c>
    </row>
    <row r="353" spans="1:18" x14ac:dyDescent="0.25">
      <c r="A353" t="str">
        <f>TableMJRUMNGMT[[#This Row],[Study Package Code]]</f>
        <v>BLAW2011</v>
      </c>
      <c r="B353" s="2">
        <f>TableMJRUMNGMT[[#This Row],[Ver]]</f>
        <v>1</v>
      </c>
      <c r="D353" t="str">
        <f>TableMJRUMNGMT[[#This Row],[Structure Line]]</f>
        <v>Safety and Environmental Health Law</v>
      </c>
      <c r="E353" s="42">
        <f>TableMJRUMNGMT[[#This Row],[Credit Points]]</f>
        <v>25</v>
      </c>
      <c r="F353">
        <v>9</v>
      </c>
      <c r="G353" t="s">
        <v>947</v>
      </c>
      <c r="H353">
        <v>2</v>
      </c>
      <c r="I353" t="s">
        <v>928</v>
      </c>
      <c r="J353" t="s">
        <v>479</v>
      </c>
      <c r="K353" s="2">
        <v>1</v>
      </c>
      <c r="L353" t="s">
        <v>542</v>
      </c>
      <c r="M353">
        <v>25</v>
      </c>
      <c r="N353" s="152">
        <v>42005</v>
      </c>
      <c r="O353" s="152"/>
      <c r="Q353" t="s">
        <v>479</v>
      </c>
      <c r="R353">
        <v>1</v>
      </c>
    </row>
    <row r="354" spans="1:18" x14ac:dyDescent="0.25">
      <c r="A354" t="str">
        <f>TableMJRUMNGMT[[#This Row],[Study Package Code]]</f>
        <v>MGMT2008</v>
      </c>
      <c r="B354" s="2">
        <f>TableMJRUMNGMT[[#This Row],[Ver]]</f>
        <v>2</v>
      </c>
      <c r="D354" t="str">
        <f>TableMJRUMNGMT[[#This Row],[Structure Line]]</f>
        <v>Human Resources Management Introduction</v>
      </c>
      <c r="E354" s="42">
        <f>TableMJRUMNGMT[[#This Row],[Credit Points]]</f>
        <v>25</v>
      </c>
      <c r="F354">
        <v>9</v>
      </c>
      <c r="G354" t="s">
        <v>947</v>
      </c>
      <c r="H354">
        <v>2</v>
      </c>
      <c r="I354" t="s">
        <v>928</v>
      </c>
      <c r="J354" t="s">
        <v>383</v>
      </c>
      <c r="K354" s="2">
        <v>2</v>
      </c>
      <c r="L354" t="s">
        <v>700</v>
      </c>
      <c r="M354">
        <v>25</v>
      </c>
      <c r="N354" s="152">
        <v>43647</v>
      </c>
      <c r="O354" s="152"/>
      <c r="Q354" t="s">
        <v>383</v>
      </c>
      <c r="R354">
        <v>2</v>
      </c>
    </row>
    <row r="355" spans="1:18" x14ac:dyDescent="0.25">
      <c r="B355"/>
      <c r="E355"/>
      <c r="F355" s="39"/>
      <c r="G355" s="40" t="s">
        <v>913</v>
      </c>
      <c r="H355" s="156">
        <v>45292</v>
      </c>
      <c r="I355" s="39"/>
      <c r="J355" s="155" t="s">
        <v>329</v>
      </c>
      <c r="K355" s="159" t="s">
        <v>111</v>
      </c>
      <c r="L355" s="155" t="s">
        <v>328</v>
      </c>
      <c r="M355" s="39"/>
      <c r="N355" s="179" t="s">
        <v>914</v>
      </c>
      <c r="O355" s="180">
        <v>45328</v>
      </c>
    </row>
    <row r="356" spans="1:18" x14ac:dyDescent="0.25">
      <c r="A356" t="s">
        <v>0</v>
      </c>
      <c r="B356" s="2" t="s">
        <v>915</v>
      </c>
      <c r="C356" t="s">
        <v>916</v>
      </c>
      <c r="D356" t="s">
        <v>3</v>
      </c>
      <c r="E356" s="42" t="s">
        <v>917</v>
      </c>
      <c r="F356" t="s">
        <v>918</v>
      </c>
      <c r="G356" t="s">
        <v>919</v>
      </c>
      <c r="H356" t="s">
        <v>920</v>
      </c>
      <c r="I356" t="s">
        <v>23</v>
      </c>
      <c r="J356" t="s">
        <v>921</v>
      </c>
      <c r="K356" s="2" t="s">
        <v>1</v>
      </c>
      <c r="L356" t="s">
        <v>922</v>
      </c>
      <c r="M356" t="s">
        <v>86</v>
      </c>
      <c r="N356" s="149" t="s">
        <v>923</v>
      </c>
      <c r="O356" s="149" t="s">
        <v>924</v>
      </c>
      <c r="Q356" t="s">
        <v>925</v>
      </c>
      <c r="R356" t="s">
        <v>926</v>
      </c>
    </row>
    <row r="357" spans="1:18" x14ac:dyDescent="0.25">
      <c r="A357" t="str">
        <f>TableMJRUMRKTG[[#This Row],[Study Package Code]]</f>
        <v>MKTG2004</v>
      </c>
      <c r="B357" s="2">
        <f>TableMJRUMRKTG[[#This Row],[Ver]]</f>
        <v>1</v>
      </c>
      <c r="D357" t="str">
        <f>TableMJRUMRKTG[[#This Row],[Structure Line]]</f>
        <v>Consumer Behaviour</v>
      </c>
      <c r="E357" s="42">
        <f>TableMJRUMRKTG[[#This Row],[Credit Points]]</f>
        <v>25</v>
      </c>
      <c r="F357">
        <v>1</v>
      </c>
      <c r="G357" t="s">
        <v>927</v>
      </c>
      <c r="H357">
        <v>1</v>
      </c>
      <c r="I357" t="s">
        <v>934</v>
      </c>
      <c r="J357" t="s">
        <v>387</v>
      </c>
      <c r="K357" s="2">
        <v>1</v>
      </c>
      <c r="L357" t="s">
        <v>744</v>
      </c>
      <c r="M357">
        <v>25</v>
      </c>
      <c r="N357" s="152">
        <v>42005</v>
      </c>
      <c r="O357" s="152" t="s">
        <v>937</v>
      </c>
      <c r="Q357" t="s">
        <v>487</v>
      </c>
      <c r="R357">
        <v>2</v>
      </c>
    </row>
    <row r="358" spans="1:18" x14ac:dyDescent="0.25">
      <c r="A358" t="str">
        <f>TableMJRUMRKTG[[#This Row],[Study Package Code]]</f>
        <v>MKTG2006</v>
      </c>
      <c r="B358" s="2">
        <f>TableMJRUMRKTG[[#This Row],[Ver]]</f>
        <v>2</v>
      </c>
      <c r="D358" t="str">
        <f>TableMJRUMRKTG[[#This Row],[Structure Line]]</f>
        <v>Managing Social Media Platforms</v>
      </c>
      <c r="E358" s="42">
        <f>TableMJRUMRKTG[[#This Row],[Credit Points]]</f>
        <v>25</v>
      </c>
      <c r="F358">
        <v>2</v>
      </c>
      <c r="G358" t="s">
        <v>927</v>
      </c>
      <c r="H358">
        <v>2</v>
      </c>
      <c r="I358" t="s">
        <v>928</v>
      </c>
      <c r="J358" t="s">
        <v>403</v>
      </c>
      <c r="K358" s="2">
        <v>2</v>
      </c>
      <c r="L358" t="s">
        <v>747</v>
      </c>
      <c r="M358">
        <v>25</v>
      </c>
      <c r="N358" s="152">
        <v>43831</v>
      </c>
      <c r="O358" s="152" t="s">
        <v>937</v>
      </c>
      <c r="Q358" t="s">
        <v>387</v>
      </c>
      <c r="R358">
        <v>1</v>
      </c>
    </row>
    <row r="359" spans="1:18" x14ac:dyDescent="0.25">
      <c r="A359" t="str">
        <f>TableMJRUMRKTG[[#This Row],[Study Package Code]]</f>
        <v>AC-MRKTGY2</v>
      </c>
      <c r="B359" s="2">
        <f>TableMJRUMRKTG[[#This Row],[Ver]]</f>
        <v>0</v>
      </c>
      <c r="D359" t="str">
        <f>TableMJRUMRKTG[[#This Row],[Structure Line]]</f>
        <v>Choose MKTG2000 or MKTG2002</v>
      </c>
      <c r="E359" s="42">
        <f>TableMJRUMRKTG[[#This Row],[Credit Points]]</f>
        <v>25</v>
      </c>
      <c r="F359">
        <v>3</v>
      </c>
      <c r="G359" t="s">
        <v>947</v>
      </c>
      <c r="H359">
        <v>2</v>
      </c>
      <c r="I359" t="s">
        <v>928</v>
      </c>
      <c r="J359" t="s">
        <v>426</v>
      </c>
      <c r="K359" s="2">
        <v>0</v>
      </c>
      <c r="L359" t="s">
        <v>976</v>
      </c>
      <c r="M359">
        <v>25</v>
      </c>
      <c r="N359" s="152"/>
      <c r="O359" s="152"/>
      <c r="Q359" t="s">
        <v>403</v>
      </c>
      <c r="R359">
        <v>2</v>
      </c>
    </row>
    <row r="360" spans="1:18" x14ac:dyDescent="0.25">
      <c r="A360" t="str">
        <f>TableMJRUMRKTG[[#This Row],[Study Package Code]]</f>
        <v>MKTG3003</v>
      </c>
      <c r="B360" s="2">
        <f>TableMJRUMRKTG[[#This Row],[Ver]]</f>
        <v>3</v>
      </c>
      <c r="D360" t="str">
        <f>TableMJRUMRKTG[[#This Row],[Structure Line]]</f>
        <v>Digital Marketing and E-Commerce</v>
      </c>
      <c r="E360" s="42">
        <f>TableMJRUMRKTG[[#This Row],[Credit Points]]</f>
        <v>25</v>
      </c>
      <c r="F360">
        <v>4</v>
      </c>
      <c r="G360" t="s">
        <v>927</v>
      </c>
      <c r="H360">
        <v>2</v>
      </c>
      <c r="I360" t="s">
        <v>934</v>
      </c>
      <c r="J360" t="s">
        <v>404</v>
      </c>
      <c r="K360" s="2">
        <v>3</v>
      </c>
      <c r="L360" t="s">
        <v>748</v>
      </c>
      <c r="M360">
        <v>25</v>
      </c>
      <c r="N360" s="152">
        <v>45292</v>
      </c>
      <c r="O360" s="152" t="s">
        <v>937</v>
      </c>
      <c r="Q360" t="s">
        <v>404</v>
      </c>
      <c r="R360">
        <v>2</v>
      </c>
    </row>
    <row r="361" spans="1:18" x14ac:dyDescent="0.25">
      <c r="A361" t="str">
        <f>TableMJRUMRKTG[[#This Row],[Study Package Code]]</f>
        <v>MKTG2005</v>
      </c>
      <c r="B361" s="2">
        <f>TableMJRUMRKTG[[#This Row],[Ver]]</f>
        <v>2</v>
      </c>
      <c r="D361" t="str">
        <f>TableMJRUMRKTG[[#This Row],[Structure Line]]</f>
        <v>Marketing Intelligence</v>
      </c>
      <c r="E361" s="42">
        <f>TableMJRUMRKTG[[#This Row],[Credit Points]]</f>
        <v>25</v>
      </c>
      <c r="F361">
        <v>5</v>
      </c>
      <c r="G361" t="s">
        <v>927</v>
      </c>
      <c r="H361">
        <v>2</v>
      </c>
      <c r="I361" t="s">
        <v>934</v>
      </c>
      <c r="J361" t="s">
        <v>427</v>
      </c>
      <c r="K361" s="2">
        <v>2</v>
      </c>
      <c r="L361" t="s">
        <v>745</v>
      </c>
      <c r="M361">
        <v>25</v>
      </c>
      <c r="N361" s="152">
        <v>44197</v>
      </c>
      <c r="O361" s="152" t="s">
        <v>937</v>
      </c>
      <c r="Q361" t="s">
        <v>427</v>
      </c>
      <c r="R361">
        <v>2</v>
      </c>
    </row>
    <row r="362" spans="1:18" x14ac:dyDescent="0.25">
      <c r="A362" t="str">
        <f>TableMJRUMRKTG[[#This Row],[Study Package Code]]</f>
        <v>MKTG3006</v>
      </c>
      <c r="B362" s="2">
        <f>TableMJRUMRKTG[[#This Row],[Ver]]</f>
        <v>1</v>
      </c>
      <c r="D362" t="str">
        <f>TableMJRUMRKTG[[#This Row],[Structure Line]]</f>
        <v>Services Marketing</v>
      </c>
      <c r="E362" s="42">
        <f>TableMJRUMRKTG[[#This Row],[Credit Points]]</f>
        <v>25</v>
      </c>
      <c r="F362">
        <v>6</v>
      </c>
      <c r="G362" t="s">
        <v>927</v>
      </c>
      <c r="H362">
        <v>3</v>
      </c>
      <c r="I362" t="s">
        <v>928</v>
      </c>
      <c r="J362" t="s">
        <v>452</v>
      </c>
      <c r="K362" s="2">
        <v>1</v>
      </c>
      <c r="L362" t="s">
        <v>753</v>
      </c>
      <c r="M362">
        <v>25</v>
      </c>
      <c r="N362" s="152">
        <v>42005</v>
      </c>
      <c r="O362" s="152" t="s">
        <v>937</v>
      </c>
      <c r="Q362" t="s">
        <v>977</v>
      </c>
      <c r="R362">
        <v>0</v>
      </c>
    </row>
    <row r="363" spans="1:18" x14ac:dyDescent="0.25">
      <c r="A363" t="str">
        <f>TableMJRUMRKTG[[#This Row],[Study Package Code]]</f>
        <v>AC-MRKTGY3</v>
      </c>
      <c r="B363" s="2">
        <f>TableMJRUMRKTG[[#This Row],[Ver]]</f>
        <v>0</v>
      </c>
      <c r="D363" t="str">
        <f>TableMJRUMRKTG[[#This Row],[Structure Line]]</f>
        <v>Choose MKTG3009 or MKTG3010</v>
      </c>
      <c r="E363" s="42">
        <f>TableMJRUMRKTG[[#This Row],[Credit Points]]</f>
        <v>25</v>
      </c>
      <c r="F363">
        <v>7</v>
      </c>
      <c r="G363" t="s">
        <v>947</v>
      </c>
      <c r="H363">
        <v>3</v>
      </c>
      <c r="I363" t="s">
        <v>928</v>
      </c>
      <c r="J363" t="s">
        <v>467</v>
      </c>
      <c r="K363" s="2">
        <v>0</v>
      </c>
      <c r="L363" t="s">
        <v>978</v>
      </c>
      <c r="M363">
        <v>25</v>
      </c>
      <c r="N363" s="152"/>
      <c r="O363" s="152"/>
      <c r="Q363" t="s">
        <v>452</v>
      </c>
      <c r="R363">
        <v>1</v>
      </c>
    </row>
    <row r="364" spans="1:18" x14ac:dyDescent="0.25">
      <c r="A364" t="str">
        <f>TableMJRUMRKTG[[#This Row],[Study Package Code]]</f>
        <v>MKTG3004</v>
      </c>
      <c r="B364" s="2">
        <f>TableMJRUMRKTG[[#This Row],[Ver]]</f>
        <v>2</v>
      </c>
      <c r="D364" t="str">
        <f>TableMJRUMRKTG[[#This Row],[Structure Line]]</f>
        <v>Corporate Marketing Strategy</v>
      </c>
      <c r="E364" s="42">
        <f>TableMJRUMRKTG[[#This Row],[Credit Points]]</f>
        <v>25</v>
      </c>
      <c r="F364">
        <v>8</v>
      </c>
      <c r="G364" t="s">
        <v>927</v>
      </c>
      <c r="H364">
        <v>3</v>
      </c>
      <c r="I364" t="s">
        <v>934</v>
      </c>
      <c r="J364" t="s">
        <v>453</v>
      </c>
      <c r="K364" s="2">
        <v>2</v>
      </c>
      <c r="L364" t="s">
        <v>751</v>
      </c>
      <c r="M364">
        <v>25</v>
      </c>
      <c r="N364" s="152">
        <v>43831</v>
      </c>
      <c r="O364" s="152" t="s">
        <v>937</v>
      </c>
      <c r="Q364" t="s">
        <v>453</v>
      </c>
      <c r="R364">
        <v>2</v>
      </c>
    </row>
    <row r="365" spans="1:18" x14ac:dyDescent="0.25">
      <c r="A365" t="str">
        <f>TableMJRUMRKTG[[#This Row],[Study Package Code]]</f>
        <v>MKTG2000</v>
      </c>
      <c r="B365" s="2">
        <f>TableMJRUMRKTG[[#This Row],[Ver]]</f>
        <v>1</v>
      </c>
      <c r="D365" t="str">
        <f>TableMJRUMRKTG[[#This Row],[Structure Line]]</f>
        <v>Integrated Marketing Communications</v>
      </c>
      <c r="E365" s="42">
        <f>TableMJRUMRKTG[[#This Row],[Credit Points]]</f>
        <v>25</v>
      </c>
      <c r="F365">
        <v>3</v>
      </c>
      <c r="G365" t="s">
        <v>947</v>
      </c>
      <c r="H365">
        <v>2</v>
      </c>
      <c r="I365" t="s">
        <v>928</v>
      </c>
      <c r="J365" t="s">
        <v>480</v>
      </c>
      <c r="K365" s="2">
        <v>1</v>
      </c>
      <c r="L365" t="s">
        <v>742</v>
      </c>
      <c r="M365">
        <v>25</v>
      </c>
      <c r="N365" s="152">
        <v>42005</v>
      </c>
      <c r="O365" s="152"/>
    </row>
    <row r="366" spans="1:18" x14ac:dyDescent="0.25">
      <c r="A366" t="str">
        <f>TableMJRUMRKTG[[#This Row],[Study Package Code]]</f>
        <v>MKTG2002</v>
      </c>
      <c r="B366" s="2">
        <f>TableMJRUMRKTG[[#This Row],[Ver]]</f>
        <v>2</v>
      </c>
      <c r="D366" t="str">
        <f>TableMJRUMRKTG[[#This Row],[Structure Line]]</f>
        <v>Marketing Across Borders</v>
      </c>
      <c r="E366" s="42">
        <f>TableMJRUMRKTG[[#This Row],[Credit Points]]</f>
        <v>25</v>
      </c>
      <c r="F366">
        <v>3</v>
      </c>
      <c r="G366" t="s">
        <v>947</v>
      </c>
      <c r="H366">
        <v>2</v>
      </c>
      <c r="I366" t="s">
        <v>928</v>
      </c>
      <c r="J366" t="s">
        <v>487</v>
      </c>
      <c r="K366" s="2">
        <v>2</v>
      </c>
      <c r="L366" t="s">
        <v>743</v>
      </c>
      <c r="M366">
        <v>25</v>
      </c>
      <c r="N366" s="152">
        <v>43831</v>
      </c>
      <c r="O366" s="152"/>
    </row>
    <row r="367" spans="1:18" x14ac:dyDescent="0.25">
      <c r="A367" t="str">
        <f>TableMJRUMRKTG[[#This Row],[Study Package Code]]</f>
        <v>MKTG3009</v>
      </c>
      <c r="B367" s="2">
        <f>TableMJRUMRKTG[[#This Row],[Ver]]</f>
        <v>4</v>
      </c>
      <c r="D367" t="str">
        <f>TableMJRUMRKTG[[#This Row],[Structure Line]]</f>
        <v>Business Internship</v>
      </c>
      <c r="E367" s="42">
        <f>TableMJRUMRKTG[[#This Row],[Credit Points]]</f>
        <v>25</v>
      </c>
      <c r="F367">
        <v>7</v>
      </c>
      <c r="G367" t="s">
        <v>947</v>
      </c>
      <c r="H367">
        <v>3</v>
      </c>
      <c r="I367" t="s">
        <v>928</v>
      </c>
      <c r="J367" t="s">
        <v>492</v>
      </c>
      <c r="K367" s="2">
        <v>4</v>
      </c>
      <c r="L367" t="s">
        <v>979</v>
      </c>
      <c r="M367">
        <v>25</v>
      </c>
      <c r="N367" s="152">
        <v>43647</v>
      </c>
      <c r="O367" s="152"/>
      <c r="Q367" t="s">
        <v>980</v>
      </c>
      <c r="R367">
        <v>2</v>
      </c>
    </row>
    <row r="368" spans="1:18" x14ac:dyDescent="0.25">
      <c r="A368" t="str">
        <f>TableMJRUMRKTG[[#This Row],[Study Package Code]]</f>
        <v>MKTG3010</v>
      </c>
      <c r="B368" s="2">
        <f>TableMJRUMRKTG[[#This Row],[Ver]]</f>
        <v>1</v>
      </c>
      <c r="D368" t="str">
        <f>TableMJRUMRKTG[[#This Row],[Structure Line]]</f>
        <v>Creating Content and Marketing Briefs</v>
      </c>
      <c r="E368" s="42">
        <f>TableMJRUMRKTG[[#This Row],[Credit Points]]</f>
        <v>25</v>
      </c>
      <c r="F368">
        <v>7</v>
      </c>
      <c r="G368" t="s">
        <v>947</v>
      </c>
      <c r="H368">
        <v>3</v>
      </c>
      <c r="I368" t="s">
        <v>928</v>
      </c>
      <c r="J368" t="s">
        <v>495</v>
      </c>
      <c r="K368" s="2">
        <v>1</v>
      </c>
      <c r="L368" t="s">
        <v>760</v>
      </c>
      <c r="M368">
        <v>25</v>
      </c>
      <c r="N368" s="152">
        <v>45292</v>
      </c>
      <c r="O368" s="152"/>
      <c r="Q368" t="s">
        <v>492</v>
      </c>
      <c r="R368">
        <v>4</v>
      </c>
    </row>
    <row r="369" spans="1:18" x14ac:dyDescent="0.25">
      <c r="B369"/>
      <c r="E369"/>
      <c r="F369" s="39"/>
      <c r="G369" s="40" t="s">
        <v>913</v>
      </c>
      <c r="H369" s="156">
        <v>45292</v>
      </c>
      <c r="I369" s="39"/>
      <c r="J369" s="155" t="s">
        <v>331</v>
      </c>
      <c r="K369" s="159" t="s">
        <v>325</v>
      </c>
      <c r="L369" s="155" t="s">
        <v>330</v>
      </c>
      <c r="M369" s="39"/>
      <c r="N369" s="179" t="s">
        <v>914</v>
      </c>
      <c r="O369" s="180">
        <v>45328</v>
      </c>
    </row>
    <row r="370" spans="1:18" x14ac:dyDescent="0.25">
      <c r="A370" t="s">
        <v>0</v>
      </c>
      <c r="B370" s="2" t="s">
        <v>915</v>
      </c>
      <c r="C370" t="s">
        <v>916</v>
      </c>
      <c r="D370" t="s">
        <v>3</v>
      </c>
      <c r="E370" s="42" t="s">
        <v>917</v>
      </c>
      <c r="F370" t="s">
        <v>918</v>
      </c>
      <c r="G370" t="s">
        <v>919</v>
      </c>
      <c r="H370" t="s">
        <v>920</v>
      </c>
      <c r="I370" t="s">
        <v>23</v>
      </c>
      <c r="J370" t="s">
        <v>921</v>
      </c>
      <c r="K370" s="2" t="s">
        <v>1</v>
      </c>
      <c r="L370" t="s">
        <v>922</v>
      </c>
      <c r="M370" t="s">
        <v>86</v>
      </c>
      <c r="N370" s="149" t="s">
        <v>923</v>
      </c>
      <c r="O370" s="149" t="s">
        <v>924</v>
      </c>
      <c r="Q370" t="s">
        <v>925</v>
      </c>
      <c r="R370" t="s">
        <v>926</v>
      </c>
    </row>
    <row r="371" spans="1:18" x14ac:dyDescent="0.25">
      <c r="A371" t="str">
        <f>TableMJRUPRPTY[[#This Row],[Study Package Code]]</f>
        <v>PROP2002</v>
      </c>
      <c r="B371" s="2">
        <f>TableMJRUPRPTY[[#This Row],[Ver]]</f>
        <v>2</v>
      </c>
      <c r="D371" t="str">
        <f>TableMJRUPRPTY[[#This Row],[Structure Line]]</f>
        <v>Introduction to Property Markets</v>
      </c>
      <c r="E371" s="42">
        <f>TableMJRUPRPTY[[#This Row],[Credit Points]]</f>
        <v>25</v>
      </c>
      <c r="F371">
        <v>1</v>
      </c>
      <c r="G371" t="s">
        <v>927</v>
      </c>
      <c r="H371">
        <v>1</v>
      </c>
      <c r="I371" t="s">
        <v>934</v>
      </c>
      <c r="J371" t="s">
        <v>388</v>
      </c>
      <c r="K371" s="2">
        <v>2</v>
      </c>
      <c r="L371" t="s">
        <v>800</v>
      </c>
      <c r="M371">
        <v>25</v>
      </c>
      <c r="N371" s="152">
        <v>44562</v>
      </c>
      <c r="O371" s="152" t="s">
        <v>937</v>
      </c>
      <c r="Q371" t="s">
        <v>388</v>
      </c>
      <c r="R371">
        <v>2</v>
      </c>
    </row>
    <row r="372" spans="1:18" x14ac:dyDescent="0.25">
      <c r="A372" t="str">
        <f>TableMJRUPRPTY[[#This Row],[Study Package Code]]</f>
        <v>BLDG2005</v>
      </c>
      <c r="B372" s="2">
        <f>TableMJRUPRPTY[[#This Row],[Ver]]</f>
        <v>1</v>
      </c>
      <c r="D372" t="str">
        <f>TableMJRUPRPTY[[#This Row],[Structure Line]]</f>
        <v>Property Construction</v>
      </c>
      <c r="E372" s="42">
        <f>TableMJRUPRPTY[[#This Row],[Credit Points]]</f>
        <v>25</v>
      </c>
      <c r="F372">
        <v>2</v>
      </c>
      <c r="G372" t="s">
        <v>927</v>
      </c>
      <c r="H372">
        <v>2</v>
      </c>
      <c r="I372" t="s">
        <v>928</v>
      </c>
      <c r="J372" t="s">
        <v>405</v>
      </c>
      <c r="K372" s="2">
        <v>1</v>
      </c>
      <c r="L372" t="s">
        <v>549</v>
      </c>
      <c r="M372">
        <v>25</v>
      </c>
      <c r="N372" s="152">
        <v>42005</v>
      </c>
      <c r="O372" s="152" t="s">
        <v>937</v>
      </c>
      <c r="Q372" t="s">
        <v>405</v>
      </c>
      <c r="R372">
        <v>1</v>
      </c>
    </row>
    <row r="373" spans="1:18" x14ac:dyDescent="0.25">
      <c r="A373" t="str">
        <f>TableMJRUPRPTY[[#This Row],[Study Package Code]]</f>
        <v>PROP2001</v>
      </c>
      <c r="B373" s="2">
        <f>TableMJRUPRPTY[[#This Row],[Ver]]</f>
        <v>2</v>
      </c>
      <c r="D373" t="str">
        <f>TableMJRUPRPTY[[#This Row],[Structure Line]]</f>
        <v>Property Economics and Policy</v>
      </c>
      <c r="E373" s="42">
        <f>TableMJRUPRPTY[[#This Row],[Credit Points]]</f>
        <v>25</v>
      </c>
      <c r="F373">
        <v>3</v>
      </c>
      <c r="G373" t="s">
        <v>927</v>
      </c>
      <c r="H373">
        <v>2</v>
      </c>
      <c r="I373" t="s">
        <v>928</v>
      </c>
      <c r="J373" t="s">
        <v>428</v>
      </c>
      <c r="K373" s="2">
        <v>2</v>
      </c>
      <c r="L373" t="s">
        <v>799</v>
      </c>
      <c r="M373">
        <v>25</v>
      </c>
      <c r="N373" s="152">
        <v>44562</v>
      </c>
      <c r="O373" s="152" t="s">
        <v>937</v>
      </c>
      <c r="Q373" t="s">
        <v>428</v>
      </c>
      <c r="R373">
        <v>2</v>
      </c>
    </row>
    <row r="374" spans="1:18" x14ac:dyDescent="0.25">
      <c r="A374" t="str">
        <f>TableMJRUPRPTY[[#This Row],[Study Package Code]]</f>
        <v>PROP3000</v>
      </c>
      <c r="B374" s="2">
        <f>TableMJRUPRPTY[[#This Row],[Ver]]</f>
        <v>1</v>
      </c>
      <c r="D374" t="str">
        <f>TableMJRUPRPTY[[#This Row],[Structure Line]]</f>
        <v>Property Investment Analysis</v>
      </c>
      <c r="E374" s="42">
        <f>TableMJRUPRPTY[[#This Row],[Credit Points]]</f>
        <v>25</v>
      </c>
      <c r="F374">
        <v>4</v>
      </c>
      <c r="G374" t="s">
        <v>927</v>
      </c>
      <c r="H374">
        <v>2</v>
      </c>
      <c r="I374" t="s">
        <v>934</v>
      </c>
      <c r="J374" t="s">
        <v>429</v>
      </c>
      <c r="K374" s="2">
        <v>1</v>
      </c>
      <c r="L374" t="s">
        <v>801</v>
      </c>
      <c r="M374">
        <v>25</v>
      </c>
      <c r="N374" s="152">
        <v>42005</v>
      </c>
      <c r="O374" s="152" t="s">
        <v>937</v>
      </c>
      <c r="Q374" t="s">
        <v>429</v>
      </c>
      <c r="R374">
        <v>1</v>
      </c>
    </row>
    <row r="375" spans="1:18" x14ac:dyDescent="0.25">
      <c r="A375" t="str">
        <f>TableMJRUPRPTY[[#This Row],[Study Package Code]]</f>
        <v>BLAW2009</v>
      </c>
      <c r="B375" s="2">
        <f>TableMJRUPRPTY[[#This Row],[Ver]]</f>
        <v>1</v>
      </c>
      <c r="D375" t="str">
        <f>TableMJRUPRPTY[[#This Row],[Structure Line]]</f>
        <v>Property Law for Business</v>
      </c>
      <c r="E375" s="42">
        <f>TableMJRUPRPTY[[#This Row],[Credit Points]]</f>
        <v>25</v>
      </c>
      <c r="F375">
        <v>5</v>
      </c>
      <c r="G375" t="s">
        <v>927</v>
      </c>
      <c r="H375">
        <v>2</v>
      </c>
      <c r="I375" t="s">
        <v>934</v>
      </c>
      <c r="J375" t="s">
        <v>414</v>
      </c>
      <c r="K375" s="2">
        <v>1</v>
      </c>
      <c r="L375" t="s">
        <v>540</v>
      </c>
      <c r="M375">
        <v>25</v>
      </c>
      <c r="N375" s="152">
        <v>42005</v>
      </c>
      <c r="O375" s="152" t="s">
        <v>937</v>
      </c>
      <c r="Q375" t="s">
        <v>414</v>
      </c>
      <c r="R375">
        <v>1</v>
      </c>
    </row>
    <row r="376" spans="1:18" x14ac:dyDescent="0.25">
      <c r="A376" t="str">
        <f>TableMJRUPRPTY[[#This Row],[Study Package Code]]</f>
        <v>VALU2000</v>
      </c>
      <c r="B376" s="2">
        <f>TableMJRUPRPTY[[#This Row],[Ver]]</f>
        <v>2</v>
      </c>
      <c r="D376" t="str">
        <f>TableMJRUPRPTY[[#This Row],[Structure Line]]</f>
        <v>Valuation Methodology</v>
      </c>
      <c r="E376" s="42">
        <f>TableMJRUPRPTY[[#This Row],[Credit Points]]</f>
        <v>25</v>
      </c>
      <c r="F376">
        <v>6</v>
      </c>
      <c r="G376" t="s">
        <v>927</v>
      </c>
      <c r="H376">
        <v>2</v>
      </c>
      <c r="I376" t="s">
        <v>934</v>
      </c>
      <c r="J376" t="s">
        <v>406</v>
      </c>
      <c r="K376" s="2">
        <v>2</v>
      </c>
      <c r="L376" t="s">
        <v>894</v>
      </c>
      <c r="M376">
        <v>25</v>
      </c>
      <c r="N376" s="152">
        <v>44562</v>
      </c>
      <c r="O376" s="152" t="s">
        <v>937</v>
      </c>
      <c r="Q376" t="s">
        <v>406</v>
      </c>
      <c r="R376">
        <v>2</v>
      </c>
    </row>
    <row r="377" spans="1:18" x14ac:dyDescent="0.25">
      <c r="A377" t="str">
        <f>TableMJRUPRPTY[[#This Row],[Study Package Code]]</f>
        <v>PROP3001</v>
      </c>
      <c r="B377" s="2">
        <f>TableMJRUPRPTY[[#This Row],[Ver]]</f>
        <v>2</v>
      </c>
      <c r="D377" t="str">
        <f>TableMJRUPRPTY[[#This Row],[Structure Line]]</f>
        <v>Residential Property Development</v>
      </c>
      <c r="E377" s="42">
        <f>TableMJRUPRPTY[[#This Row],[Credit Points]]</f>
        <v>25</v>
      </c>
      <c r="F377">
        <v>7</v>
      </c>
      <c r="G377" t="s">
        <v>927</v>
      </c>
      <c r="H377">
        <v>3</v>
      </c>
      <c r="I377" t="s">
        <v>928</v>
      </c>
      <c r="J377" t="s">
        <v>454</v>
      </c>
      <c r="K377" s="2">
        <v>2</v>
      </c>
      <c r="L377" t="s">
        <v>802</v>
      </c>
      <c r="M377">
        <v>25</v>
      </c>
      <c r="N377" s="152">
        <v>44562</v>
      </c>
      <c r="O377" s="152" t="s">
        <v>937</v>
      </c>
      <c r="Q377" t="s">
        <v>454</v>
      </c>
      <c r="R377">
        <v>2</v>
      </c>
    </row>
    <row r="378" spans="1:18" x14ac:dyDescent="0.25">
      <c r="A378" t="str">
        <f>TableMJRUPRPTY[[#This Row],[Study Package Code]]</f>
        <v>PROP3002</v>
      </c>
      <c r="B378" s="2">
        <f>TableMJRUPRPTY[[#This Row],[Ver]]</f>
        <v>2</v>
      </c>
      <c r="D378" t="str">
        <f>TableMJRUPRPTY[[#This Row],[Structure Line]]</f>
        <v>Property Finance and Capital Markets</v>
      </c>
      <c r="E378" s="42">
        <f>TableMJRUPRPTY[[#This Row],[Credit Points]]</f>
        <v>25</v>
      </c>
      <c r="F378">
        <v>8</v>
      </c>
      <c r="G378" t="s">
        <v>927</v>
      </c>
      <c r="H378">
        <v>3</v>
      </c>
      <c r="I378" t="s">
        <v>928</v>
      </c>
      <c r="J378" t="s">
        <v>468</v>
      </c>
      <c r="K378" s="2">
        <v>2</v>
      </c>
      <c r="L378" t="s">
        <v>804</v>
      </c>
      <c r="M378">
        <v>25</v>
      </c>
      <c r="N378" s="152">
        <v>44562</v>
      </c>
      <c r="O378" s="152" t="s">
        <v>937</v>
      </c>
      <c r="Q378" t="s">
        <v>468</v>
      </c>
      <c r="R378">
        <v>2</v>
      </c>
    </row>
    <row r="379" spans="1:18" x14ac:dyDescent="0.25">
      <c r="B379"/>
      <c r="E379"/>
      <c r="F379" s="39"/>
      <c r="G379" s="40" t="s">
        <v>913</v>
      </c>
      <c r="H379" s="183">
        <v>43831</v>
      </c>
      <c r="I379" s="39"/>
      <c r="J379" s="155" t="s">
        <v>333</v>
      </c>
      <c r="K379" s="41" t="s">
        <v>116</v>
      </c>
      <c r="L379" s="39" t="s">
        <v>332</v>
      </c>
      <c r="M379" s="39"/>
      <c r="N379" s="179" t="s">
        <v>914</v>
      </c>
      <c r="O379" s="180">
        <v>45328</v>
      </c>
    </row>
    <row r="380" spans="1:18" x14ac:dyDescent="0.25">
      <c r="A380" t="s">
        <v>0</v>
      </c>
      <c r="B380" s="2" t="s">
        <v>915</v>
      </c>
      <c r="C380" t="s">
        <v>916</v>
      </c>
      <c r="D380" t="s">
        <v>3</v>
      </c>
      <c r="E380" s="42" t="s">
        <v>917</v>
      </c>
      <c r="F380" t="s">
        <v>918</v>
      </c>
      <c r="G380" t="s">
        <v>919</v>
      </c>
      <c r="H380" t="s">
        <v>920</v>
      </c>
      <c r="I380" t="s">
        <v>23</v>
      </c>
      <c r="J380" t="s">
        <v>921</v>
      </c>
      <c r="K380" s="2" t="s">
        <v>1</v>
      </c>
      <c r="L380" t="s">
        <v>922</v>
      </c>
      <c r="M380" t="s">
        <v>86</v>
      </c>
      <c r="N380" s="149" t="s">
        <v>923</v>
      </c>
      <c r="O380" s="149" t="s">
        <v>924</v>
      </c>
      <c r="Q380" t="s">
        <v>925</v>
      </c>
      <c r="R380" t="s">
        <v>926</v>
      </c>
    </row>
    <row r="381" spans="1:18" x14ac:dyDescent="0.25">
      <c r="A381" t="str">
        <f>TableMJRUSCRAR[[#This Row],[Study Package Code]]</f>
        <v>SCWR2000</v>
      </c>
      <c r="B381" s="2">
        <f>TableMJRUSCRAR[[#This Row],[Ver]]</f>
        <v>1</v>
      </c>
      <c r="D381" t="str">
        <f>TableMJRUSCRAR[[#This Row],[Structure Line]]</f>
        <v>Introduction to Screenwriting</v>
      </c>
      <c r="E381" s="42">
        <f>TableMJRUSCRAR[[#This Row],[Credit Points]]</f>
        <v>25</v>
      </c>
      <c r="F381">
        <v>1</v>
      </c>
      <c r="G381" t="s">
        <v>927</v>
      </c>
      <c r="H381">
        <v>2</v>
      </c>
      <c r="I381" t="s">
        <v>928</v>
      </c>
      <c r="J381" t="s">
        <v>407</v>
      </c>
      <c r="K381" s="2">
        <v>1</v>
      </c>
      <c r="L381" t="s">
        <v>840</v>
      </c>
      <c r="M381">
        <v>25</v>
      </c>
      <c r="N381" s="152">
        <v>42005</v>
      </c>
      <c r="O381" s="152" t="s">
        <v>937</v>
      </c>
      <c r="Q381" t="s">
        <v>407</v>
      </c>
      <c r="R381">
        <v>1</v>
      </c>
    </row>
    <row r="382" spans="1:18" x14ac:dyDescent="0.25">
      <c r="A382" t="str">
        <f>TableMJRUSCRAR[[#This Row],[Study Package Code]]</f>
        <v>SPRO2003</v>
      </c>
      <c r="B382" s="2">
        <f>TableMJRUSCRAR[[#This Row],[Ver]]</f>
        <v>2</v>
      </c>
      <c r="D382" t="str">
        <f>TableMJRUSCRAR[[#This Row],[Structure Line]]</f>
        <v>Drama Narratives</v>
      </c>
      <c r="E382" s="42">
        <f>TableMJRUSCRAR[[#This Row],[Credit Points]]</f>
        <v>25</v>
      </c>
      <c r="F382">
        <v>2</v>
      </c>
      <c r="G382" t="s">
        <v>927</v>
      </c>
      <c r="H382">
        <v>2</v>
      </c>
      <c r="I382" t="s">
        <v>928</v>
      </c>
      <c r="J382" t="s">
        <v>430</v>
      </c>
      <c r="K382" s="2">
        <v>2</v>
      </c>
      <c r="L382" t="s">
        <v>844</v>
      </c>
      <c r="M382">
        <v>25</v>
      </c>
      <c r="N382" s="152">
        <v>43831</v>
      </c>
      <c r="O382" s="152" t="s">
        <v>937</v>
      </c>
      <c r="Q382" t="s">
        <v>430</v>
      </c>
      <c r="R382">
        <v>2</v>
      </c>
    </row>
    <row r="383" spans="1:18" x14ac:dyDescent="0.25">
      <c r="A383" t="str">
        <f>TableMJRUSCRAR[[#This Row],[Study Package Code]]</f>
        <v>SPRO2004</v>
      </c>
      <c r="B383" s="2">
        <f>TableMJRUSCRAR[[#This Row],[Ver]]</f>
        <v>1</v>
      </c>
      <c r="D383" t="str">
        <f>TableMJRUSCRAR[[#This Row],[Structure Line]]</f>
        <v>Creative Documentary and Actualities</v>
      </c>
      <c r="E383" s="42">
        <f>TableMJRUSCRAR[[#This Row],[Credit Points]]</f>
        <v>25</v>
      </c>
      <c r="F383">
        <v>3</v>
      </c>
      <c r="G383" t="s">
        <v>927</v>
      </c>
      <c r="H383">
        <v>2</v>
      </c>
      <c r="I383" t="s">
        <v>934</v>
      </c>
      <c r="J383" t="s">
        <v>408</v>
      </c>
      <c r="K383" s="2">
        <v>1</v>
      </c>
      <c r="L383" t="s">
        <v>845</v>
      </c>
      <c r="M383">
        <v>25</v>
      </c>
      <c r="N383" s="152">
        <v>43831</v>
      </c>
      <c r="O383" s="152" t="s">
        <v>937</v>
      </c>
      <c r="Q383" t="s">
        <v>408</v>
      </c>
      <c r="R383">
        <v>1</v>
      </c>
    </row>
    <row r="384" spans="1:18" x14ac:dyDescent="0.25">
      <c r="A384" t="str">
        <f>TableMJRUSCRAR[[#This Row],[Study Package Code]]</f>
        <v>SCST2009</v>
      </c>
      <c r="B384" s="2">
        <f>TableMJRUSCRAR[[#This Row],[Ver]]</f>
        <v>1</v>
      </c>
      <c r="D384" t="str">
        <f>TableMJRUSCRAR[[#This Row],[Structure Line]]</f>
        <v>Experimental Screens</v>
      </c>
      <c r="E384" s="42">
        <f>TableMJRUSCRAR[[#This Row],[Credit Points]]</f>
        <v>25</v>
      </c>
      <c r="F384">
        <v>4</v>
      </c>
      <c r="G384" t="s">
        <v>927</v>
      </c>
      <c r="H384">
        <v>2</v>
      </c>
      <c r="I384" t="s">
        <v>934</v>
      </c>
      <c r="J384" t="s">
        <v>431</v>
      </c>
      <c r="K384" s="2">
        <v>1</v>
      </c>
      <c r="L384" t="s">
        <v>838</v>
      </c>
      <c r="M384">
        <v>25</v>
      </c>
      <c r="N384" s="152">
        <v>43831</v>
      </c>
      <c r="O384" s="152" t="s">
        <v>937</v>
      </c>
      <c r="Q384" t="s">
        <v>431</v>
      </c>
      <c r="R384">
        <v>1</v>
      </c>
    </row>
    <row r="385" spans="1:18" x14ac:dyDescent="0.25">
      <c r="A385" t="str">
        <f>TableMJRUSCRAR[[#This Row],[Study Package Code]]</f>
        <v>AC-SCRAR</v>
      </c>
      <c r="B385" s="2">
        <f>TableMJRUSCRAR[[#This Row],[Ver]]</f>
        <v>0</v>
      </c>
      <c r="D385" t="str">
        <f>TableMJRUSCRAR[[#This Row],[Structure Line]]</f>
        <v>Choose either SPRO3007 or SPRO3004</v>
      </c>
      <c r="E385" s="42">
        <f>TableMJRUSCRAR[[#This Row],[Credit Points]]</f>
        <v>25</v>
      </c>
      <c r="F385">
        <v>5</v>
      </c>
      <c r="G385" t="s">
        <v>947</v>
      </c>
      <c r="H385">
        <v>3</v>
      </c>
      <c r="I385" t="s">
        <v>928</v>
      </c>
      <c r="J385" t="s">
        <v>521</v>
      </c>
      <c r="K385" s="2">
        <v>0</v>
      </c>
      <c r="L385" t="s">
        <v>981</v>
      </c>
      <c r="M385">
        <v>25</v>
      </c>
      <c r="N385" s="152"/>
      <c r="O385" s="152"/>
      <c r="Q385" t="s">
        <v>982</v>
      </c>
      <c r="R385">
        <v>0</v>
      </c>
    </row>
    <row r="386" spans="1:18" x14ac:dyDescent="0.25">
      <c r="A386" t="str">
        <f>TableMJRUSCRAR[[#This Row],[Study Package Code]]</f>
        <v>SCST3010</v>
      </c>
      <c r="B386" s="2">
        <f>TableMJRUSCRAR[[#This Row],[Ver]]</f>
        <v>1</v>
      </c>
      <c r="D386" t="str">
        <f>TableMJRUSCRAR[[#This Row],[Structure Line]]</f>
        <v>Reading Screens</v>
      </c>
      <c r="E386" s="42">
        <f>TableMJRUSCRAR[[#This Row],[Credit Points]]</f>
        <v>25</v>
      </c>
      <c r="F386">
        <v>6</v>
      </c>
      <c r="G386" t="s">
        <v>927</v>
      </c>
      <c r="H386">
        <v>3</v>
      </c>
      <c r="I386" t="s">
        <v>934</v>
      </c>
      <c r="J386" t="s">
        <v>335</v>
      </c>
      <c r="K386" s="2">
        <v>1</v>
      </c>
      <c r="L386" t="s">
        <v>839</v>
      </c>
      <c r="M386">
        <v>25</v>
      </c>
      <c r="N386" s="152">
        <v>43831</v>
      </c>
      <c r="O386" s="152"/>
      <c r="Q386" t="s">
        <v>335</v>
      </c>
      <c r="R386">
        <v>1</v>
      </c>
    </row>
    <row r="387" spans="1:18" x14ac:dyDescent="0.25">
      <c r="A387" t="str">
        <f>TableMJRUSCRAR[[#This Row],[Study Package Code]]</f>
        <v>Opt-SCRARY3S1</v>
      </c>
      <c r="B387" s="2">
        <f>TableMJRUSCRAR[[#This Row],[Ver]]</f>
        <v>0</v>
      </c>
      <c r="D387" t="str">
        <f>TableMJRUSCRAR[[#This Row],[Structure Line]]</f>
        <v>Choose your third year optional units</v>
      </c>
      <c r="E387" s="42">
        <f>TableMJRUSCRAR[[#This Row],[Credit Points]]</f>
        <v>25</v>
      </c>
      <c r="F387">
        <v>7</v>
      </c>
      <c r="G387" t="s">
        <v>929</v>
      </c>
      <c r="H387">
        <v>3</v>
      </c>
      <c r="I387" t="s">
        <v>928</v>
      </c>
      <c r="J387" t="s">
        <v>786</v>
      </c>
      <c r="K387" s="2">
        <v>0</v>
      </c>
      <c r="L387" t="s">
        <v>983</v>
      </c>
      <c r="M387">
        <v>25</v>
      </c>
      <c r="N387" s="152"/>
      <c r="O387" s="152"/>
      <c r="Q387" t="s">
        <v>984</v>
      </c>
      <c r="R387">
        <v>0</v>
      </c>
    </row>
    <row r="388" spans="1:18" x14ac:dyDescent="0.25">
      <c r="A388" t="str">
        <f>TableMJRUSCRAR[[#This Row],[Study Package Code]]</f>
        <v>Opt-SCRARY3S2</v>
      </c>
      <c r="B388" s="2">
        <f>TableMJRUSCRAR[[#This Row],[Ver]]</f>
        <v>0</v>
      </c>
      <c r="D388" t="str">
        <f>TableMJRUSCRAR[[#This Row],[Structure Line]]</f>
        <v>Choose your third year optional units</v>
      </c>
      <c r="E388" s="42">
        <f>TableMJRUSCRAR[[#This Row],[Credit Points]]</f>
        <v>25</v>
      </c>
      <c r="F388">
        <v>8</v>
      </c>
      <c r="G388" t="s">
        <v>929</v>
      </c>
      <c r="H388">
        <v>3</v>
      </c>
      <c r="I388" t="s">
        <v>934</v>
      </c>
      <c r="J388" t="s">
        <v>470</v>
      </c>
      <c r="K388" s="2">
        <v>0</v>
      </c>
      <c r="L388" t="s">
        <v>983</v>
      </c>
      <c r="M388">
        <v>25</v>
      </c>
      <c r="N388" s="152"/>
      <c r="O388" s="152"/>
      <c r="Q388" t="s">
        <v>985</v>
      </c>
      <c r="R388">
        <v>0</v>
      </c>
    </row>
    <row r="389" spans="1:18" x14ac:dyDescent="0.25">
      <c r="A389" t="str">
        <f>TableMJRUSCRAR[[#This Row],[Study Package Code]]</f>
        <v>SPRO3004</v>
      </c>
      <c r="B389" s="2">
        <f>TableMJRUSCRAR[[#This Row],[Ver]]</f>
        <v>5</v>
      </c>
      <c r="D389" t="str">
        <f>TableMJRUSCRAR[[#This Row],[Structure Line]]</f>
        <v>Community Media Production</v>
      </c>
      <c r="E389" s="42">
        <f>TableMJRUSCRAR[[#This Row],[Credit Points]]</f>
        <v>25</v>
      </c>
      <c r="F389">
        <v>5</v>
      </c>
      <c r="G389" t="s">
        <v>947</v>
      </c>
      <c r="H389">
        <v>3</v>
      </c>
      <c r="I389" t="s">
        <v>928</v>
      </c>
      <c r="J389" t="s">
        <v>455</v>
      </c>
      <c r="K389" s="2">
        <v>5</v>
      </c>
      <c r="L389" t="s">
        <v>848</v>
      </c>
      <c r="M389">
        <v>25</v>
      </c>
      <c r="N389" s="152">
        <v>44197</v>
      </c>
      <c r="O389" s="152"/>
      <c r="Q389" t="s">
        <v>455</v>
      </c>
      <c r="R389">
        <v>5</v>
      </c>
    </row>
    <row r="390" spans="1:18" x14ac:dyDescent="0.25">
      <c r="A390" t="str">
        <f>TableMJRUSCRAR[[#This Row],[Study Package Code]]</f>
        <v>SPRO3007</v>
      </c>
      <c r="B390" s="2">
        <f>TableMJRUSCRAR[[#This Row],[Ver]]</f>
        <v>1</v>
      </c>
      <c r="D390" t="str">
        <f>TableMJRUSCRAR[[#This Row],[Structure Line]]</f>
        <v>Major Project Pre-production</v>
      </c>
      <c r="E390" s="42">
        <f>TableMJRUSCRAR[[#This Row],[Credit Points]]</f>
        <v>25</v>
      </c>
      <c r="F390">
        <v>5</v>
      </c>
      <c r="G390" t="s">
        <v>947</v>
      </c>
      <c r="H390">
        <v>3</v>
      </c>
      <c r="I390" t="s">
        <v>928</v>
      </c>
      <c r="J390" s="108" t="s">
        <v>850</v>
      </c>
      <c r="K390" s="186">
        <v>1</v>
      </c>
      <c r="L390" s="108" t="s">
        <v>851</v>
      </c>
      <c r="M390" s="108">
        <v>25</v>
      </c>
      <c r="N390" s="152">
        <v>42005</v>
      </c>
      <c r="O390" s="152"/>
      <c r="Q390" t="s">
        <v>850</v>
      </c>
      <c r="R390">
        <v>1</v>
      </c>
    </row>
    <row r="391" spans="1:18" x14ac:dyDescent="0.25">
      <c r="A391" t="str">
        <f>TableMJRUSCRAR[[#This Row],[Study Package Code]]</f>
        <v>SPRO2001</v>
      </c>
      <c r="B391" s="2">
        <f>TableMJRUSCRAR[[#This Row],[Ver]]</f>
        <v>3</v>
      </c>
      <c r="D391" t="str">
        <f>TableMJRUSCRAR[[#This Row],[Structure Line]]</f>
        <v>Digital FX Production</v>
      </c>
      <c r="E391" s="42">
        <f>TableMJRUSCRAR[[#This Row],[Credit Points]]</f>
        <v>25</v>
      </c>
      <c r="F391">
        <v>7</v>
      </c>
      <c r="G391" t="s">
        <v>929</v>
      </c>
      <c r="H391">
        <v>3</v>
      </c>
      <c r="I391" t="s">
        <v>928</v>
      </c>
      <c r="J391" t="s">
        <v>469</v>
      </c>
      <c r="K391" s="2">
        <v>3</v>
      </c>
      <c r="L391" t="s">
        <v>843</v>
      </c>
      <c r="M391">
        <v>25</v>
      </c>
      <c r="N391" s="152">
        <v>44927</v>
      </c>
      <c r="O391" s="152"/>
      <c r="Q391" t="s">
        <v>469</v>
      </c>
      <c r="R391">
        <v>3</v>
      </c>
    </row>
    <row r="392" spans="1:18" x14ac:dyDescent="0.25">
      <c r="A392" t="str">
        <f>TableMJRUSCRAR[[#This Row],[Study Package Code]]</f>
        <v>SPRO3004</v>
      </c>
      <c r="B392" s="2">
        <f>TableMJRUSCRAR[[#This Row],[Ver]]</f>
        <v>5</v>
      </c>
      <c r="D392" t="str">
        <f>TableMJRUSCRAR[[#This Row],[Structure Line]]</f>
        <v>Community Media Production</v>
      </c>
      <c r="E392" s="42">
        <f>TableMJRUSCRAR[[#This Row],[Credit Points]]</f>
        <v>25</v>
      </c>
      <c r="F392">
        <v>7</v>
      </c>
      <c r="G392" t="s">
        <v>929</v>
      </c>
      <c r="H392">
        <v>3</v>
      </c>
      <c r="I392" t="s">
        <v>928</v>
      </c>
      <c r="J392" s="108" t="s">
        <v>455</v>
      </c>
      <c r="K392" s="186">
        <v>5</v>
      </c>
      <c r="L392" s="108" t="s">
        <v>848</v>
      </c>
      <c r="M392" s="108">
        <v>25</v>
      </c>
      <c r="N392" s="152">
        <v>44197</v>
      </c>
      <c r="O392" s="152"/>
      <c r="Q392" t="s">
        <v>455</v>
      </c>
      <c r="R392">
        <v>5</v>
      </c>
    </row>
    <row r="393" spans="1:18" x14ac:dyDescent="0.25">
      <c r="A393" t="str">
        <f>TableMJRUSCRAR[[#This Row],[Study Package Code]]</f>
        <v>SPRO3003</v>
      </c>
      <c r="B393" s="2">
        <f>TableMJRUSCRAR[[#This Row],[Ver]]</f>
        <v>2</v>
      </c>
      <c r="D393" t="str">
        <f>TableMJRUSCRAR[[#This Row],[Structure Line]]</f>
        <v>Advanced Studio Production</v>
      </c>
      <c r="E393" s="42">
        <f>TableMJRUSCRAR[[#This Row],[Credit Points]]</f>
        <v>25</v>
      </c>
      <c r="F393">
        <v>8</v>
      </c>
      <c r="G393" t="s">
        <v>929</v>
      </c>
      <c r="H393">
        <v>3</v>
      </c>
      <c r="I393" t="s">
        <v>934</v>
      </c>
      <c r="J393" t="s">
        <v>481</v>
      </c>
      <c r="K393" s="2">
        <v>2</v>
      </c>
      <c r="L393" t="s">
        <v>846</v>
      </c>
      <c r="M393">
        <v>25</v>
      </c>
      <c r="N393" s="152">
        <v>44927</v>
      </c>
      <c r="O393" s="152"/>
      <c r="Q393" t="s">
        <v>481</v>
      </c>
      <c r="R393">
        <v>2</v>
      </c>
    </row>
    <row r="394" spans="1:18" x14ac:dyDescent="0.25">
      <c r="A394" t="str">
        <f>TableMJRUSCRAR[[#This Row],[Study Package Code]]</f>
        <v>SPRO3009</v>
      </c>
      <c r="B394" s="2">
        <f>TableMJRUSCRAR[[#This Row],[Ver]]</f>
        <v>1</v>
      </c>
      <c r="D394" t="str">
        <f>TableMJRUSCRAR[[#This Row],[Structure Line]]</f>
        <v>Sports Media Production</v>
      </c>
      <c r="E394" s="42">
        <f>TableMJRUSCRAR[[#This Row],[Credit Points]]</f>
        <v>25</v>
      </c>
      <c r="F394">
        <v>8</v>
      </c>
      <c r="G394" t="s">
        <v>929</v>
      </c>
      <c r="H394">
        <v>3</v>
      </c>
      <c r="I394" t="s">
        <v>934</v>
      </c>
      <c r="J394" t="s">
        <v>488</v>
      </c>
      <c r="K394" s="2">
        <v>1</v>
      </c>
      <c r="L394" t="s">
        <v>854</v>
      </c>
      <c r="M394">
        <v>25</v>
      </c>
      <c r="N394" s="152">
        <v>42186</v>
      </c>
      <c r="O394" s="152"/>
      <c r="Q394" t="s">
        <v>488</v>
      </c>
      <c r="R394">
        <v>1</v>
      </c>
    </row>
    <row r="395" spans="1:18" x14ac:dyDescent="0.25">
      <c r="A395" t="str">
        <f>TableMJRUSCRAR[[#This Row],[Study Package Code]]</f>
        <v>VISA3005</v>
      </c>
      <c r="B395" s="2">
        <f>TableMJRUSCRAR[[#This Row],[Ver]]</f>
        <v>2</v>
      </c>
      <c r="D395" t="str">
        <f>TableMJRUSCRAR[[#This Row],[Structure Line]]</f>
        <v>Creative Arts Professional Practicum</v>
      </c>
      <c r="E395" s="42">
        <f>TableMJRUSCRAR[[#This Row],[Credit Points]]</f>
        <v>25</v>
      </c>
      <c r="F395">
        <v>8</v>
      </c>
      <c r="G395" t="s">
        <v>929</v>
      </c>
      <c r="H395">
        <v>3</v>
      </c>
      <c r="I395" t="s">
        <v>934</v>
      </c>
      <c r="J395" t="s">
        <v>489</v>
      </c>
      <c r="K395" s="2">
        <v>2</v>
      </c>
      <c r="L395" t="s">
        <v>903</v>
      </c>
      <c r="M395">
        <v>25</v>
      </c>
      <c r="N395" s="152">
        <v>43831</v>
      </c>
      <c r="O395" s="152"/>
      <c r="Q395" t="s">
        <v>489</v>
      </c>
      <c r="R395">
        <v>2</v>
      </c>
    </row>
    <row r="396" spans="1:18" x14ac:dyDescent="0.25">
      <c r="B396"/>
      <c r="E396"/>
      <c r="F396" s="39"/>
      <c r="G396" s="40" t="s">
        <v>913</v>
      </c>
      <c r="H396" s="183">
        <v>43831</v>
      </c>
      <c r="I396" s="39"/>
      <c r="J396" s="155" t="s">
        <v>337</v>
      </c>
      <c r="K396" s="41" t="s">
        <v>116</v>
      </c>
      <c r="L396" s="39" t="s">
        <v>336</v>
      </c>
      <c r="M396" s="39"/>
      <c r="N396" s="179" t="s">
        <v>914</v>
      </c>
      <c r="O396" s="180">
        <v>45328</v>
      </c>
    </row>
    <row r="397" spans="1:18" x14ac:dyDescent="0.25">
      <c r="A397" t="s">
        <v>0</v>
      </c>
      <c r="B397" s="2" t="s">
        <v>915</v>
      </c>
      <c r="C397" t="s">
        <v>916</v>
      </c>
      <c r="D397" t="s">
        <v>3</v>
      </c>
      <c r="E397" s="42" t="s">
        <v>917</v>
      </c>
      <c r="F397" t="s">
        <v>918</v>
      </c>
      <c r="G397" t="s">
        <v>919</v>
      </c>
      <c r="H397" t="s">
        <v>920</v>
      </c>
      <c r="I397" t="s">
        <v>23</v>
      </c>
      <c r="J397" t="s">
        <v>921</v>
      </c>
      <c r="K397" s="2" t="s">
        <v>1</v>
      </c>
      <c r="L397" t="s">
        <v>922</v>
      </c>
      <c r="M397" t="s">
        <v>86</v>
      </c>
      <c r="N397" s="149" t="s">
        <v>923</v>
      </c>
      <c r="O397" s="149" t="s">
        <v>924</v>
      </c>
      <c r="Q397" t="s">
        <v>925</v>
      </c>
      <c r="R397" t="s">
        <v>926</v>
      </c>
    </row>
    <row r="398" spans="1:18" x14ac:dyDescent="0.25">
      <c r="A398" t="str">
        <f>TableMJRUTHTRA[[#This Row],[Study Package Code]]</f>
        <v>THTR2002</v>
      </c>
      <c r="B398" s="2">
        <f>TableMJRUTHTRA[[#This Row],[Ver]]</f>
        <v>1</v>
      </c>
      <c r="D398" t="str">
        <f>TableMJRUTHTRA[[#This Row],[Structure Line]]</f>
        <v>Technical Theatre Fundamentals</v>
      </c>
      <c r="E398" s="42">
        <f>TableMJRUTHTRA[[#This Row],[Credit Points]]</f>
        <v>25</v>
      </c>
      <c r="F398">
        <v>1</v>
      </c>
      <c r="G398" t="s">
        <v>927</v>
      </c>
      <c r="H398">
        <v>2</v>
      </c>
      <c r="I398" t="s">
        <v>928</v>
      </c>
      <c r="J398" t="s">
        <v>409</v>
      </c>
      <c r="K398" s="2">
        <v>1</v>
      </c>
      <c r="L398" t="s">
        <v>873</v>
      </c>
      <c r="M398">
        <v>25</v>
      </c>
      <c r="N398" s="152">
        <v>42005</v>
      </c>
      <c r="O398" s="152" t="s">
        <v>937</v>
      </c>
      <c r="Q398" t="s">
        <v>409</v>
      </c>
      <c r="R398">
        <v>1</v>
      </c>
    </row>
    <row r="399" spans="1:18" x14ac:dyDescent="0.25">
      <c r="A399" t="str">
        <f>TableMJRUTHTRA[[#This Row],[Study Package Code]]</f>
        <v>THTR2001</v>
      </c>
      <c r="B399" s="2">
        <f>TableMJRUTHTRA[[#This Row],[Ver]]</f>
        <v>1</v>
      </c>
      <c r="D399" t="str">
        <f>TableMJRUTHTRA[[#This Row],[Structure Line]]</f>
        <v>Acting</v>
      </c>
      <c r="E399" s="42">
        <f>TableMJRUTHTRA[[#This Row],[Credit Points]]</f>
        <v>25</v>
      </c>
      <c r="F399">
        <v>2</v>
      </c>
      <c r="G399" t="s">
        <v>927</v>
      </c>
      <c r="H399">
        <v>2</v>
      </c>
      <c r="I399" t="s">
        <v>934</v>
      </c>
      <c r="J399" t="s">
        <v>410</v>
      </c>
      <c r="K399" s="2">
        <v>1</v>
      </c>
      <c r="L399" t="s">
        <v>872</v>
      </c>
      <c r="M399">
        <v>25</v>
      </c>
      <c r="N399" s="152">
        <v>42005</v>
      </c>
      <c r="O399" s="152" t="s">
        <v>937</v>
      </c>
      <c r="Q399" t="s">
        <v>410</v>
      </c>
      <c r="R399">
        <v>1</v>
      </c>
    </row>
    <row r="400" spans="1:18" x14ac:dyDescent="0.25">
      <c r="A400" t="str">
        <f>TableMJRUTHTRA[[#This Row],[Study Package Code]]</f>
        <v>THTR2003</v>
      </c>
      <c r="B400" s="2">
        <f>TableMJRUTHTRA[[#This Row],[Ver]]</f>
        <v>1</v>
      </c>
      <c r="D400" t="str">
        <f>TableMJRUTHTRA[[#This Row],[Structure Line]]</f>
        <v>Movement for the Actor</v>
      </c>
      <c r="E400" s="42">
        <f>TableMJRUTHTRA[[#This Row],[Credit Points]]</f>
        <v>25</v>
      </c>
      <c r="F400">
        <v>3</v>
      </c>
      <c r="G400" t="s">
        <v>927</v>
      </c>
      <c r="H400">
        <v>2</v>
      </c>
      <c r="I400" t="s">
        <v>934</v>
      </c>
      <c r="J400" t="s">
        <v>433</v>
      </c>
      <c r="K400" s="2">
        <v>1</v>
      </c>
      <c r="L400" t="s">
        <v>874</v>
      </c>
      <c r="M400">
        <v>25</v>
      </c>
      <c r="N400" s="152">
        <v>42005</v>
      </c>
      <c r="O400" s="152" t="s">
        <v>937</v>
      </c>
      <c r="Q400" t="s">
        <v>433</v>
      </c>
      <c r="R400">
        <v>1</v>
      </c>
    </row>
    <row r="401" spans="1:18" x14ac:dyDescent="0.25">
      <c r="A401" t="str">
        <f>TableMJRUTHTRA[[#This Row],[Study Package Code]]</f>
        <v>THTR3000</v>
      </c>
      <c r="B401" s="2">
        <f>TableMJRUTHTRA[[#This Row],[Ver]]</f>
        <v>1</v>
      </c>
      <c r="D401" t="str">
        <f>TableMJRUTHTRA[[#This Row],[Structure Line]]</f>
        <v>Directing Theatre</v>
      </c>
      <c r="E401" s="42">
        <f>TableMJRUTHTRA[[#This Row],[Credit Points]]</f>
        <v>25</v>
      </c>
      <c r="F401">
        <v>4</v>
      </c>
      <c r="G401" t="s">
        <v>927</v>
      </c>
      <c r="H401">
        <v>3</v>
      </c>
      <c r="I401" t="s">
        <v>928</v>
      </c>
      <c r="J401" t="s">
        <v>456</v>
      </c>
      <c r="K401" s="2">
        <v>1</v>
      </c>
      <c r="L401" t="s">
        <v>876</v>
      </c>
      <c r="M401">
        <v>25</v>
      </c>
      <c r="N401" s="152">
        <v>42005</v>
      </c>
      <c r="O401" s="152" t="s">
        <v>937</v>
      </c>
      <c r="Q401" t="s">
        <v>456</v>
      </c>
      <c r="R401">
        <v>1</v>
      </c>
    </row>
    <row r="402" spans="1:18" x14ac:dyDescent="0.25">
      <c r="A402" t="str">
        <f>TableMJRUTHTRA[[#This Row],[Study Package Code]]</f>
        <v>THTR3003</v>
      </c>
      <c r="B402" s="2">
        <f>TableMJRUTHTRA[[#This Row],[Ver]]</f>
        <v>1</v>
      </c>
      <c r="D402" t="str">
        <f>TableMJRUTHTRA[[#This Row],[Structure Line]]</f>
        <v>International Theatre</v>
      </c>
      <c r="E402" s="42">
        <f>TableMJRUTHTRA[[#This Row],[Credit Points]]</f>
        <v>25</v>
      </c>
      <c r="F402">
        <v>5</v>
      </c>
      <c r="G402" t="s">
        <v>927</v>
      </c>
      <c r="H402">
        <v>3</v>
      </c>
      <c r="I402" t="s">
        <v>928</v>
      </c>
      <c r="J402" t="s">
        <v>471</v>
      </c>
      <c r="K402" s="2">
        <v>1</v>
      </c>
      <c r="L402" t="s">
        <v>878</v>
      </c>
      <c r="M402">
        <v>25</v>
      </c>
      <c r="N402" s="152">
        <v>42005</v>
      </c>
      <c r="O402" s="152" t="s">
        <v>937</v>
      </c>
      <c r="Q402" t="s">
        <v>471</v>
      </c>
      <c r="R402">
        <v>1</v>
      </c>
    </row>
    <row r="403" spans="1:18" x14ac:dyDescent="0.25">
      <c r="A403" t="str">
        <f>TableMJRUTHTRA[[#This Row],[Study Package Code]]</f>
        <v>THTR3004</v>
      </c>
      <c r="B403" s="2">
        <f>TableMJRUTHTRA[[#This Row],[Ver]]</f>
        <v>1</v>
      </c>
      <c r="D403" t="str">
        <f>TableMJRUTHTRA[[#This Row],[Structure Line]]</f>
        <v>Australian Theatre</v>
      </c>
      <c r="E403" s="42">
        <f>TableMJRUTHTRA[[#This Row],[Credit Points]]</f>
        <v>25</v>
      </c>
      <c r="F403">
        <v>6</v>
      </c>
      <c r="G403" t="s">
        <v>927</v>
      </c>
      <c r="H403">
        <v>3</v>
      </c>
      <c r="I403" t="s">
        <v>934</v>
      </c>
      <c r="J403" t="s">
        <v>457</v>
      </c>
      <c r="K403" s="2">
        <v>1</v>
      </c>
      <c r="L403" t="s">
        <v>880</v>
      </c>
      <c r="M403">
        <v>25</v>
      </c>
      <c r="N403" s="152">
        <v>42005</v>
      </c>
      <c r="O403" s="152" t="s">
        <v>937</v>
      </c>
      <c r="Q403" t="s">
        <v>457</v>
      </c>
      <c r="R403">
        <v>1</v>
      </c>
    </row>
    <row r="404" spans="1:18" x14ac:dyDescent="0.25">
      <c r="A404" t="str">
        <f>TableMJRUTHTRA[[#This Row],[Study Package Code]]</f>
        <v>THTR3007</v>
      </c>
      <c r="B404" s="2">
        <f>TableMJRUTHTRA[[#This Row],[Ver]]</f>
        <v>2</v>
      </c>
      <c r="D404" t="str">
        <f>TableMJRUTHTRA[[#This Row],[Structure Line]]</f>
        <v>Applied Theatre</v>
      </c>
      <c r="E404" s="42">
        <f>TableMJRUTHTRA[[#This Row],[Credit Points]]</f>
        <v>25</v>
      </c>
      <c r="F404">
        <v>7</v>
      </c>
      <c r="G404" t="s">
        <v>927</v>
      </c>
      <c r="H404">
        <v>3</v>
      </c>
      <c r="I404" t="s">
        <v>934</v>
      </c>
      <c r="J404" t="s">
        <v>472</v>
      </c>
      <c r="K404" s="2">
        <v>2</v>
      </c>
      <c r="L404" t="s">
        <v>881</v>
      </c>
      <c r="M404">
        <v>25</v>
      </c>
      <c r="N404" s="152">
        <v>44927</v>
      </c>
      <c r="O404" s="152" t="s">
        <v>937</v>
      </c>
      <c r="Q404" t="s">
        <v>472</v>
      </c>
      <c r="R404">
        <v>2</v>
      </c>
    </row>
    <row r="405" spans="1:18" x14ac:dyDescent="0.25">
      <c r="A405" t="str">
        <f>TableMJRUTHTRA[[#This Row],[Study Package Code]]</f>
        <v>Opt-THTRA</v>
      </c>
      <c r="B405" s="2">
        <f>TableMJRUTHTRA[[#This Row],[Ver]]</f>
        <v>0</v>
      </c>
      <c r="D405" t="str">
        <f>TableMJRUTHTRA[[#This Row],[Structure Line]]</f>
        <v>Choose Options for Year 2, Semester 1</v>
      </c>
      <c r="E405" s="42">
        <f>TableMJRUTHTRA[[#This Row],[Credit Points]]</f>
        <v>25</v>
      </c>
      <c r="F405">
        <v>8</v>
      </c>
      <c r="G405" t="s">
        <v>929</v>
      </c>
      <c r="H405">
        <v>2</v>
      </c>
      <c r="I405" t="s">
        <v>928</v>
      </c>
      <c r="J405" t="s">
        <v>432</v>
      </c>
      <c r="K405" s="2">
        <v>0</v>
      </c>
      <c r="L405" t="s">
        <v>986</v>
      </c>
      <c r="M405">
        <v>25</v>
      </c>
      <c r="N405" s="152"/>
      <c r="O405" s="152"/>
      <c r="Q405" t="s">
        <v>987</v>
      </c>
      <c r="R405">
        <v>0</v>
      </c>
    </row>
    <row r="406" spans="1:18" x14ac:dyDescent="0.25">
      <c r="A406" t="str">
        <f>TableMJRUTHTRA[[#This Row],[Study Package Code]]</f>
        <v>THTR2004</v>
      </c>
      <c r="B406" s="2">
        <f>TableMJRUTHTRA[[#This Row],[Ver]]</f>
        <v>1</v>
      </c>
      <c r="D406" t="str">
        <f>TableMJRUTHTRA[[#This Row],[Structure Line]]</f>
        <v>Voice for the Actor</v>
      </c>
      <c r="E406" s="42">
        <f>TableMJRUTHTRA[[#This Row],[Credit Points]]</f>
        <v>25</v>
      </c>
      <c r="F406">
        <v>8</v>
      </c>
      <c r="G406" t="s">
        <v>929</v>
      </c>
      <c r="H406">
        <v>2</v>
      </c>
      <c r="I406" t="s">
        <v>928</v>
      </c>
      <c r="J406" t="s">
        <v>482</v>
      </c>
      <c r="K406" s="2">
        <v>1</v>
      </c>
      <c r="L406" t="s">
        <v>875</v>
      </c>
      <c r="M406">
        <v>25</v>
      </c>
      <c r="N406" s="152">
        <v>42005</v>
      </c>
      <c r="O406" s="152"/>
      <c r="Q406" t="s">
        <v>482</v>
      </c>
      <c r="R406">
        <v>1</v>
      </c>
    </row>
    <row r="407" spans="1:18" x14ac:dyDescent="0.25">
      <c r="A407" t="str">
        <f>TableMJRUTHTRA[[#This Row],[Study Package Code]]</f>
        <v>VISA3005</v>
      </c>
      <c r="B407" s="2">
        <f>TableMJRUTHTRA[[#This Row],[Ver]]</f>
        <v>2</v>
      </c>
      <c r="D407" t="str">
        <f>TableMJRUTHTRA[[#This Row],[Structure Line]]</f>
        <v>Creative Arts Professional Practicum</v>
      </c>
      <c r="E407" s="42">
        <f>TableMJRUTHTRA[[#This Row],[Credit Points]]</f>
        <v>25</v>
      </c>
      <c r="F407">
        <v>8</v>
      </c>
      <c r="G407" t="s">
        <v>929</v>
      </c>
      <c r="H407">
        <v>2</v>
      </c>
      <c r="I407" t="s">
        <v>928</v>
      </c>
      <c r="J407" t="s">
        <v>489</v>
      </c>
      <c r="K407" s="2">
        <v>2</v>
      </c>
      <c r="L407" t="s">
        <v>903</v>
      </c>
      <c r="M407">
        <v>25</v>
      </c>
      <c r="N407" s="152">
        <v>43831</v>
      </c>
      <c r="O407" s="152"/>
      <c r="Q407" t="s">
        <v>489</v>
      </c>
      <c r="R407">
        <v>2</v>
      </c>
    </row>
    <row r="408" spans="1:18" x14ac:dyDescent="0.25">
      <c r="B408"/>
      <c r="E408"/>
      <c r="F408" s="39"/>
      <c r="G408" s="40" t="s">
        <v>913</v>
      </c>
      <c r="H408" s="156">
        <v>45292</v>
      </c>
      <c r="I408" s="39"/>
      <c r="J408" s="155" t="s">
        <v>342</v>
      </c>
      <c r="K408" s="159" t="s">
        <v>111</v>
      </c>
      <c r="L408" s="39" t="s">
        <v>16</v>
      </c>
      <c r="M408" s="39"/>
      <c r="N408" s="179" t="s">
        <v>914</v>
      </c>
      <c r="O408" s="180">
        <v>45328</v>
      </c>
    </row>
    <row r="409" spans="1:18" x14ac:dyDescent="0.25">
      <c r="A409" t="s">
        <v>0</v>
      </c>
      <c r="B409" s="2" t="s">
        <v>915</v>
      </c>
      <c r="C409" t="s">
        <v>916</v>
      </c>
      <c r="D409" t="s">
        <v>3</v>
      </c>
      <c r="E409" s="42" t="s">
        <v>917</v>
      </c>
      <c r="F409" t="s">
        <v>918</v>
      </c>
      <c r="G409" t="s">
        <v>919</v>
      </c>
      <c r="H409" t="s">
        <v>920</v>
      </c>
      <c r="I409" t="s">
        <v>23</v>
      </c>
      <c r="J409" t="s">
        <v>921</v>
      </c>
      <c r="K409" s="2" t="s">
        <v>1</v>
      </c>
      <c r="L409" t="s">
        <v>922</v>
      </c>
      <c r="M409" t="s">
        <v>86</v>
      </c>
      <c r="N409" s="149" t="s">
        <v>923</v>
      </c>
      <c r="O409" s="149" t="s">
        <v>924</v>
      </c>
      <c r="Q409" t="s">
        <v>925</v>
      </c>
      <c r="R409" t="s">
        <v>926</v>
      </c>
    </row>
    <row r="410" spans="1:18" x14ac:dyDescent="0.25">
      <c r="A410" t="str">
        <f>TableMJRUTRHOS[[#This Row],[Study Package Code]]</f>
        <v>TOUR2000</v>
      </c>
      <c r="B410" s="2">
        <f>TableMJRUTRHOS[[#This Row],[Ver]]</f>
        <v>1</v>
      </c>
      <c r="D410" t="str">
        <f>TableMJRUTRHOS[[#This Row],[Structure Line]]</f>
        <v>Principles of Tourism, Hospitality and Events</v>
      </c>
      <c r="E410" s="42">
        <f>TableMJRUTRHOS[[#This Row],[Credit Points]]</f>
        <v>25</v>
      </c>
      <c r="F410">
        <v>1</v>
      </c>
      <c r="G410" t="s">
        <v>927</v>
      </c>
      <c r="H410">
        <v>1</v>
      </c>
      <c r="I410" t="s">
        <v>934</v>
      </c>
      <c r="J410" t="s">
        <v>389</v>
      </c>
      <c r="K410" s="2">
        <v>1</v>
      </c>
      <c r="L410" t="s">
        <v>883</v>
      </c>
      <c r="M410">
        <v>25</v>
      </c>
      <c r="N410" s="152">
        <v>45292</v>
      </c>
      <c r="O410" s="152" t="s">
        <v>937</v>
      </c>
      <c r="Q410" t="s">
        <v>891</v>
      </c>
      <c r="R410">
        <v>2</v>
      </c>
    </row>
    <row r="411" spans="1:18" x14ac:dyDescent="0.25">
      <c r="A411" t="str">
        <f>TableMJRUTRHOS[[#This Row],[Study Package Code]]</f>
        <v>TOUR2002</v>
      </c>
      <c r="B411" s="2">
        <f>TableMJRUTRHOS[[#This Row],[Ver]]</f>
        <v>1</v>
      </c>
      <c r="D411" t="str">
        <f>TableMJRUTRHOS[[#This Row],[Structure Line]]</f>
        <v>Hospitality Experience</v>
      </c>
      <c r="E411" s="42">
        <f>TableMJRUTRHOS[[#This Row],[Credit Points]]</f>
        <v>25</v>
      </c>
      <c r="F411">
        <v>2</v>
      </c>
      <c r="G411" t="s">
        <v>927</v>
      </c>
      <c r="H411">
        <v>2</v>
      </c>
      <c r="I411" t="s">
        <v>928</v>
      </c>
      <c r="J411" t="s">
        <v>411</v>
      </c>
      <c r="K411" s="2">
        <v>1</v>
      </c>
      <c r="L411" t="s">
        <v>885</v>
      </c>
      <c r="M411">
        <v>25</v>
      </c>
      <c r="N411" s="152">
        <v>45292</v>
      </c>
      <c r="O411" s="152"/>
      <c r="Q411" t="s">
        <v>988</v>
      </c>
      <c r="R411">
        <v>2</v>
      </c>
    </row>
    <row r="412" spans="1:18" x14ac:dyDescent="0.25">
      <c r="A412" t="str">
        <f>TableMJRUTRHOS[[#This Row],[Study Package Code]]</f>
        <v>TOUR3000</v>
      </c>
      <c r="B412" s="2">
        <f>TableMJRUTRHOS[[#This Row],[Ver]]</f>
        <v>1</v>
      </c>
      <c r="D412" t="str">
        <f>TableMJRUTRHOS[[#This Row],[Structure Line]]</f>
        <v>Managing Tourism Destinations</v>
      </c>
      <c r="E412" s="42">
        <f>TableMJRUTRHOS[[#This Row],[Credit Points]]</f>
        <v>25</v>
      </c>
      <c r="F412">
        <v>3</v>
      </c>
      <c r="G412" t="s">
        <v>927</v>
      </c>
      <c r="H412">
        <v>2</v>
      </c>
      <c r="I412" t="s">
        <v>928</v>
      </c>
      <c r="J412" t="s">
        <v>434</v>
      </c>
      <c r="K412" s="2">
        <v>1</v>
      </c>
      <c r="L412" t="s">
        <v>888</v>
      </c>
      <c r="M412">
        <v>25</v>
      </c>
      <c r="N412" s="152">
        <v>42005</v>
      </c>
      <c r="O412" s="152"/>
      <c r="Q412" t="s">
        <v>434</v>
      </c>
      <c r="R412">
        <v>1</v>
      </c>
    </row>
    <row r="413" spans="1:18" x14ac:dyDescent="0.25">
      <c r="A413" t="str">
        <f>TableMJRUTRHOS[[#This Row],[Study Package Code]]</f>
        <v>TOUR2001</v>
      </c>
      <c r="B413" s="2">
        <f>TableMJRUTRHOS[[#This Row],[Ver]]</f>
        <v>1</v>
      </c>
      <c r="D413" t="str">
        <f>TableMJRUTRHOS[[#This Row],[Structure Line]]</f>
        <v>Marketing for Tourism, Hospitality and Events</v>
      </c>
      <c r="E413" s="42">
        <f>TableMJRUTRHOS[[#This Row],[Credit Points]]</f>
        <v>25</v>
      </c>
      <c r="F413">
        <v>4</v>
      </c>
      <c r="G413" t="s">
        <v>927</v>
      </c>
      <c r="H413">
        <v>2</v>
      </c>
      <c r="I413" t="s">
        <v>934</v>
      </c>
      <c r="J413" t="s">
        <v>412</v>
      </c>
      <c r="K413" s="2">
        <v>1</v>
      </c>
      <c r="L413" t="s">
        <v>884</v>
      </c>
      <c r="M413">
        <v>25</v>
      </c>
      <c r="N413" s="152">
        <v>45292</v>
      </c>
      <c r="O413" s="152"/>
      <c r="Q413" t="s">
        <v>989</v>
      </c>
      <c r="R413">
        <v>3</v>
      </c>
    </row>
    <row r="414" spans="1:18" x14ac:dyDescent="0.25">
      <c r="A414" t="str">
        <f>TableMJRUTRHOS[[#This Row],[Study Package Code]]</f>
        <v>AC-TRHOS1</v>
      </c>
      <c r="B414" s="2">
        <f>TableMJRUTRHOS[[#This Row],[Ver]]</f>
        <v>0</v>
      </c>
      <c r="D414" t="str">
        <f>TableMJRUTRHOS[[#This Row],[Structure Line]]</f>
        <v>Choose TOUR2003 or MGMT3024</v>
      </c>
      <c r="E414" s="42">
        <f>TableMJRUTRHOS[[#This Row],[Credit Points]]</f>
        <v>25</v>
      </c>
      <c r="F414">
        <v>5</v>
      </c>
      <c r="G414" t="s">
        <v>947</v>
      </c>
      <c r="H414">
        <v>2</v>
      </c>
      <c r="I414" t="s">
        <v>934</v>
      </c>
      <c r="J414" t="s">
        <v>435</v>
      </c>
      <c r="K414" s="2">
        <v>0</v>
      </c>
      <c r="L414" t="s">
        <v>990</v>
      </c>
      <c r="M414">
        <v>25</v>
      </c>
      <c r="N414" s="152"/>
      <c r="O414" s="152"/>
      <c r="Q414" t="s">
        <v>991</v>
      </c>
      <c r="R414">
        <v>0</v>
      </c>
    </row>
    <row r="415" spans="1:18" x14ac:dyDescent="0.25">
      <c r="A415" t="str">
        <f>TableMJRUTRHOS[[#This Row],[Study Package Code]]</f>
        <v>TOUR3003</v>
      </c>
      <c r="B415" s="2">
        <f>TableMJRUTRHOS[[#This Row],[Ver]]</f>
        <v>1</v>
      </c>
      <c r="D415" t="str">
        <f>TableMJRUTRHOS[[#This Row],[Structure Line]]</f>
        <v>Contemporary Issues in Tourism Management</v>
      </c>
      <c r="E415" s="42">
        <f>TableMJRUTRHOS[[#This Row],[Credit Points]]</f>
        <v>25</v>
      </c>
      <c r="F415">
        <v>6</v>
      </c>
      <c r="G415" t="s">
        <v>927</v>
      </c>
      <c r="H415">
        <v>3</v>
      </c>
      <c r="I415" t="s">
        <v>928</v>
      </c>
      <c r="J415" t="s">
        <v>473</v>
      </c>
      <c r="K415" s="2">
        <v>1</v>
      </c>
      <c r="L415" t="s">
        <v>893</v>
      </c>
      <c r="M415">
        <v>25</v>
      </c>
      <c r="N415" s="152">
        <v>45292</v>
      </c>
      <c r="O415" s="152"/>
      <c r="Q415" t="s">
        <v>992</v>
      </c>
      <c r="R415">
        <v>1</v>
      </c>
    </row>
    <row r="416" spans="1:18" x14ac:dyDescent="0.25">
      <c r="A416" t="str">
        <f>TableMJRUTRHOS[[#This Row],[Study Package Code]]</f>
        <v>AC-TRHOS2</v>
      </c>
      <c r="B416" s="2">
        <f>TableMJRUTRHOS[[#This Row],[Ver]]</f>
        <v>0</v>
      </c>
      <c r="D416" t="str">
        <f>TableMJRUTRHOS[[#This Row],[Structure Line]]</f>
        <v>Choose TOUR3001 or MKTG3009</v>
      </c>
      <c r="E416" s="42">
        <f>TableMJRUTRHOS[[#This Row],[Credit Points]]</f>
        <v>25</v>
      </c>
      <c r="F416">
        <v>7</v>
      </c>
      <c r="G416" t="s">
        <v>947</v>
      </c>
      <c r="H416">
        <v>3</v>
      </c>
      <c r="I416" t="s">
        <v>928</v>
      </c>
      <c r="J416" t="s">
        <v>458</v>
      </c>
      <c r="K416" s="2">
        <v>0</v>
      </c>
      <c r="L416" t="s">
        <v>993</v>
      </c>
      <c r="M416">
        <v>25</v>
      </c>
      <c r="N416" s="152"/>
      <c r="O416" s="152"/>
      <c r="Q416" t="s">
        <v>994</v>
      </c>
      <c r="R416">
        <v>0</v>
      </c>
    </row>
    <row r="417" spans="1:18" x14ac:dyDescent="0.25">
      <c r="A417" t="str">
        <f>TableMJRUTRHOS[[#This Row],[Study Package Code]]</f>
        <v>TOUR3002</v>
      </c>
      <c r="B417" s="2">
        <f>TableMJRUTRHOS[[#This Row],[Ver]]</f>
        <v>1</v>
      </c>
      <c r="D417" t="str">
        <f>TableMJRUTRHOS[[#This Row],[Structure Line]]</f>
        <v>Hospitality Management</v>
      </c>
      <c r="E417" s="42">
        <f>TableMJRUTRHOS[[#This Row],[Credit Points]]</f>
        <v>25</v>
      </c>
      <c r="F417">
        <v>8</v>
      </c>
      <c r="G417" t="s">
        <v>927</v>
      </c>
      <c r="H417">
        <v>3</v>
      </c>
      <c r="I417" t="s">
        <v>934</v>
      </c>
      <c r="J417" t="s">
        <v>459</v>
      </c>
      <c r="K417" s="2">
        <v>1</v>
      </c>
      <c r="L417" t="s">
        <v>892</v>
      </c>
      <c r="M417">
        <v>25</v>
      </c>
      <c r="N417" s="152">
        <v>45292</v>
      </c>
      <c r="O417" s="152"/>
      <c r="Q417" t="s">
        <v>995</v>
      </c>
      <c r="R417">
        <v>2</v>
      </c>
    </row>
    <row r="418" spans="1:18" x14ac:dyDescent="0.25">
      <c r="A418" t="str">
        <f>TableMJRUTRHOS[[#This Row],[Study Package Code]]</f>
        <v>MGMT3024</v>
      </c>
      <c r="B418" s="2">
        <f>TableMJRUTRHOS[[#This Row],[Ver]]</f>
        <v>2</v>
      </c>
      <c r="D418" t="str">
        <f>TableMJRUTRHOS[[#This Row],[Structure Line]]</f>
        <v>Business Study Tour</v>
      </c>
      <c r="E418" s="42">
        <f>TableMJRUTRHOS[[#This Row],[Credit Points]]</f>
        <v>25</v>
      </c>
      <c r="F418">
        <v>5</v>
      </c>
      <c r="G418" t="s">
        <v>947</v>
      </c>
      <c r="H418">
        <v>2</v>
      </c>
      <c r="I418" t="s">
        <v>934</v>
      </c>
      <c r="J418" t="s">
        <v>490</v>
      </c>
      <c r="K418" s="2">
        <v>2</v>
      </c>
      <c r="L418" t="s">
        <v>996</v>
      </c>
      <c r="M418">
        <v>25</v>
      </c>
      <c r="N418" s="152">
        <v>44562</v>
      </c>
      <c r="O418" s="152"/>
      <c r="Q418" t="s">
        <v>490</v>
      </c>
      <c r="R418">
        <v>2</v>
      </c>
    </row>
    <row r="419" spans="1:18" x14ac:dyDescent="0.25">
      <c r="A419" t="str">
        <f>TableMJRUTRHOS[[#This Row],[Study Package Code]]</f>
        <v>TOUR2003</v>
      </c>
      <c r="B419" s="2">
        <f>TableMJRUTRHOS[[#This Row],[Ver]]</f>
        <v>1</v>
      </c>
      <c r="D419" t="str">
        <f>TableMJRUTRHOS[[#This Row],[Structure Line]]</f>
        <v>Entertainment Industry Essentials</v>
      </c>
      <c r="E419" s="42">
        <f>TableMJRUTRHOS[[#This Row],[Credit Points]]</f>
        <v>25</v>
      </c>
      <c r="F419">
        <v>5</v>
      </c>
      <c r="G419" t="s">
        <v>947</v>
      </c>
      <c r="H419">
        <v>2</v>
      </c>
      <c r="I419" t="s">
        <v>934</v>
      </c>
      <c r="J419" t="s">
        <v>483</v>
      </c>
      <c r="K419" s="2">
        <v>1</v>
      </c>
      <c r="L419" t="s">
        <v>886</v>
      </c>
      <c r="M419">
        <v>25</v>
      </c>
      <c r="N419" s="152">
        <v>44197</v>
      </c>
      <c r="O419" s="152"/>
      <c r="Q419" t="s">
        <v>483</v>
      </c>
      <c r="R419">
        <v>1</v>
      </c>
    </row>
    <row r="420" spans="1:18" x14ac:dyDescent="0.25">
      <c r="A420" t="str">
        <f>TableMJRUTRHOS[[#This Row],[Study Package Code]]</f>
        <v>MKTG3009</v>
      </c>
      <c r="B420" s="2">
        <f>TableMJRUTRHOS[[#This Row],[Ver]]</f>
        <v>4</v>
      </c>
      <c r="D420" t="str">
        <f>TableMJRUTRHOS[[#This Row],[Structure Line]]</f>
        <v>Business Internship</v>
      </c>
      <c r="E420" s="42">
        <f>TableMJRUTRHOS[[#This Row],[Credit Points]]</f>
        <v>25</v>
      </c>
      <c r="F420">
        <v>7</v>
      </c>
      <c r="G420" t="s">
        <v>947</v>
      </c>
      <c r="H420">
        <v>3</v>
      </c>
      <c r="I420" t="s">
        <v>928</v>
      </c>
      <c r="J420" t="s">
        <v>492</v>
      </c>
      <c r="K420" s="2">
        <v>4</v>
      </c>
      <c r="L420" t="s">
        <v>979</v>
      </c>
      <c r="M420">
        <v>25</v>
      </c>
      <c r="N420" s="152">
        <v>43647</v>
      </c>
      <c r="O420" s="152"/>
      <c r="Q420" t="s">
        <v>492</v>
      </c>
      <c r="R420">
        <v>4</v>
      </c>
    </row>
    <row r="421" spans="1:18" x14ac:dyDescent="0.25">
      <c r="A421" t="str">
        <f>TableMJRUTRHOS[[#This Row],[Study Package Code]]</f>
        <v>TOUR3001</v>
      </c>
      <c r="B421" s="2">
        <f>TableMJRUTRHOS[[#This Row],[Ver]]</f>
        <v>2</v>
      </c>
      <c r="D421" t="str">
        <f>TableMJRUTRHOS[[#This Row],[Structure Line]]</f>
        <v>Responsible Tourism Management</v>
      </c>
      <c r="E421" s="42">
        <f>TableMJRUTRHOS[[#This Row],[Credit Points]]</f>
        <v>25</v>
      </c>
      <c r="F421">
        <v>7</v>
      </c>
      <c r="G421" t="s">
        <v>947</v>
      </c>
      <c r="H421">
        <v>3</v>
      </c>
      <c r="I421" t="s">
        <v>928</v>
      </c>
      <c r="J421" t="s">
        <v>493</v>
      </c>
      <c r="K421" s="2">
        <v>2</v>
      </c>
      <c r="L421" t="s">
        <v>889</v>
      </c>
      <c r="M421">
        <v>25</v>
      </c>
      <c r="N421" s="152">
        <v>45108</v>
      </c>
      <c r="O421" s="152"/>
      <c r="Q421" t="s">
        <v>493</v>
      </c>
      <c r="R421">
        <v>1</v>
      </c>
    </row>
  </sheetData>
  <conditionalFormatting sqref="J204:J223">
    <cfRule type="duplicateValues" dxfId="295" priority="137"/>
  </conditionalFormatting>
  <conditionalFormatting sqref="J250:J258">
    <cfRule type="duplicateValues" dxfId="294" priority="136"/>
  </conditionalFormatting>
  <conditionalFormatting sqref="J261:J270">
    <cfRule type="duplicateValues" dxfId="293" priority="135"/>
  </conditionalFormatting>
  <conditionalFormatting sqref="J273:J285">
    <cfRule type="duplicateValues" dxfId="292" priority="134"/>
  </conditionalFormatting>
  <conditionalFormatting sqref="J298:J307">
    <cfRule type="duplicateValues" dxfId="291" priority="132"/>
  </conditionalFormatting>
  <conditionalFormatting sqref="J288:J295">
    <cfRule type="duplicateValues" dxfId="290" priority="139"/>
  </conditionalFormatting>
  <conditionalFormatting sqref="J345:J354">
    <cfRule type="duplicateValues" dxfId="289" priority="128"/>
  </conditionalFormatting>
  <conditionalFormatting sqref="J335:J342">
    <cfRule type="duplicateValues" dxfId="288" priority="140"/>
  </conditionalFormatting>
  <conditionalFormatting sqref="J381:J395">
    <cfRule type="duplicateValues" dxfId="287" priority="125"/>
  </conditionalFormatting>
  <conditionalFormatting sqref="J371:J378">
    <cfRule type="duplicateValues" dxfId="286" priority="141"/>
  </conditionalFormatting>
  <conditionalFormatting sqref="J398:J407">
    <cfRule type="duplicateValues" dxfId="285" priority="124"/>
  </conditionalFormatting>
  <conditionalFormatting sqref="Q3:R62 Q95:R102 Q146:R153 Q156:R164 Q177:R177 Q310:R320 Q357:R357 Q410:R421 Q323:R332">
    <cfRule type="expression" dxfId="284" priority="122">
      <formula>Q3&lt;&gt;J3</formula>
    </cfRule>
  </conditionalFormatting>
  <conditionalFormatting sqref="O3:O92 O323:O332 O310:O320">
    <cfRule type="notContainsBlanks" dxfId="283" priority="120">
      <formula>LEN(TRIM(O3))&gt;0</formula>
    </cfRule>
  </conditionalFormatting>
  <conditionalFormatting sqref="Q105:R112">
    <cfRule type="expression" dxfId="282" priority="119">
      <formula>Q105&lt;&gt;J105</formula>
    </cfRule>
  </conditionalFormatting>
  <conditionalFormatting sqref="Q115:R123">
    <cfRule type="expression" dxfId="281" priority="118">
      <formula>Q115&lt;&gt;J115</formula>
    </cfRule>
  </conditionalFormatting>
  <conditionalFormatting sqref="Q126:R133">
    <cfRule type="expression" dxfId="280" priority="117">
      <formula>Q126&lt;&gt;J126</formula>
    </cfRule>
  </conditionalFormatting>
  <conditionalFormatting sqref="Q136:R143">
    <cfRule type="expression" dxfId="279" priority="116">
      <formula>Q136&lt;&gt;J136</formula>
    </cfRule>
  </conditionalFormatting>
  <conditionalFormatting sqref="Q167:R174">
    <cfRule type="expression" dxfId="278" priority="114">
      <formula>Q167&lt;&gt;J167</formula>
    </cfRule>
  </conditionalFormatting>
  <conditionalFormatting sqref="Q192:R201">
    <cfRule type="expression" dxfId="277" priority="112">
      <formula>Q192&lt;&gt;J192</formula>
    </cfRule>
  </conditionalFormatting>
  <conditionalFormatting sqref="Q204:R223">
    <cfRule type="expression" dxfId="276" priority="111">
      <formula>Q204&lt;&gt;J204</formula>
    </cfRule>
  </conditionalFormatting>
  <conditionalFormatting sqref="Q226:R235">
    <cfRule type="expression" dxfId="275" priority="110">
      <formula>Q226&lt;&gt;J226</formula>
    </cfRule>
  </conditionalFormatting>
  <conditionalFormatting sqref="Q238:R247">
    <cfRule type="expression" dxfId="274" priority="109">
      <formula>Q238&lt;&gt;J238</formula>
    </cfRule>
  </conditionalFormatting>
  <conditionalFormatting sqref="Q250:R257">
    <cfRule type="expression" dxfId="273" priority="108">
      <formula>Q250&lt;&gt;J250</formula>
    </cfRule>
  </conditionalFormatting>
  <conditionalFormatting sqref="Q261:R270">
    <cfRule type="expression" dxfId="272" priority="107">
      <formula>Q261&lt;&gt;J261</formula>
    </cfRule>
  </conditionalFormatting>
  <conditionalFormatting sqref="Q273:R285">
    <cfRule type="expression" dxfId="271" priority="106">
      <formula>Q273&lt;&gt;J273</formula>
    </cfRule>
  </conditionalFormatting>
  <conditionalFormatting sqref="Q288:R295">
    <cfRule type="expression" dxfId="270" priority="105">
      <formula>Q288&lt;&gt;J288</formula>
    </cfRule>
  </conditionalFormatting>
  <conditionalFormatting sqref="Q298:R307">
    <cfRule type="expression" dxfId="269" priority="104">
      <formula>Q298&lt;&gt;J298</formula>
    </cfRule>
  </conditionalFormatting>
  <conditionalFormatting sqref="Q335:R342">
    <cfRule type="expression" dxfId="268" priority="101">
      <formula>Q335&lt;&gt;J335</formula>
    </cfRule>
  </conditionalFormatting>
  <conditionalFormatting sqref="Q345:R354">
    <cfRule type="expression" dxfId="267" priority="100">
      <formula>Q345&lt;&gt;J345</formula>
    </cfRule>
  </conditionalFormatting>
  <conditionalFormatting sqref="Q371:R378">
    <cfRule type="expression" dxfId="266" priority="98">
      <formula>Q371&lt;&gt;J371</formula>
    </cfRule>
  </conditionalFormatting>
  <conditionalFormatting sqref="Q381:R395">
    <cfRule type="expression" dxfId="265" priority="97">
      <formula>Q381&lt;&gt;J381</formula>
    </cfRule>
  </conditionalFormatting>
  <conditionalFormatting sqref="Q398:R407">
    <cfRule type="expression" dxfId="264" priority="96">
      <formula>Q398&lt;&gt;J398</formula>
    </cfRule>
  </conditionalFormatting>
  <conditionalFormatting sqref="O95:O102">
    <cfRule type="notContainsBlanks" dxfId="263" priority="57">
      <formula>LEN(TRIM(O95))&gt;0</formula>
    </cfRule>
  </conditionalFormatting>
  <conditionalFormatting sqref="Q158:R164">
    <cfRule type="expression" dxfId="262" priority="144">
      <formula>Q158&lt;&gt;J157</formula>
    </cfRule>
  </conditionalFormatting>
  <conditionalFormatting sqref="Q178:R189">
    <cfRule type="expression" dxfId="261" priority="81">
      <formula>Q178&lt;&gt;J178</formula>
    </cfRule>
  </conditionalFormatting>
  <conditionalFormatting sqref="O115:O123">
    <cfRule type="notContainsBlanks" dxfId="260" priority="53">
      <formula>LEN(TRIM(O115))&gt;0</formula>
    </cfRule>
  </conditionalFormatting>
  <conditionalFormatting sqref="O126:O133">
    <cfRule type="notContainsBlanks" dxfId="259" priority="51">
      <formula>LEN(TRIM(O126))&gt;0</formula>
    </cfRule>
  </conditionalFormatting>
  <conditionalFormatting sqref="O136:O143">
    <cfRule type="notContainsBlanks" dxfId="258" priority="49">
      <formula>LEN(TRIM(O136))&gt;0</formula>
    </cfRule>
  </conditionalFormatting>
  <conditionalFormatting sqref="O105:O112">
    <cfRule type="notContainsBlanks" dxfId="257" priority="55">
      <formula>LEN(TRIM(O105))&gt;0</formula>
    </cfRule>
  </conditionalFormatting>
  <conditionalFormatting sqref="J357:J368">
    <cfRule type="duplicateValues" dxfId="256" priority="145"/>
  </conditionalFormatting>
  <conditionalFormatting sqref="Q358:R368">
    <cfRule type="expression" dxfId="255" priority="61">
      <formula>Q358&lt;&gt;J358</formula>
    </cfRule>
  </conditionalFormatting>
  <conditionalFormatting sqref="J410:J421">
    <cfRule type="duplicateValues" dxfId="254" priority="191"/>
  </conditionalFormatting>
  <conditionalFormatting sqref="J3:J92">
    <cfRule type="duplicateValues" dxfId="253" priority="198"/>
  </conditionalFormatting>
  <conditionalFormatting sqref="N3:N92 N323:N332 N310:N320">
    <cfRule type="cellIs" dxfId="252" priority="59" operator="equal">
      <formula>45292</formula>
    </cfRule>
  </conditionalFormatting>
  <conditionalFormatting sqref="Q63:R92">
    <cfRule type="expression" dxfId="251" priority="58">
      <formula>Q63&lt;&gt;J63</formula>
    </cfRule>
  </conditionalFormatting>
  <conditionalFormatting sqref="N95:N102">
    <cfRule type="cellIs" dxfId="250" priority="56" operator="equal">
      <formula>45292</formula>
    </cfRule>
  </conditionalFormatting>
  <conditionalFormatting sqref="N105:N112">
    <cfRule type="cellIs" dxfId="249" priority="54" operator="equal">
      <formula>45292</formula>
    </cfRule>
  </conditionalFormatting>
  <conditionalFormatting sqref="N115:N123">
    <cfRule type="cellIs" dxfId="248" priority="52" operator="equal">
      <formula>45292</formula>
    </cfRule>
  </conditionalFormatting>
  <conditionalFormatting sqref="N126:N133">
    <cfRule type="cellIs" dxfId="247" priority="50" operator="equal">
      <formula>45292</formula>
    </cfRule>
  </conditionalFormatting>
  <conditionalFormatting sqref="N136:N143">
    <cfRule type="cellIs" dxfId="246" priority="48" operator="equal">
      <formula>45292</formula>
    </cfRule>
  </conditionalFormatting>
  <conditionalFormatting sqref="O156:O164">
    <cfRule type="notContainsBlanks" dxfId="245" priority="47">
      <formula>LEN(TRIM(O156))&gt;0</formula>
    </cfRule>
  </conditionalFormatting>
  <conditionalFormatting sqref="N156:N164">
    <cfRule type="cellIs" dxfId="244" priority="46" operator="equal">
      <formula>45292</formula>
    </cfRule>
  </conditionalFormatting>
  <conditionalFormatting sqref="O167:O174">
    <cfRule type="notContainsBlanks" dxfId="243" priority="45">
      <formula>LEN(TRIM(O167))&gt;0</formula>
    </cfRule>
  </conditionalFormatting>
  <conditionalFormatting sqref="N167:N174">
    <cfRule type="cellIs" dxfId="242" priority="44" operator="equal">
      <formula>45292</formula>
    </cfRule>
  </conditionalFormatting>
  <conditionalFormatting sqref="O177:O189">
    <cfRule type="notContainsBlanks" dxfId="241" priority="43">
      <formula>LEN(TRIM(O177))&gt;0</formula>
    </cfRule>
  </conditionalFormatting>
  <conditionalFormatting sqref="N177:N189">
    <cfRule type="cellIs" dxfId="240" priority="42" operator="equal">
      <formula>45292</formula>
    </cfRule>
  </conditionalFormatting>
  <conditionalFormatting sqref="O192:O201">
    <cfRule type="notContainsBlanks" dxfId="239" priority="41">
      <formula>LEN(TRIM(O192))&gt;0</formula>
    </cfRule>
  </conditionalFormatting>
  <conditionalFormatting sqref="N192:N201">
    <cfRule type="cellIs" dxfId="238" priority="40" operator="equal">
      <formula>45292</formula>
    </cfRule>
  </conditionalFormatting>
  <conditionalFormatting sqref="O204:O223">
    <cfRule type="notContainsBlanks" dxfId="237" priority="39">
      <formula>LEN(TRIM(O204))&gt;0</formula>
    </cfRule>
  </conditionalFormatting>
  <conditionalFormatting sqref="N204:N223">
    <cfRule type="cellIs" dxfId="236" priority="38" operator="equal">
      <formula>45292</formula>
    </cfRule>
  </conditionalFormatting>
  <conditionalFormatting sqref="O226:O235">
    <cfRule type="notContainsBlanks" dxfId="235" priority="37">
      <formula>LEN(TRIM(O226))&gt;0</formula>
    </cfRule>
  </conditionalFormatting>
  <conditionalFormatting sqref="N226:N235">
    <cfRule type="cellIs" dxfId="234" priority="36" operator="equal">
      <formula>45292</formula>
    </cfRule>
  </conditionalFormatting>
  <conditionalFormatting sqref="O238:O247">
    <cfRule type="notContainsBlanks" dxfId="233" priority="35">
      <formula>LEN(TRIM(O238))&gt;0</formula>
    </cfRule>
  </conditionalFormatting>
  <conditionalFormatting sqref="N238:N247">
    <cfRule type="cellIs" dxfId="232" priority="34" operator="equal">
      <formula>45292</formula>
    </cfRule>
  </conditionalFormatting>
  <conditionalFormatting sqref="O250:O257">
    <cfRule type="notContainsBlanks" dxfId="231" priority="33">
      <formula>LEN(TRIM(O250))&gt;0</formula>
    </cfRule>
  </conditionalFormatting>
  <conditionalFormatting sqref="N250:N257">
    <cfRule type="cellIs" dxfId="230" priority="32" operator="equal">
      <formula>45292</formula>
    </cfRule>
  </conditionalFormatting>
  <conditionalFormatting sqref="Q148:R153">
    <cfRule type="expression" dxfId="229" priority="31">
      <formula>Q148&lt;&gt;J147</formula>
    </cfRule>
  </conditionalFormatting>
  <conditionalFormatting sqref="O146:O153">
    <cfRule type="notContainsBlanks" dxfId="228" priority="29">
      <formula>LEN(TRIM(O146))&gt;0</formula>
    </cfRule>
  </conditionalFormatting>
  <conditionalFormatting sqref="N146:N153">
    <cfRule type="cellIs" dxfId="227" priority="28" operator="equal">
      <formula>45292</formula>
    </cfRule>
  </conditionalFormatting>
  <conditionalFormatting sqref="O261:O270">
    <cfRule type="notContainsBlanks" dxfId="226" priority="26">
      <formula>LEN(TRIM(O261))&gt;0</formula>
    </cfRule>
  </conditionalFormatting>
  <conditionalFormatting sqref="N261:N270">
    <cfRule type="cellIs" dxfId="225" priority="25" operator="equal">
      <formula>45292</formula>
    </cfRule>
  </conditionalFormatting>
  <conditionalFormatting sqref="O273:O285">
    <cfRule type="notContainsBlanks" dxfId="224" priority="24">
      <formula>LEN(TRIM(O273))&gt;0</formula>
    </cfRule>
  </conditionalFormatting>
  <conditionalFormatting sqref="N273:N285">
    <cfRule type="cellIs" dxfId="223" priority="23" operator="equal">
      <formula>45292</formula>
    </cfRule>
  </conditionalFormatting>
  <conditionalFormatting sqref="O288:O295">
    <cfRule type="notContainsBlanks" dxfId="222" priority="22">
      <formula>LEN(TRIM(O288))&gt;0</formula>
    </cfRule>
  </conditionalFormatting>
  <conditionalFormatting sqref="N288:N295">
    <cfRule type="cellIs" dxfId="221" priority="21" operator="equal">
      <formula>45292</formula>
    </cfRule>
  </conditionalFormatting>
  <conditionalFormatting sqref="O298:O307">
    <cfRule type="notContainsBlanks" dxfId="220" priority="20">
      <formula>LEN(TRIM(O298))&gt;0</formula>
    </cfRule>
  </conditionalFormatting>
  <conditionalFormatting sqref="N298:N307">
    <cfRule type="cellIs" dxfId="219" priority="19" operator="equal">
      <formula>45292</formula>
    </cfRule>
  </conditionalFormatting>
  <conditionalFormatting sqref="O335:O342">
    <cfRule type="notContainsBlanks" dxfId="218" priority="14">
      <formula>LEN(TRIM(O335))&gt;0</formula>
    </cfRule>
  </conditionalFormatting>
  <conditionalFormatting sqref="N335:N342">
    <cfRule type="cellIs" dxfId="217" priority="13" operator="equal">
      <formula>45292</formula>
    </cfRule>
  </conditionalFormatting>
  <conditionalFormatting sqref="O345:O354">
    <cfRule type="notContainsBlanks" dxfId="216" priority="12">
      <formula>LEN(TRIM(O345))&gt;0</formula>
    </cfRule>
  </conditionalFormatting>
  <conditionalFormatting sqref="N345:N354">
    <cfRule type="cellIs" dxfId="215" priority="11" operator="equal">
      <formula>45292</formula>
    </cfRule>
  </conditionalFormatting>
  <conditionalFormatting sqref="O357:O368">
    <cfRule type="notContainsBlanks" dxfId="214" priority="10">
      <formula>LEN(TRIM(O357))&gt;0</formula>
    </cfRule>
  </conditionalFormatting>
  <conditionalFormatting sqref="N357:N368">
    <cfRule type="cellIs" dxfId="213" priority="9" operator="equal">
      <formula>45292</formula>
    </cfRule>
  </conditionalFormatting>
  <conditionalFormatting sqref="O371:O378">
    <cfRule type="notContainsBlanks" dxfId="212" priority="8">
      <formula>LEN(TRIM(O371))&gt;0</formula>
    </cfRule>
  </conditionalFormatting>
  <conditionalFormatting sqref="N371:N378">
    <cfRule type="cellIs" dxfId="211" priority="7" operator="equal">
      <formula>45292</formula>
    </cfRule>
  </conditionalFormatting>
  <conditionalFormatting sqref="O381:O395">
    <cfRule type="notContainsBlanks" dxfId="210" priority="6">
      <formula>LEN(TRIM(O381))&gt;0</formula>
    </cfRule>
  </conditionalFormatting>
  <conditionalFormatting sqref="N381:N395">
    <cfRule type="cellIs" dxfId="209" priority="5" operator="equal">
      <formula>45292</formula>
    </cfRule>
  </conditionalFormatting>
  <conditionalFormatting sqref="O398:O407">
    <cfRule type="notContainsBlanks" dxfId="208" priority="4">
      <formula>LEN(TRIM(O398))&gt;0</formula>
    </cfRule>
  </conditionalFormatting>
  <conditionalFormatting sqref="N398:N407">
    <cfRule type="cellIs" dxfId="207" priority="3" operator="equal">
      <formula>45292</formula>
    </cfRule>
  </conditionalFormatting>
  <conditionalFormatting sqref="O410:O421">
    <cfRule type="notContainsBlanks" dxfId="206" priority="2">
      <formula>LEN(TRIM(O410))&gt;0</formula>
    </cfRule>
  </conditionalFormatting>
  <conditionalFormatting sqref="N410:N421">
    <cfRule type="cellIs" dxfId="205" priority="1" operator="equal">
      <formula>45292</formula>
    </cfRule>
  </conditionalFormatting>
  <conditionalFormatting sqref="J323:J332">
    <cfRule type="duplicateValues" dxfId="204" priority="270"/>
  </conditionalFormatting>
  <conditionalFormatting sqref="J310:J320">
    <cfRule type="duplicateValues" dxfId="203" priority="271"/>
  </conditionalFormatting>
  <pageMargins left="0.7" right="0.7" top="0.75" bottom="0.75" header="0.3" footer="0.3"/>
  <pageSetup paperSize="9" orientation="portrait" r:id="rId1"/>
  <legacyDrawing r:id="rId2"/>
  <tableParts count="56">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248"/>
  <sheetViews>
    <sheetView workbookViewId="0">
      <selection activeCell="G63" sqref="G63"/>
    </sheetView>
  </sheetViews>
  <sheetFormatPr defaultRowHeight="15.75" x14ac:dyDescent="0.25"/>
  <cols>
    <col min="1" max="1" width="39.625" bestFit="1" customWidth="1"/>
    <col min="2" max="2" width="12.75" bestFit="1" customWidth="1"/>
    <col min="3" max="3" width="8.5" bestFit="1" customWidth="1"/>
    <col min="4" max="4" width="10.625" bestFit="1" customWidth="1"/>
    <col min="5" max="5" width="9.5" bestFit="1" customWidth="1"/>
    <col min="6" max="6" width="16.125" bestFit="1" customWidth="1"/>
    <col min="7" max="7" width="14.125" bestFit="1" customWidth="1"/>
    <col min="9" max="9" width="10.375" bestFit="1" customWidth="1"/>
  </cols>
  <sheetData>
    <row r="1" spans="1:13" x14ac:dyDescent="0.25">
      <c r="A1" t="s">
        <v>997</v>
      </c>
      <c r="B1" t="s">
        <v>998</v>
      </c>
      <c r="F1" s="157" t="s">
        <v>999</v>
      </c>
      <c r="G1" s="158">
        <v>45328</v>
      </c>
    </row>
    <row r="2" spans="1:13" x14ac:dyDescent="0.25">
      <c r="B2" t="s">
        <v>928</v>
      </c>
      <c r="D2" t="s">
        <v>934</v>
      </c>
    </row>
    <row r="3" spans="1:13" x14ac:dyDescent="0.25">
      <c r="A3" t="s">
        <v>1000</v>
      </c>
      <c r="B3" t="s">
        <v>1001</v>
      </c>
      <c r="C3" t="s">
        <v>1002</v>
      </c>
      <c r="D3" t="s">
        <v>1003</v>
      </c>
      <c r="E3" t="s">
        <v>1004</v>
      </c>
    </row>
    <row r="4" spans="1:13" x14ac:dyDescent="0.25">
      <c r="A4" t="s">
        <v>39</v>
      </c>
      <c r="B4">
        <v>1</v>
      </c>
      <c r="C4">
        <v>1</v>
      </c>
      <c r="I4" t="s">
        <v>39</v>
      </c>
      <c r="J4">
        <v>1</v>
      </c>
      <c r="K4">
        <v>1</v>
      </c>
    </row>
    <row r="5" spans="1:13" x14ac:dyDescent="0.25">
      <c r="A5" t="s">
        <v>41</v>
      </c>
      <c r="D5">
        <v>1</v>
      </c>
      <c r="E5">
        <v>1</v>
      </c>
      <c r="I5" t="s">
        <v>41</v>
      </c>
      <c r="L5">
        <v>1</v>
      </c>
      <c r="M5">
        <v>1</v>
      </c>
    </row>
    <row r="6" spans="1:13" x14ac:dyDescent="0.25">
      <c r="A6" t="s">
        <v>195</v>
      </c>
      <c r="D6">
        <v>1</v>
      </c>
      <c r="E6">
        <v>1</v>
      </c>
      <c r="I6" t="s">
        <v>195</v>
      </c>
      <c r="L6">
        <v>1</v>
      </c>
      <c r="M6">
        <v>1</v>
      </c>
    </row>
    <row r="7" spans="1:13" x14ac:dyDescent="0.25">
      <c r="A7" t="s">
        <v>219</v>
      </c>
      <c r="D7">
        <v>1</v>
      </c>
      <c r="E7">
        <v>1</v>
      </c>
      <c r="I7" t="s">
        <v>219</v>
      </c>
      <c r="L7">
        <v>1</v>
      </c>
      <c r="M7">
        <v>1</v>
      </c>
    </row>
    <row r="8" spans="1:13" x14ac:dyDescent="0.25">
      <c r="A8" t="s">
        <v>194</v>
      </c>
      <c r="B8">
        <v>1</v>
      </c>
      <c r="C8">
        <v>1</v>
      </c>
      <c r="I8" t="s">
        <v>194</v>
      </c>
      <c r="J8">
        <v>1</v>
      </c>
      <c r="K8">
        <v>1</v>
      </c>
    </row>
    <row r="9" spans="1:13" x14ac:dyDescent="0.25">
      <c r="A9" t="s">
        <v>273</v>
      </c>
      <c r="D9">
        <v>1</v>
      </c>
      <c r="E9">
        <v>1</v>
      </c>
      <c r="I9" t="s">
        <v>273</v>
      </c>
      <c r="L9">
        <v>1</v>
      </c>
      <c r="M9">
        <v>1</v>
      </c>
    </row>
    <row r="10" spans="1:13" x14ac:dyDescent="0.25">
      <c r="A10" t="s">
        <v>248</v>
      </c>
      <c r="D10">
        <v>1</v>
      </c>
      <c r="E10">
        <v>1</v>
      </c>
      <c r="I10" t="s">
        <v>248</v>
      </c>
      <c r="L10">
        <v>1</v>
      </c>
      <c r="M10">
        <v>1</v>
      </c>
    </row>
    <row r="11" spans="1:13" x14ac:dyDescent="0.25">
      <c r="A11" t="s">
        <v>272</v>
      </c>
      <c r="B11">
        <v>1</v>
      </c>
      <c r="C11">
        <v>1</v>
      </c>
      <c r="I11" t="s">
        <v>272</v>
      </c>
      <c r="J11">
        <v>1</v>
      </c>
      <c r="K11">
        <v>1</v>
      </c>
    </row>
    <row r="12" spans="1:13" x14ac:dyDescent="0.25">
      <c r="A12" t="s">
        <v>247</v>
      </c>
      <c r="B12">
        <v>1</v>
      </c>
      <c r="C12">
        <v>1</v>
      </c>
      <c r="I12" t="s">
        <v>247</v>
      </c>
      <c r="J12">
        <v>1</v>
      </c>
      <c r="K12">
        <v>1</v>
      </c>
    </row>
    <row r="13" spans="1:13" x14ac:dyDescent="0.25">
      <c r="A13" t="s">
        <v>380</v>
      </c>
      <c r="D13">
        <v>1</v>
      </c>
      <c r="E13">
        <v>1</v>
      </c>
      <c r="I13" t="s">
        <v>380</v>
      </c>
      <c r="L13">
        <v>1</v>
      </c>
      <c r="M13">
        <v>1</v>
      </c>
    </row>
    <row r="14" spans="1:13" x14ac:dyDescent="0.25">
      <c r="A14" t="s">
        <v>413</v>
      </c>
      <c r="B14">
        <v>1</v>
      </c>
      <c r="C14">
        <v>1</v>
      </c>
      <c r="D14">
        <v>1</v>
      </c>
      <c r="E14">
        <v>1</v>
      </c>
      <c r="I14" t="s">
        <v>413</v>
      </c>
      <c r="J14">
        <v>1</v>
      </c>
      <c r="K14">
        <v>1</v>
      </c>
      <c r="L14">
        <v>1</v>
      </c>
      <c r="M14">
        <v>1</v>
      </c>
    </row>
    <row r="15" spans="1:13" x14ac:dyDescent="0.25">
      <c r="A15" t="s">
        <v>414</v>
      </c>
      <c r="D15">
        <v>1</v>
      </c>
      <c r="E15">
        <v>1</v>
      </c>
      <c r="I15" t="s">
        <v>414</v>
      </c>
      <c r="L15">
        <v>1</v>
      </c>
      <c r="M15">
        <v>1</v>
      </c>
    </row>
    <row r="16" spans="1:13" x14ac:dyDescent="0.25">
      <c r="A16" t="s">
        <v>392</v>
      </c>
      <c r="D16">
        <v>1</v>
      </c>
      <c r="E16">
        <v>1</v>
      </c>
      <c r="I16" t="s">
        <v>392</v>
      </c>
      <c r="L16">
        <v>1</v>
      </c>
      <c r="M16">
        <v>1</v>
      </c>
    </row>
    <row r="17" spans="1:13" x14ac:dyDescent="0.25">
      <c r="A17" t="s">
        <v>479</v>
      </c>
      <c r="B17">
        <v>1</v>
      </c>
      <c r="C17">
        <v>1</v>
      </c>
      <c r="I17" t="s">
        <v>479</v>
      </c>
      <c r="J17">
        <v>1</v>
      </c>
      <c r="K17">
        <v>1</v>
      </c>
    </row>
    <row r="18" spans="1:13" x14ac:dyDescent="0.25">
      <c r="A18" t="s">
        <v>391</v>
      </c>
      <c r="B18">
        <v>1</v>
      </c>
      <c r="C18">
        <v>1</v>
      </c>
      <c r="D18">
        <v>1</v>
      </c>
      <c r="E18">
        <v>1</v>
      </c>
      <c r="I18" t="s">
        <v>391</v>
      </c>
      <c r="J18">
        <v>1</v>
      </c>
      <c r="K18">
        <v>1</v>
      </c>
      <c r="L18">
        <v>1</v>
      </c>
      <c r="M18">
        <v>1</v>
      </c>
    </row>
    <row r="19" spans="1:13" x14ac:dyDescent="0.25">
      <c r="A19" t="s">
        <v>460</v>
      </c>
      <c r="B19">
        <v>1</v>
      </c>
      <c r="C19">
        <v>1</v>
      </c>
      <c r="I19" t="s">
        <v>460</v>
      </c>
      <c r="J19">
        <v>1</v>
      </c>
      <c r="K19">
        <v>1</v>
      </c>
    </row>
    <row r="20" spans="1:13" x14ac:dyDescent="0.25">
      <c r="A20" t="s">
        <v>441</v>
      </c>
      <c r="B20">
        <v>1</v>
      </c>
      <c r="C20">
        <v>1</v>
      </c>
      <c r="I20" t="s">
        <v>441</v>
      </c>
      <c r="J20">
        <v>1</v>
      </c>
      <c r="K20">
        <v>1</v>
      </c>
    </row>
    <row r="21" spans="1:13" x14ac:dyDescent="0.25">
      <c r="A21" t="s">
        <v>477</v>
      </c>
      <c r="D21">
        <v>1</v>
      </c>
      <c r="E21">
        <v>1</v>
      </c>
      <c r="I21" t="s">
        <v>477</v>
      </c>
      <c r="L21">
        <v>1</v>
      </c>
      <c r="M21">
        <v>1</v>
      </c>
    </row>
    <row r="22" spans="1:13" x14ac:dyDescent="0.25">
      <c r="A22" t="s">
        <v>405</v>
      </c>
      <c r="B22">
        <v>1</v>
      </c>
      <c r="I22" t="s">
        <v>405</v>
      </c>
      <c r="J22">
        <v>1</v>
      </c>
    </row>
    <row r="23" spans="1:13" x14ac:dyDescent="0.25">
      <c r="A23" t="s">
        <v>43</v>
      </c>
      <c r="B23">
        <v>1</v>
      </c>
      <c r="C23">
        <v>1</v>
      </c>
      <c r="D23">
        <v>1</v>
      </c>
      <c r="E23">
        <v>1</v>
      </c>
      <c r="I23" t="s">
        <v>43</v>
      </c>
      <c r="J23">
        <v>1</v>
      </c>
      <c r="K23">
        <v>1</v>
      </c>
      <c r="L23">
        <v>1</v>
      </c>
      <c r="M23">
        <v>1</v>
      </c>
    </row>
    <row r="24" spans="1:13" x14ac:dyDescent="0.25">
      <c r="A24" t="s">
        <v>44</v>
      </c>
      <c r="D24">
        <v>1</v>
      </c>
      <c r="E24">
        <v>1</v>
      </c>
      <c r="I24" t="s">
        <v>44</v>
      </c>
      <c r="L24">
        <v>1</v>
      </c>
      <c r="M24">
        <v>1</v>
      </c>
    </row>
    <row r="25" spans="1:13" x14ac:dyDescent="0.25">
      <c r="A25" t="s">
        <v>196</v>
      </c>
      <c r="B25">
        <v>1</v>
      </c>
      <c r="C25">
        <v>1</v>
      </c>
      <c r="I25" t="s">
        <v>196</v>
      </c>
      <c r="J25">
        <v>1</v>
      </c>
      <c r="K25">
        <v>1</v>
      </c>
    </row>
    <row r="26" spans="1:13" x14ac:dyDescent="0.25">
      <c r="A26" t="s">
        <v>220</v>
      </c>
      <c r="B26">
        <v>1</v>
      </c>
      <c r="C26">
        <v>1</v>
      </c>
      <c r="I26" t="s">
        <v>220</v>
      </c>
      <c r="J26">
        <v>1</v>
      </c>
      <c r="K26">
        <v>1</v>
      </c>
    </row>
    <row r="27" spans="1:13" x14ac:dyDescent="0.25">
      <c r="A27" t="s">
        <v>221</v>
      </c>
      <c r="D27">
        <v>1</v>
      </c>
      <c r="E27">
        <v>1</v>
      </c>
      <c r="I27" t="s">
        <v>221</v>
      </c>
      <c r="L27">
        <v>1</v>
      </c>
      <c r="M27">
        <v>1</v>
      </c>
    </row>
    <row r="28" spans="1:13" x14ac:dyDescent="0.25">
      <c r="A28" t="s">
        <v>197</v>
      </c>
      <c r="D28">
        <v>1</v>
      </c>
      <c r="E28">
        <v>1</v>
      </c>
      <c r="I28" t="s">
        <v>197</v>
      </c>
      <c r="L28">
        <v>1</v>
      </c>
      <c r="M28">
        <v>1</v>
      </c>
    </row>
    <row r="29" spans="1:13" x14ac:dyDescent="0.25">
      <c r="A29" t="s">
        <v>249</v>
      </c>
      <c r="B29">
        <v>1</v>
      </c>
      <c r="C29">
        <v>1</v>
      </c>
      <c r="I29" t="s">
        <v>249</v>
      </c>
      <c r="J29">
        <v>1</v>
      </c>
      <c r="K29">
        <v>1</v>
      </c>
    </row>
    <row r="30" spans="1:13" x14ac:dyDescent="0.25">
      <c r="A30" t="s">
        <v>250</v>
      </c>
      <c r="D30">
        <v>1</v>
      </c>
      <c r="E30">
        <v>1</v>
      </c>
      <c r="I30" t="s">
        <v>250</v>
      </c>
      <c r="L30">
        <v>1</v>
      </c>
      <c r="M30">
        <v>1</v>
      </c>
    </row>
    <row r="31" spans="1:13" x14ac:dyDescent="0.25">
      <c r="A31" t="s">
        <v>274</v>
      </c>
      <c r="B31">
        <v>1</v>
      </c>
      <c r="C31">
        <v>1</v>
      </c>
      <c r="I31" t="s">
        <v>274</v>
      </c>
      <c r="J31">
        <v>1</v>
      </c>
      <c r="K31">
        <v>1</v>
      </c>
    </row>
    <row r="32" spans="1:13" x14ac:dyDescent="0.25">
      <c r="A32" t="s">
        <v>275</v>
      </c>
      <c r="D32">
        <v>1</v>
      </c>
      <c r="E32">
        <v>1</v>
      </c>
      <c r="I32" t="s">
        <v>275</v>
      </c>
      <c r="L32">
        <v>1</v>
      </c>
      <c r="M32">
        <v>1</v>
      </c>
    </row>
    <row r="33" spans="1:13" x14ac:dyDescent="0.25">
      <c r="A33" t="s">
        <v>96</v>
      </c>
      <c r="B33">
        <v>2</v>
      </c>
      <c r="C33">
        <v>2</v>
      </c>
      <c r="D33">
        <v>2</v>
      </c>
      <c r="E33">
        <v>2</v>
      </c>
      <c r="I33" t="s">
        <v>96</v>
      </c>
      <c r="J33">
        <v>2</v>
      </c>
      <c r="K33">
        <v>2</v>
      </c>
      <c r="L33">
        <v>2</v>
      </c>
      <c r="M33">
        <v>2</v>
      </c>
    </row>
    <row r="34" spans="1:13" x14ac:dyDescent="0.25">
      <c r="A34" t="s">
        <v>81</v>
      </c>
      <c r="B34">
        <v>1</v>
      </c>
      <c r="C34">
        <v>1</v>
      </c>
      <c r="D34">
        <v>2</v>
      </c>
      <c r="E34">
        <v>1</v>
      </c>
      <c r="I34" t="s">
        <v>81</v>
      </c>
      <c r="J34">
        <v>2</v>
      </c>
      <c r="K34">
        <v>1</v>
      </c>
      <c r="L34">
        <v>2</v>
      </c>
      <c r="M34">
        <v>1</v>
      </c>
    </row>
    <row r="35" spans="1:13" x14ac:dyDescent="0.25">
      <c r="A35" t="s">
        <v>308</v>
      </c>
      <c r="D35">
        <v>1</v>
      </c>
      <c r="E35">
        <v>1</v>
      </c>
      <c r="I35" t="s">
        <v>308</v>
      </c>
      <c r="L35">
        <v>1</v>
      </c>
      <c r="M35">
        <v>1</v>
      </c>
    </row>
    <row r="36" spans="1:13" x14ac:dyDescent="0.25">
      <c r="A36" t="s">
        <v>302</v>
      </c>
      <c r="B36">
        <v>1</v>
      </c>
      <c r="C36">
        <v>1</v>
      </c>
      <c r="I36" t="s">
        <v>302</v>
      </c>
      <c r="J36">
        <v>1</v>
      </c>
      <c r="K36">
        <v>1</v>
      </c>
    </row>
    <row r="37" spans="1:13" x14ac:dyDescent="0.25">
      <c r="A37" t="s">
        <v>46</v>
      </c>
      <c r="D37">
        <v>1</v>
      </c>
      <c r="I37" t="s">
        <v>46</v>
      </c>
      <c r="L37">
        <v>1</v>
      </c>
    </row>
    <row r="38" spans="1:13" x14ac:dyDescent="0.25">
      <c r="A38" t="s">
        <v>48</v>
      </c>
      <c r="D38">
        <v>1</v>
      </c>
      <c r="E38">
        <v>1</v>
      </c>
      <c r="I38" t="s">
        <v>48</v>
      </c>
      <c r="L38">
        <v>1</v>
      </c>
      <c r="M38">
        <v>1</v>
      </c>
    </row>
    <row r="39" spans="1:13" x14ac:dyDescent="0.25">
      <c r="A39" t="s">
        <v>198</v>
      </c>
      <c r="B39">
        <v>1</v>
      </c>
      <c r="I39" t="s">
        <v>198</v>
      </c>
      <c r="J39">
        <v>1</v>
      </c>
    </row>
    <row r="40" spans="1:13" x14ac:dyDescent="0.25">
      <c r="A40" t="s">
        <v>222</v>
      </c>
      <c r="B40">
        <v>1</v>
      </c>
      <c r="I40" t="s">
        <v>222</v>
      </c>
      <c r="J40">
        <v>1</v>
      </c>
    </row>
    <row r="41" spans="1:13" x14ac:dyDescent="0.25">
      <c r="A41" t="s">
        <v>199</v>
      </c>
      <c r="D41">
        <v>1</v>
      </c>
      <c r="I41" t="s">
        <v>199</v>
      </c>
      <c r="L41">
        <v>1</v>
      </c>
    </row>
    <row r="42" spans="1:13" x14ac:dyDescent="0.25">
      <c r="A42" t="s">
        <v>223</v>
      </c>
      <c r="D42">
        <v>1</v>
      </c>
      <c r="I42" t="s">
        <v>223</v>
      </c>
      <c r="L42">
        <v>1</v>
      </c>
    </row>
    <row r="43" spans="1:13" x14ac:dyDescent="0.25">
      <c r="A43" t="s">
        <v>300</v>
      </c>
      <c r="B43">
        <v>1</v>
      </c>
      <c r="I43" t="s">
        <v>300</v>
      </c>
      <c r="J43">
        <v>1</v>
      </c>
    </row>
    <row r="44" spans="1:13" x14ac:dyDescent="0.25">
      <c r="A44" t="s">
        <v>252</v>
      </c>
      <c r="D44">
        <v>1</v>
      </c>
      <c r="I44" t="s">
        <v>252</v>
      </c>
      <c r="L44">
        <v>1</v>
      </c>
    </row>
    <row r="45" spans="1:13" x14ac:dyDescent="0.25">
      <c r="A45" t="s">
        <v>251</v>
      </c>
      <c r="B45">
        <v>1</v>
      </c>
      <c r="I45" t="s">
        <v>251</v>
      </c>
      <c r="J45">
        <v>1</v>
      </c>
    </row>
    <row r="46" spans="1:13" x14ac:dyDescent="0.25">
      <c r="A46" t="s">
        <v>304</v>
      </c>
      <c r="B46">
        <v>1</v>
      </c>
      <c r="I46" t="s">
        <v>304</v>
      </c>
      <c r="J46">
        <v>1</v>
      </c>
    </row>
    <row r="47" spans="1:13" x14ac:dyDescent="0.25">
      <c r="A47" t="s">
        <v>478</v>
      </c>
      <c r="D47">
        <v>1</v>
      </c>
      <c r="E47">
        <v>1</v>
      </c>
      <c r="I47" t="s">
        <v>478</v>
      </c>
      <c r="L47">
        <v>1</v>
      </c>
      <c r="M47">
        <v>1</v>
      </c>
    </row>
    <row r="48" spans="1:13" x14ac:dyDescent="0.25">
      <c r="A48" t="s">
        <v>415</v>
      </c>
      <c r="B48">
        <v>2</v>
      </c>
      <c r="C48">
        <v>2</v>
      </c>
      <c r="D48">
        <v>2</v>
      </c>
      <c r="E48">
        <v>2</v>
      </c>
      <c r="I48" t="s">
        <v>415</v>
      </c>
      <c r="J48">
        <v>2</v>
      </c>
      <c r="K48">
        <v>2</v>
      </c>
      <c r="L48">
        <v>2</v>
      </c>
      <c r="M48">
        <v>2</v>
      </c>
    </row>
    <row r="49" spans="1:13" x14ac:dyDescent="0.25">
      <c r="A49" t="s">
        <v>381</v>
      </c>
      <c r="B49">
        <v>1</v>
      </c>
      <c r="C49">
        <v>1</v>
      </c>
      <c r="D49">
        <v>1</v>
      </c>
      <c r="E49">
        <v>1</v>
      </c>
      <c r="I49" t="s">
        <v>381</v>
      </c>
      <c r="J49">
        <v>1</v>
      </c>
      <c r="K49">
        <v>1</v>
      </c>
      <c r="L49">
        <v>1</v>
      </c>
      <c r="M49">
        <v>1</v>
      </c>
    </row>
    <row r="50" spans="1:13" x14ac:dyDescent="0.25">
      <c r="A50" t="s">
        <v>394</v>
      </c>
      <c r="D50">
        <v>1</v>
      </c>
      <c r="E50">
        <v>1</v>
      </c>
      <c r="I50" t="s">
        <v>394</v>
      </c>
      <c r="L50">
        <v>1</v>
      </c>
      <c r="M50">
        <v>1</v>
      </c>
    </row>
    <row r="51" spans="1:13" x14ac:dyDescent="0.25">
      <c r="A51" t="s">
        <v>393</v>
      </c>
      <c r="B51">
        <v>1</v>
      </c>
      <c r="C51">
        <v>1</v>
      </c>
      <c r="I51" t="s">
        <v>393</v>
      </c>
      <c r="J51">
        <v>1</v>
      </c>
      <c r="K51">
        <v>1</v>
      </c>
    </row>
    <row r="52" spans="1:13" x14ac:dyDescent="0.25">
      <c r="A52" t="s">
        <v>485</v>
      </c>
      <c r="B52">
        <v>1</v>
      </c>
      <c r="I52" t="s">
        <v>485</v>
      </c>
      <c r="J52">
        <v>1</v>
      </c>
    </row>
    <row r="53" spans="1:13" x14ac:dyDescent="0.25">
      <c r="A53" t="s">
        <v>486</v>
      </c>
      <c r="D53">
        <v>1</v>
      </c>
      <c r="I53" t="s">
        <v>486</v>
      </c>
      <c r="L53">
        <v>1</v>
      </c>
    </row>
    <row r="54" spans="1:13" x14ac:dyDescent="0.25">
      <c r="A54" t="s">
        <v>443</v>
      </c>
      <c r="B54">
        <v>1</v>
      </c>
      <c r="I54" t="s">
        <v>443</v>
      </c>
      <c r="J54">
        <v>1</v>
      </c>
    </row>
    <row r="55" spans="1:13" x14ac:dyDescent="0.25">
      <c r="A55" t="s">
        <v>494</v>
      </c>
      <c r="B55">
        <v>1</v>
      </c>
      <c r="I55" t="s">
        <v>494</v>
      </c>
      <c r="J55">
        <v>1</v>
      </c>
    </row>
    <row r="56" spans="1:13" x14ac:dyDescent="0.25">
      <c r="A56" t="s">
        <v>444</v>
      </c>
      <c r="D56">
        <v>1</v>
      </c>
      <c r="I56" t="s">
        <v>444</v>
      </c>
      <c r="L56">
        <v>1</v>
      </c>
    </row>
    <row r="57" spans="1:13" x14ac:dyDescent="0.25">
      <c r="A57" t="s">
        <v>496</v>
      </c>
      <c r="D57">
        <v>1</v>
      </c>
      <c r="I57" t="s">
        <v>496</v>
      </c>
      <c r="L57">
        <v>1</v>
      </c>
    </row>
    <row r="58" spans="1:13" x14ac:dyDescent="0.25">
      <c r="A58" t="s">
        <v>382</v>
      </c>
      <c r="B58">
        <v>1</v>
      </c>
      <c r="C58">
        <v>1</v>
      </c>
      <c r="D58">
        <v>1</v>
      </c>
      <c r="E58">
        <v>1</v>
      </c>
      <c r="I58" t="s">
        <v>382</v>
      </c>
      <c r="J58">
        <v>1</v>
      </c>
      <c r="K58">
        <v>1</v>
      </c>
      <c r="L58">
        <v>1</v>
      </c>
      <c r="M58">
        <v>1</v>
      </c>
    </row>
    <row r="59" spans="1:13" x14ac:dyDescent="0.25">
      <c r="A59" t="s">
        <v>397</v>
      </c>
      <c r="D59">
        <v>1</v>
      </c>
      <c r="E59">
        <v>1</v>
      </c>
      <c r="I59" t="s">
        <v>397</v>
      </c>
      <c r="L59">
        <v>1</v>
      </c>
      <c r="M59">
        <v>1</v>
      </c>
    </row>
    <row r="60" spans="1:13" x14ac:dyDescent="0.25">
      <c r="A60" t="s">
        <v>417</v>
      </c>
      <c r="B60">
        <v>1</v>
      </c>
      <c r="C60">
        <v>1</v>
      </c>
      <c r="D60">
        <v>1</v>
      </c>
      <c r="E60">
        <v>1</v>
      </c>
      <c r="I60" t="s">
        <v>417</v>
      </c>
      <c r="J60">
        <v>1</v>
      </c>
      <c r="K60">
        <v>1</v>
      </c>
      <c r="L60">
        <v>1</v>
      </c>
      <c r="M60">
        <v>1</v>
      </c>
    </row>
    <row r="61" spans="1:13" x14ac:dyDescent="0.25">
      <c r="A61" t="s">
        <v>396</v>
      </c>
      <c r="B61">
        <v>1</v>
      </c>
      <c r="C61">
        <v>1</v>
      </c>
      <c r="D61">
        <v>1</v>
      </c>
      <c r="E61">
        <v>1</v>
      </c>
      <c r="I61" t="s">
        <v>396</v>
      </c>
      <c r="J61">
        <v>1</v>
      </c>
      <c r="K61">
        <v>1</v>
      </c>
      <c r="L61">
        <v>1</v>
      </c>
      <c r="M61">
        <v>1</v>
      </c>
    </row>
    <row r="62" spans="1:13" x14ac:dyDescent="0.25">
      <c r="A62" t="s">
        <v>446</v>
      </c>
      <c r="B62">
        <v>1</v>
      </c>
      <c r="C62">
        <v>1</v>
      </c>
      <c r="D62">
        <v>1</v>
      </c>
      <c r="E62">
        <v>1</v>
      </c>
      <c r="I62" t="s">
        <v>446</v>
      </c>
      <c r="J62">
        <v>1</v>
      </c>
      <c r="K62">
        <v>1</v>
      </c>
      <c r="L62">
        <v>1</v>
      </c>
      <c r="M62">
        <v>1</v>
      </c>
    </row>
    <row r="63" spans="1:13" x14ac:dyDescent="0.25">
      <c r="A63" t="s">
        <v>49</v>
      </c>
      <c r="B63">
        <v>1</v>
      </c>
      <c r="C63">
        <v>1</v>
      </c>
      <c r="I63" t="s">
        <v>49</v>
      </c>
      <c r="J63">
        <v>1</v>
      </c>
      <c r="K63">
        <v>1</v>
      </c>
    </row>
    <row r="64" spans="1:13" x14ac:dyDescent="0.25">
      <c r="A64" t="s">
        <v>242</v>
      </c>
      <c r="D64">
        <v>1</v>
      </c>
      <c r="E64">
        <v>1</v>
      </c>
      <c r="I64" t="s">
        <v>242</v>
      </c>
      <c r="L64">
        <v>1</v>
      </c>
      <c r="M64">
        <v>1</v>
      </c>
    </row>
    <row r="65" spans="1:13" x14ac:dyDescent="0.25">
      <c r="A65" t="s">
        <v>200</v>
      </c>
      <c r="B65">
        <v>1</v>
      </c>
      <c r="C65">
        <v>1</v>
      </c>
      <c r="I65" t="s">
        <v>200</v>
      </c>
      <c r="J65">
        <v>1</v>
      </c>
      <c r="K65">
        <v>1</v>
      </c>
    </row>
    <row r="66" spans="1:13" x14ac:dyDescent="0.25">
      <c r="A66" t="s">
        <v>224</v>
      </c>
      <c r="B66">
        <v>1</v>
      </c>
      <c r="C66">
        <v>1</v>
      </c>
      <c r="I66" t="s">
        <v>224</v>
      </c>
      <c r="J66">
        <v>1</v>
      </c>
      <c r="K66">
        <v>1</v>
      </c>
    </row>
    <row r="67" spans="1:13" x14ac:dyDescent="0.25">
      <c r="A67" t="s">
        <v>297</v>
      </c>
      <c r="D67">
        <v>1</v>
      </c>
      <c r="E67">
        <v>1</v>
      </c>
      <c r="I67" t="s">
        <v>297</v>
      </c>
      <c r="L67">
        <v>1</v>
      </c>
      <c r="M67">
        <v>1</v>
      </c>
    </row>
    <row r="68" spans="1:13" x14ac:dyDescent="0.25">
      <c r="A68" t="s">
        <v>278</v>
      </c>
      <c r="B68">
        <v>1</v>
      </c>
      <c r="C68">
        <v>1</v>
      </c>
      <c r="I68" t="s">
        <v>278</v>
      </c>
      <c r="J68">
        <v>1</v>
      </c>
      <c r="K68">
        <v>1</v>
      </c>
    </row>
    <row r="69" spans="1:13" x14ac:dyDescent="0.25">
      <c r="A69" t="s">
        <v>301</v>
      </c>
      <c r="B69">
        <v>1</v>
      </c>
      <c r="D69">
        <v>1</v>
      </c>
      <c r="I69" t="s">
        <v>301</v>
      </c>
      <c r="J69">
        <v>1</v>
      </c>
      <c r="L69">
        <v>1</v>
      </c>
    </row>
    <row r="70" spans="1:13" x14ac:dyDescent="0.25">
      <c r="A70" t="s">
        <v>51</v>
      </c>
      <c r="B70">
        <v>1</v>
      </c>
      <c r="C70">
        <v>1</v>
      </c>
      <c r="I70" t="s">
        <v>51</v>
      </c>
      <c r="J70">
        <v>1</v>
      </c>
      <c r="K70">
        <v>1</v>
      </c>
    </row>
    <row r="71" spans="1:13" x14ac:dyDescent="0.25">
      <c r="A71" t="s">
        <v>226</v>
      </c>
      <c r="D71">
        <v>1</v>
      </c>
      <c r="E71">
        <v>1</v>
      </c>
      <c r="I71" t="s">
        <v>226</v>
      </c>
      <c r="L71">
        <v>1</v>
      </c>
      <c r="M71">
        <v>1</v>
      </c>
    </row>
    <row r="72" spans="1:13" x14ac:dyDescent="0.25">
      <c r="A72" t="s">
        <v>201</v>
      </c>
      <c r="B72">
        <v>1</v>
      </c>
      <c r="C72">
        <v>1</v>
      </c>
      <c r="I72" t="s">
        <v>201</v>
      </c>
      <c r="J72">
        <v>1</v>
      </c>
      <c r="K72">
        <v>1</v>
      </c>
    </row>
    <row r="73" spans="1:13" x14ac:dyDescent="0.25">
      <c r="A73" t="s">
        <v>225</v>
      </c>
      <c r="B73">
        <v>1</v>
      </c>
      <c r="C73">
        <v>1</v>
      </c>
      <c r="I73" t="s">
        <v>225</v>
      </c>
      <c r="J73">
        <v>1</v>
      </c>
      <c r="K73">
        <v>1</v>
      </c>
    </row>
    <row r="74" spans="1:13" x14ac:dyDescent="0.25">
      <c r="A74" t="s">
        <v>202</v>
      </c>
      <c r="D74">
        <v>1</v>
      </c>
      <c r="E74">
        <v>1</v>
      </c>
      <c r="I74" t="s">
        <v>202</v>
      </c>
      <c r="J74">
        <v>1</v>
      </c>
      <c r="K74">
        <v>1</v>
      </c>
      <c r="L74">
        <v>1</v>
      </c>
      <c r="M74">
        <v>1</v>
      </c>
    </row>
    <row r="75" spans="1:13" x14ac:dyDescent="0.25">
      <c r="A75" t="s">
        <v>254</v>
      </c>
      <c r="B75">
        <v>1</v>
      </c>
      <c r="C75">
        <v>1</v>
      </c>
      <c r="I75" t="s">
        <v>254</v>
      </c>
      <c r="J75">
        <v>1</v>
      </c>
      <c r="K75">
        <v>1</v>
      </c>
    </row>
    <row r="76" spans="1:13" x14ac:dyDescent="0.25">
      <c r="A76" t="s">
        <v>255</v>
      </c>
      <c r="D76">
        <v>1</v>
      </c>
      <c r="E76">
        <v>1</v>
      </c>
      <c r="I76" t="s">
        <v>255</v>
      </c>
      <c r="L76">
        <v>1</v>
      </c>
      <c r="M76">
        <v>1</v>
      </c>
    </row>
    <row r="77" spans="1:13" x14ac:dyDescent="0.25">
      <c r="A77" t="s">
        <v>280</v>
      </c>
      <c r="D77">
        <v>1</v>
      </c>
      <c r="E77">
        <v>1</v>
      </c>
      <c r="I77" t="s">
        <v>280</v>
      </c>
      <c r="L77">
        <v>1</v>
      </c>
      <c r="M77">
        <v>1</v>
      </c>
    </row>
    <row r="78" spans="1:13" x14ac:dyDescent="0.25">
      <c r="A78" t="s">
        <v>279</v>
      </c>
      <c r="B78">
        <v>1</v>
      </c>
      <c r="C78">
        <v>1</v>
      </c>
      <c r="I78" t="s">
        <v>279</v>
      </c>
      <c r="J78">
        <v>1</v>
      </c>
      <c r="K78">
        <v>1</v>
      </c>
    </row>
    <row r="79" spans="1:13" x14ac:dyDescent="0.25">
      <c r="A79" t="s">
        <v>384</v>
      </c>
      <c r="B79">
        <v>1</v>
      </c>
      <c r="C79">
        <v>1</v>
      </c>
      <c r="D79">
        <v>1</v>
      </c>
      <c r="E79">
        <v>1</v>
      </c>
      <c r="I79" t="s">
        <v>384</v>
      </c>
      <c r="J79">
        <v>1</v>
      </c>
      <c r="K79">
        <v>1</v>
      </c>
      <c r="L79">
        <v>1</v>
      </c>
      <c r="M79">
        <v>1</v>
      </c>
    </row>
    <row r="80" spans="1:13" x14ac:dyDescent="0.25">
      <c r="A80" t="s">
        <v>421</v>
      </c>
      <c r="D80">
        <v>1</v>
      </c>
      <c r="I80" t="s">
        <v>421</v>
      </c>
      <c r="L80">
        <v>1</v>
      </c>
    </row>
    <row r="81" spans="1:13" x14ac:dyDescent="0.25">
      <c r="A81" t="s">
        <v>203</v>
      </c>
      <c r="B81">
        <v>1</v>
      </c>
      <c r="D81">
        <v>1</v>
      </c>
      <c r="E81">
        <v>1</v>
      </c>
    </row>
    <row r="82" spans="1:13" x14ac:dyDescent="0.25">
      <c r="A82" t="s">
        <v>243</v>
      </c>
      <c r="B82">
        <v>1</v>
      </c>
      <c r="D82">
        <v>1</v>
      </c>
    </row>
    <row r="83" spans="1:13" x14ac:dyDescent="0.25">
      <c r="A83" t="s">
        <v>228</v>
      </c>
      <c r="D83">
        <v>1</v>
      </c>
      <c r="E83">
        <v>1</v>
      </c>
    </row>
    <row r="84" spans="1:13" x14ac:dyDescent="0.25">
      <c r="A84" t="s">
        <v>227</v>
      </c>
      <c r="B84">
        <v>1</v>
      </c>
      <c r="D84">
        <v>1</v>
      </c>
    </row>
    <row r="85" spans="1:13" x14ac:dyDescent="0.25">
      <c r="A85" t="s">
        <v>257</v>
      </c>
      <c r="D85">
        <v>1</v>
      </c>
    </row>
    <row r="86" spans="1:13" x14ac:dyDescent="0.25">
      <c r="A86" t="s">
        <v>52</v>
      </c>
      <c r="D86">
        <v>1</v>
      </c>
      <c r="E86">
        <v>1</v>
      </c>
      <c r="I86" t="s">
        <v>52</v>
      </c>
      <c r="L86">
        <v>1</v>
      </c>
      <c r="M86">
        <v>1</v>
      </c>
    </row>
    <row r="87" spans="1:13" x14ac:dyDescent="0.25">
      <c r="A87" t="s">
        <v>53</v>
      </c>
      <c r="B87">
        <v>1</v>
      </c>
      <c r="C87">
        <v>1</v>
      </c>
    </row>
    <row r="88" spans="1:13" x14ac:dyDescent="0.25">
      <c r="A88" t="s">
        <v>229</v>
      </c>
      <c r="B88">
        <v>1</v>
      </c>
      <c r="C88">
        <v>1</v>
      </c>
      <c r="I88" t="s">
        <v>229</v>
      </c>
      <c r="J88">
        <v>1</v>
      </c>
      <c r="K88">
        <v>1</v>
      </c>
    </row>
    <row r="89" spans="1:13" x14ac:dyDescent="0.25">
      <c r="A89" t="s">
        <v>204</v>
      </c>
      <c r="B89">
        <v>1</v>
      </c>
      <c r="C89">
        <v>1</v>
      </c>
      <c r="I89" t="s">
        <v>204</v>
      </c>
      <c r="J89">
        <v>1</v>
      </c>
      <c r="K89">
        <v>1</v>
      </c>
    </row>
    <row r="90" spans="1:13" x14ac:dyDescent="0.25">
      <c r="A90" t="s">
        <v>230</v>
      </c>
      <c r="D90">
        <v>1</v>
      </c>
      <c r="E90">
        <v>1</v>
      </c>
      <c r="I90" t="s">
        <v>230</v>
      </c>
      <c r="J90">
        <v>1</v>
      </c>
      <c r="K90">
        <v>1</v>
      </c>
      <c r="L90">
        <v>1</v>
      </c>
    </row>
    <row r="91" spans="1:13" x14ac:dyDescent="0.25">
      <c r="A91" t="s">
        <v>282</v>
      </c>
      <c r="B91">
        <v>1</v>
      </c>
      <c r="C91">
        <v>1</v>
      </c>
      <c r="I91" t="s">
        <v>282</v>
      </c>
      <c r="J91">
        <v>1</v>
      </c>
      <c r="K91">
        <v>1</v>
      </c>
      <c r="L91">
        <v>1</v>
      </c>
    </row>
    <row r="92" spans="1:13" x14ac:dyDescent="0.25">
      <c r="A92" t="s">
        <v>258</v>
      </c>
      <c r="B92">
        <v>1</v>
      </c>
      <c r="C92">
        <v>1</v>
      </c>
      <c r="I92" t="s">
        <v>258</v>
      </c>
      <c r="J92">
        <v>1</v>
      </c>
      <c r="K92">
        <v>1</v>
      </c>
      <c r="L92">
        <v>1</v>
      </c>
    </row>
    <row r="93" spans="1:13" x14ac:dyDescent="0.25">
      <c r="A93" t="s">
        <v>475</v>
      </c>
      <c r="B93">
        <v>1</v>
      </c>
      <c r="C93">
        <v>1</v>
      </c>
      <c r="D93">
        <v>1</v>
      </c>
      <c r="E93">
        <v>1</v>
      </c>
      <c r="I93" t="s">
        <v>475</v>
      </c>
      <c r="J93">
        <v>1</v>
      </c>
      <c r="K93">
        <v>1</v>
      </c>
      <c r="L93">
        <v>1</v>
      </c>
      <c r="M93">
        <v>1</v>
      </c>
    </row>
    <row r="94" spans="1:13" x14ac:dyDescent="0.25">
      <c r="A94" t="s">
        <v>463</v>
      </c>
      <c r="B94">
        <v>1</v>
      </c>
      <c r="C94">
        <v>1</v>
      </c>
      <c r="D94">
        <v>1</v>
      </c>
      <c r="E94">
        <v>1</v>
      </c>
      <c r="I94" t="s">
        <v>463</v>
      </c>
      <c r="J94">
        <v>1</v>
      </c>
      <c r="K94">
        <v>1</v>
      </c>
      <c r="L94">
        <v>1</v>
      </c>
      <c r="M94">
        <v>1</v>
      </c>
    </row>
    <row r="95" spans="1:13" x14ac:dyDescent="0.25">
      <c r="A95" t="s">
        <v>398</v>
      </c>
      <c r="B95">
        <v>1</v>
      </c>
      <c r="C95">
        <v>1</v>
      </c>
      <c r="D95">
        <v>1</v>
      </c>
      <c r="I95" t="s">
        <v>398</v>
      </c>
      <c r="J95">
        <v>1</v>
      </c>
      <c r="K95">
        <v>1</v>
      </c>
      <c r="L95">
        <v>1</v>
      </c>
    </row>
    <row r="96" spans="1:13" x14ac:dyDescent="0.25">
      <c r="A96" t="s">
        <v>54</v>
      </c>
      <c r="B96">
        <v>1</v>
      </c>
      <c r="C96">
        <v>1</v>
      </c>
      <c r="D96">
        <v>1</v>
      </c>
      <c r="E96">
        <v>1</v>
      </c>
      <c r="I96" t="s">
        <v>54</v>
      </c>
      <c r="J96">
        <v>1</v>
      </c>
      <c r="K96">
        <v>1</v>
      </c>
      <c r="L96">
        <v>1</v>
      </c>
      <c r="M96">
        <v>1</v>
      </c>
    </row>
    <row r="97" spans="1:13" x14ac:dyDescent="0.25">
      <c r="A97" t="s">
        <v>55</v>
      </c>
      <c r="D97">
        <v>1</v>
      </c>
      <c r="E97">
        <v>1</v>
      </c>
      <c r="I97" t="s">
        <v>55</v>
      </c>
      <c r="L97">
        <v>1</v>
      </c>
      <c r="M97">
        <v>1</v>
      </c>
    </row>
    <row r="98" spans="1:13" x14ac:dyDescent="0.25">
      <c r="A98" t="s">
        <v>206</v>
      </c>
      <c r="B98">
        <v>1</v>
      </c>
      <c r="C98">
        <v>1</v>
      </c>
      <c r="I98" t="s">
        <v>206</v>
      </c>
      <c r="J98">
        <v>1</v>
      </c>
      <c r="K98">
        <v>1</v>
      </c>
    </row>
    <row r="99" spans="1:13" x14ac:dyDescent="0.25">
      <c r="A99" t="s">
        <v>56</v>
      </c>
      <c r="B99">
        <v>1</v>
      </c>
      <c r="C99">
        <v>1</v>
      </c>
      <c r="I99" t="s">
        <v>56</v>
      </c>
      <c r="J99">
        <v>1</v>
      </c>
      <c r="K99">
        <v>1</v>
      </c>
    </row>
    <row r="100" spans="1:13" x14ac:dyDescent="0.25">
      <c r="A100" t="s">
        <v>57</v>
      </c>
      <c r="D100">
        <v>1</v>
      </c>
      <c r="E100">
        <v>1</v>
      </c>
      <c r="I100" t="s">
        <v>57</v>
      </c>
      <c r="L100">
        <v>1</v>
      </c>
      <c r="M100">
        <v>1</v>
      </c>
    </row>
    <row r="101" spans="1:13" x14ac:dyDescent="0.25">
      <c r="A101" t="s">
        <v>231</v>
      </c>
      <c r="D101">
        <v>1</v>
      </c>
      <c r="E101">
        <v>1</v>
      </c>
      <c r="I101" t="s">
        <v>231</v>
      </c>
      <c r="L101">
        <v>1</v>
      </c>
      <c r="M101">
        <v>1</v>
      </c>
    </row>
    <row r="102" spans="1:13" x14ac:dyDescent="0.25">
      <c r="A102" t="s">
        <v>260</v>
      </c>
      <c r="B102">
        <v>1</v>
      </c>
      <c r="C102">
        <v>1</v>
      </c>
      <c r="I102" t="s">
        <v>260</v>
      </c>
      <c r="J102">
        <v>1</v>
      </c>
      <c r="K102">
        <v>1</v>
      </c>
    </row>
    <row r="103" spans="1:13" x14ac:dyDescent="0.25">
      <c r="A103" t="s">
        <v>261</v>
      </c>
      <c r="D103">
        <v>1</v>
      </c>
      <c r="E103">
        <v>1</v>
      </c>
      <c r="I103" t="s">
        <v>261</v>
      </c>
      <c r="L103">
        <v>1</v>
      </c>
      <c r="M103">
        <v>1</v>
      </c>
    </row>
    <row r="104" spans="1:13" x14ac:dyDescent="0.25">
      <c r="A104" t="s">
        <v>284</v>
      </c>
      <c r="B104">
        <v>1</v>
      </c>
      <c r="C104">
        <v>1</v>
      </c>
      <c r="I104" t="s">
        <v>284</v>
      </c>
      <c r="J104">
        <v>1</v>
      </c>
      <c r="K104">
        <v>1</v>
      </c>
    </row>
    <row r="105" spans="1:13" x14ac:dyDescent="0.25">
      <c r="A105" t="s">
        <v>285</v>
      </c>
      <c r="D105">
        <v>1</v>
      </c>
      <c r="E105">
        <v>1</v>
      </c>
      <c r="I105" t="s">
        <v>285</v>
      </c>
      <c r="L105">
        <v>1</v>
      </c>
      <c r="M105">
        <v>1</v>
      </c>
    </row>
    <row r="106" spans="1:13" x14ac:dyDescent="0.25">
      <c r="A106" t="s">
        <v>58</v>
      </c>
      <c r="B106">
        <v>1</v>
      </c>
      <c r="D106">
        <v>1</v>
      </c>
      <c r="I106" t="s">
        <v>58</v>
      </c>
      <c r="J106">
        <v>1</v>
      </c>
      <c r="L106">
        <v>1</v>
      </c>
    </row>
    <row r="107" spans="1:13" x14ac:dyDescent="0.25">
      <c r="A107" t="s">
        <v>59</v>
      </c>
      <c r="B107">
        <v>1</v>
      </c>
      <c r="D107">
        <v>1</v>
      </c>
      <c r="I107" t="s">
        <v>59</v>
      </c>
      <c r="J107">
        <v>1</v>
      </c>
      <c r="L107">
        <v>1</v>
      </c>
    </row>
    <row r="108" spans="1:13" x14ac:dyDescent="0.25">
      <c r="A108" t="s">
        <v>232</v>
      </c>
      <c r="B108">
        <v>1</v>
      </c>
      <c r="I108" t="s">
        <v>232</v>
      </c>
      <c r="J108">
        <v>1</v>
      </c>
    </row>
    <row r="109" spans="1:13" x14ac:dyDescent="0.25">
      <c r="A109" t="s">
        <v>233</v>
      </c>
      <c r="B109">
        <v>1</v>
      </c>
      <c r="D109">
        <v>1</v>
      </c>
      <c r="I109" t="s">
        <v>233</v>
      </c>
      <c r="J109">
        <v>1</v>
      </c>
      <c r="L109">
        <v>1</v>
      </c>
    </row>
    <row r="110" spans="1:13" x14ac:dyDescent="0.25">
      <c r="A110" t="s">
        <v>208</v>
      </c>
      <c r="D110">
        <v>1</v>
      </c>
      <c r="I110" t="s">
        <v>208</v>
      </c>
      <c r="L110">
        <v>1</v>
      </c>
    </row>
    <row r="111" spans="1:13" x14ac:dyDescent="0.25">
      <c r="A111" t="s">
        <v>207</v>
      </c>
      <c r="B111">
        <v>1</v>
      </c>
      <c r="I111" t="s">
        <v>207</v>
      </c>
      <c r="J111">
        <v>1</v>
      </c>
    </row>
    <row r="112" spans="1:13" x14ac:dyDescent="0.25">
      <c r="A112" t="s">
        <v>305</v>
      </c>
      <c r="B112">
        <v>1</v>
      </c>
      <c r="D112">
        <v>1</v>
      </c>
      <c r="I112" t="s">
        <v>305</v>
      </c>
      <c r="J112">
        <v>1</v>
      </c>
      <c r="L112">
        <v>1</v>
      </c>
    </row>
    <row r="113" spans="1:13" x14ac:dyDescent="0.25">
      <c r="A113" t="s">
        <v>307</v>
      </c>
      <c r="D113">
        <v>1</v>
      </c>
      <c r="I113" t="s">
        <v>307</v>
      </c>
      <c r="L113">
        <v>1</v>
      </c>
    </row>
    <row r="114" spans="1:13" x14ac:dyDescent="0.25">
      <c r="A114" t="s">
        <v>309</v>
      </c>
      <c r="B114">
        <v>1</v>
      </c>
      <c r="I114" t="s">
        <v>309</v>
      </c>
      <c r="J114">
        <v>1</v>
      </c>
    </row>
    <row r="115" spans="1:13" x14ac:dyDescent="0.25">
      <c r="A115" t="s">
        <v>262</v>
      </c>
      <c r="B115">
        <v>1</v>
      </c>
      <c r="D115">
        <v>1</v>
      </c>
      <c r="I115" t="s">
        <v>262</v>
      </c>
      <c r="J115">
        <v>1</v>
      </c>
      <c r="L115">
        <v>1</v>
      </c>
    </row>
    <row r="116" spans="1:13" x14ac:dyDescent="0.25">
      <c r="A116" t="s">
        <v>263</v>
      </c>
      <c r="D116">
        <v>1</v>
      </c>
      <c r="I116" t="s">
        <v>263</v>
      </c>
      <c r="L116">
        <v>1</v>
      </c>
    </row>
    <row r="117" spans="1:13" x14ac:dyDescent="0.25">
      <c r="A117" t="s">
        <v>311</v>
      </c>
      <c r="E117">
        <v>1</v>
      </c>
    </row>
    <row r="118" spans="1:13" x14ac:dyDescent="0.25">
      <c r="A118" t="s">
        <v>60</v>
      </c>
      <c r="B118">
        <v>1</v>
      </c>
      <c r="C118">
        <v>1</v>
      </c>
      <c r="I118" t="s">
        <v>60</v>
      </c>
      <c r="J118">
        <v>1</v>
      </c>
      <c r="K118">
        <v>1</v>
      </c>
    </row>
    <row r="119" spans="1:13" x14ac:dyDescent="0.25">
      <c r="A119" t="s">
        <v>61</v>
      </c>
      <c r="D119">
        <v>1</v>
      </c>
      <c r="E119">
        <v>1</v>
      </c>
      <c r="I119" t="s">
        <v>61</v>
      </c>
      <c r="L119">
        <v>1</v>
      </c>
      <c r="M119">
        <v>1</v>
      </c>
    </row>
    <row r="120" spans="1:13" x14ac:dyDescent="0.25">
      <c r="A120" t="s">
        <v>209</v>
      </c>
      <c r="B120">
        <v>1</v>
      </c>
      <c r="C120">
        <v>1</v>
      </c>
      <c r="I120" t="s">
        <v>209</v>
      </c>
      <c r="J120">
        <v>1</v>
      </c>
      <c r="K120">
        <v>1</v>
      </c>
    </row>
    <row r="121" spans="1:13" x14ac:dyDescent="0.25">
      <c r="A121" t="s">
        <v>244</v>
      </c>
      <c r="D121">
        <v>1</v>
      </c>
      <c r="E121">
        <v>1</v>
      </c>
      <c r="I121" t="s">
        <v>244</v>
      </c>
      <c r="L121">
        <v>1</v>
      </c>
      <c r="M121">
        <v>1</v>
      </c>
    </row>
    <row r="122" spans="1:13" x14ac:dyDescent="0.25">
      <c r="A122" t="s">
        <v>234</v>
      </c>
      <c r="B122">
        <v>1</v>
      </c>
      <c r="C122">
        <v>1</v>
      </c>
      <c r="I122" t="s">
        <v>234</v>
      </c>
      <c r="J122">
        <v>1</v>
      </c>
      <c r="K122">
        <v>1</v>
      </c>
    </row>
    <row r="123" spans="1:13" x14ac:dyDescent="0.25">
      <c r="A123" t="s">
        <v>298</v>
      </c>
      <c r="D123">
        <v>1</v>
      </c>
      <c r="E123">
        <v>1</v>
      </c>
      <c r="I123" t="s">
        <v>298</v>
      </c>
      <c r="L123">
        <v>1</v>
      </c>
      <c r="M123">
        <v>1</v>
      </c>
    </row>
    <row r="124" spans="1:13" x14ac:dyDescent="0.25">
      <c r="A124" t="s">
        <v>62</v>
      </c>
      <c r="B124">
        <v>1</v>
      </c>
      <c r="C124">
        <v>1</v>
      </c>
      <c r="I124" t="s">
        <v>62</v>
      </c>
      <c r="J124">
        <v>1</v>
      </c>
      <c r="K124">
        <v>1</v>
      </c>
    </row>
    <row r="125" spans="1:13" x14ac:dyDescent="0.25">
      <c r="A125" t="s">
        <v>210</v>
      </c>
      <c r="B125">
        <v>1</v>
      </c>
      <c r="C125">
        <v>1</v>
      </c>
      <c r="I125" t="s">
        <v>210</v>
      </c>
      <c r="J125">
        <v>1</v>
      </c>
      <c r="K125">
        <v>1</v>
      </c>
    </row>
    <row r="126" spans="1:13" x14ac:dyDescent="0.25">
      <c r="A126" t="s">
        <v>211</v>
      </c>
      <c r="D126">
        <v>1</v>
      </c>
      <c r="E126">
        <v>1</v>
      </c>
      <c r="I126" t="s">
        <v>211</v>
      </c>
      <c r="L126">
        <v>1</v>
      </c>
      <c r="M126">
        <v>1</v>
      </c>
    </row>
    <row r="127" spans="1:13" x14ac:dyDescent="0.25">
      <c r="A127" t="s">
        <v>256</v>
      </c>
      <c r="B127">
        <v>1</v>
      </c>
      <c r="C127">
        <v>1</v>
      </c>
      <c r="I127" t="s">
        <v>256</v>
      </c>
      <c r="J127">
        <v>1</v>
      </c>
      <c r="K127">
        <v>1</v>
      </c>
    </row>
    <row r="128" spans="1:13" x14ac:dyDescent="0.25">
      <c r="A128" t="s">
        <v>265</v>
      </c>
      <c r="D128">
        <v>1</v>
      </c>
      <c r="E128">
        <v>1</v>
      </c>
      <c r="I128" t="s">
        <v>265</v>
      </c>
      <c r="L128">
        <v>1</v>
      </c>
      <c r="M128">
        <v>1</v>
      </c>
    </row>
    <row r="129" spans="1:13" x14ac:dyDescent="0.25">
      <c r="A129" t="s">
        <v>386</v>
      </c>
      <c r="B129">
        <v>1</v>
      </c>
      <c r="C129">
        <v>1</v>
      </c>
      <c r="D129">
        <v>1</v>
      </c>
      <c r="E129">
        <v>1</v>
      </c>
      <c r="I129" t="s">
        <v>386</v>
      </c>
      <c r="J129">
        <v>1</v>
      </c>
      <c r="K129">
        <v>1</v>
      </c>
      <c r="L129">
        <v>1</v>
      </c>
      <c r="M129">
        <v>1</v>
      </c>
    </row>
    <row r="130" spans="1:13" x14ac:dyDescent="0.25">
      <c r="A130" t="s">
        <v>401</v>
      </c>
      <c r="B130">
        <v>1</v>
      </c>
      <c r="C130">
        <v>1</v>
      </c>
      <c r="D130">
        <v>1</v>
      </c>
      <c r="I130" t="s">
        <v>401</v>
      </c>
      <c r="J130">
        <v>1</v>
      </c>
      <c r="K130">
        <v>1</v>
      </c>
      <c r="L130">
        <v>1</v>
      </c>
    </row>
    <row r="131" spans="1:13" x14ac:dyDescent="0.25">
      <c r="A131" t="s">
        <v>419</v>
      </c>
      <c r="B131">
        <v>1</v>
      </c>
      <c r="C131">
        <v>1</v>
      </c>
      <c r="D131">
        <v>1</v>
      </c>
      <c r="E131">
        <v>1</v>
      </c>
      <c r="I131" t="s">
        <v>419</v>
      </c>
      <c r="J131">
        <v>1</v>
      </c>
      <c r="K131">
        <v>1</v>
      </c>
    </row>
    <row r="132" spans="1:13" x14ac:dyDescent="0.25">
      <c r="A132" t="s">
        <v>383</v>
      </c>
      <c r="B132">
        <v>1</v>
      </c>
      <c r="C132">
        <v>1</v>
      </c>
      <c r="D132">
        <v>1</v>
      </c>
      <c r="E132">
        <v>1</v>
      </c>
      <c r="I132" t="s">
        <v>383</v>
      </c>
      <c r="J132">
        <v>1</v>
      </c>
      <c r="K132">
        <v>1</v>
      </c>
      <c r="L132">
        <v>1</v>
      </c>
    </row>
    <row r="133" spans="1:13" x14ac:dyDescent="0.25">
      <c r="A133" t="s">
        <v>437</v>
      </c>
      <c r="B133">
        <v>1</v>
      </c>
      <c r="C133">
        <v>1</v>
      </c>
      <c r="D133">
        <v>1</v>
      </c>
      <c r="E133">
        <v>1</v>
      </c>
      <c r="I133" t="s">
        <v>437</v>
      </c>
      <c r="J133">
        <v>1</v>
      </c>
      <c r="L133">
        <v>1</v>
      </c>
      <c r="M133">
        <v>1</v>
      </c>
    </row>
    <row r="134" spans="1:13" x14ac:dyDescent="0.25">
      <c r="A134" t="s">
        <v>385</v>
      </c>
      <c r="B134">
        <v>1</v>
      </c>
      <c r="C134">
        <v>1</v>
      </c>
      <c r="D134">
        <v>1</v>
      </c>
      <c r="E134">
        <v>1</v>
      </c>
      <c r="I134" t="s">
        <v>385</v>
      </c>
      <c r="J134">
        <v>1</v>
      </c>
      <c r="K134">
        <v>1</v>
      </c>
      <c r="L134">
        <v>1</v>
      </c>
      <c r="M134">
        <v>1</v>
      </c>
    </row>
    <row r="135" spans="1:13" x14ac:dyDescent="0.25">
      <c r="A135" t="s">
        <v>422</v>
      </c>
      <c r="B135">
        <v>1</v>
      </c>
      <c r="I135" t="s">
        <v>422</v>
      </c>
      <c r="J135">
        <v>1</v>
      </c>
      <c r="L135">
        <v>1</v>
      </c>
    </row>
    <row r="136" spans="1:13" x14ac:dyDescent="0.25">
      <c r="A136" t="s">
        <v>399</v>
      </c>
      <c r="B136">
        <v>1</v>
      </c>
      <c r="I136" t="s">
        <v>399</v>
      </c>
      <c r="J136">
        <v>1</v>
      </c>
    </row>
    <row r="137" spans="1:13" x14ac:dyDescent="0.25">
      <c r="A137" t="s">
        <v>400</v>
      </c>
      <c r="D137">
        <v>1</v>
      </c>
      <c r="E137">
        <v>1</v>
      </c>
      <c r="I137" t="s">
        <v>400</v>
      </c>
      <c r="L137">
        <v>1</v>
      </c>
    </row>
    <row r="138" spans="1:13" x14ac:dyDescent="0.25">
      <c r="A138" t="s">
        <v>402</v>
      </c>
      <c r="B138">
        <v>1</v>
      </c>
      <c r="C138">
        <v>1</v>
      </c>
      <c r="D138">
        <v>1</v>
      </c>
      <c r="E138">
        <v>1</v>
      </c>
      <c r="I138" t="s">
        <v>402</v>
      </c>
      <c r="J138">
        <v>1</v>
      </c>
      <c r="K138">
        <v>1</v>
      </c>
      <c r="L138">
        <v>1</v>
      </c>
      <c r="M138">
        <v>1</v>
      </c>
    </row>
    <row r="139" spans="1:13" x14ac:dyDescent="0.25">
      <c r="A139" t="s">
        <v>440</v>
      </c>
      <c r="B139">
        <v>1</v>
      </c>
      <c r="C139">
        <v>1</v>
      </c>
      <c r="D139">
        <v>1</v>
      </c>
      <c r="E139">
        <v>1</v>
      </c>
      <c r="I139" t="s">
        <v>440</v>
      </c>
      <c r="J139">
        <v>1</v>
      </c>
      <c r="K139">
        <v>1</v>
      </c>
      <c r="L139">
        <v>1</v>
      </c>
      <c r="M139">
        <v>1</v>
      </c>
    </row>
    <row r="140" spans="1:13" x14ac:dyDescent="0.25">
      <c r="A140" t="s">
        <v>425</v>
      </c>
      <c r="B140">
        <v>2</v>
      </c>
      <c r="C140">
        <v>1</v>
      </c>
      <c r="D140">
        <v>1</v>
      </c>
      <c r="E140">
        <v>1</v>
      </c>
      <c r="I140" t="s">
        <v>425</v>
      </c>
      <c r="J140">
        <v>1</v>
      </c>
      <c r="L140">
        <v>1</v>
      </c>
      <c r="M140">
        <v>1</v>
      </c>
    </row>
    <row r="141" spans="1:13" x14ac:dyDescent="0.25">
      <c r="A141" t="s">
        <v>451</v>
      </c>
      <c r="B141">
        <v>1</v>
      </c>
      <c r="C141">
        <v>1</v>
      </c>
      <c r="D141">
        <v>1</v>
      </c>
      <c r="E141">
        <v>1</v>
      </c>
      <c r="I141" t="s">
        <v>451</v>
      </c>
      <c r="J141">
        <v>1</v>
      </c>
      <c r="K141">
        <v>1</v>
      </c>
      <c r="L141">
        <v>1</v>
      </c>
      <c r="M141">
        <v>1</v>
      </c>
    </row>
    <row r="142" spans="1:13" x14ac:dyDescent="0.25">
      <c r="A142" t="s">
        <v>465</v>
      </c>
      <c r="B142">
        <v>1</v>
      </c>
      <c r="C142">
        <v>1</v>
      </c>
      <c r="I142" t="s">
        <v>465</v>
      </c>
      <c r="J142">
        <v>1</v>
      </c>
      <c r="K142">
        <v>1</v>
      </c>
      <c r="L142">
        <v>1</v>
      </c>
    </row>
    <row r="143" spans="1:13" x14ac:dyDescent="0.25">
      <c r="A143" t="s">
        <v>464</v>
      </c>
      <c r="B143">
        <v>1</v>
      </c>
      <c r="C143">
        <v>1</v>
      </c>
      <c r="D143">
        <v>1</v>
      </c>
      <c r="I143" t="s">
        <v>464</v>
      </c>
      <c r="J143">
        <v>1</v>
      </c>
      <c r="K143">
        <v>1</v>
      </c>
    </row>
    <row r="144" spans="1:13" x14ac:dyDescent="0.25">
      <c r="A144" t="s">
        <v>447</v>
      </c>
      <c r="B144">
        <v>1</v>
      </c>
      <c r="C144">
        <v>1</v>
      </c>
      <c r="D144">
        <v>1</v>
      </c>
      <c r="I144" t="s">
        <v>447</v>
      </c>
      <c r="J144">
        <v>1</v>
      </c>
    </row>
    <row r="145" spans="1:13" x14ac:dyDescent="0.25">
      <c r="A145" t="s">
        <v>448</v>
      </c>
      <c r="D145">
        <v>1</v>
      </c>
      <c r="I145" t="s">
        <v>448</v>
      </c>
      <c r="L145">
        <v>1</v>
      </c>
    </row>
    <row r="146" spans="1:13" x14ac:dyDescent="0.25">
      <c r="A146" t="s">
        <v>449</v>
      </c>
      <c r="D146">
        <v>1</v>
      </c>
      <c r="I146" t="s">
        <v>449</v>
      </c>
      <c r="L146">
        <v>1</v>
      </c>
    </row>
    <row r="147" spans="1:13" x14ac:dyDescent="0.25">
      <c r="A147" t="s">
        <v>450</v>
      </c>
      <c r="D147">
        <v>1</v>
      </c>
      <c r="I147" t="s">
        <v>450</v>
      </c>
      <c r="J147">
        <v>1</v>
      </c>
      <c r="L147">
        <v>1</v>
      </c>
    </row>
    <row r="148" spans="1:13" x14ac:dyDescent="0.25">
      <c r="A148" t="s">
        <v>423</v>
      </c>
      <c r="D148">
        <v>1</v>
      </c>
      <c r="I148" t="s">
        <v>423</v>
      </c>
      <c r="J148">
        <v>1</v>
      </c>
    </row>
    <row r="149" spans="1:13" x14ac:dyDescent="0.25">
      <c r="A149" t="s">
        <v>466</v>
      </c>
      <c r="D149">
        <v>1</v>
      </c>
      <c r="I149" t="s">
        <v>466</v>
      </c>
      <c r="L149">
        <v>1</v>
      </c>
    </row>
    <row r="150" spans="1:13" x14ac:dyDescent="0.25">
      <c r="A150" t="s">
        <v>480</v>
      </c>
      <c r="B150">
        <v>1</v>
      </c>
      <c r="C150">
        <v>1</v>
      </c>
      <c r="D150">
        <v>1</v>
      </c>
      <c r="I150" t="s">
        <v>480</v>
      </c>
      <c r="J150">
        <v>1</v>
      </c>
      <c r="K150">
        <v>1</v>
      </c>
      <c r="L150">
        <v>1</v>
      </c>
    </row>
    <row r="151" spans="1:13" x14ac:dyDescent="0.25">
      <c r="A151" t="s">
        <v>487</v>
      </c>
      <c r="B151">
        <v>1</v>
      </c>
      <c r="C151">
        <v>1</v>
      </c>
      <c r="D151">
        <v>1</v>
      </c>
      <c r="E151">
        <v>1</v>
      </c>
      <c r="I151" t="s">
        <v>487</v>
      </c>
      <c r="J151">
        <v>1</v>
      </c>
      <c r="K151">
        <v>1</v>
      </c>
    </row>
    <row r="152" spans="1:13" x14ac:dyDescent="0.25">
      <c r="A152" t="s">
        <v>387</v>
      </c>
      <c r="B152">
        <v>1</v>
      </c>
      <c r="C152">
        <v>1</v>
      </c>
      <c r="D152">
        <v>1</v>
      </c>
      <c r="E152">
        <v>1</v>
      </c>
      <c r="I152" t="s">
        <v>387</v>
      </c>
      <c r="J152">
        <v>1</v>
      </c>
      <c r="K152">
        <v>1</v>
      </c>
      <c r="L152">
        <v>1</v>
      </c>
      <c r="M152">
        <v>1</v>
      </c>
    </row>
    <row r="153" spans="1:13" x14ac:dyDescent="0.25">
      <c r="A153" t="s">
        <v>427</v>
      </c>
      <c r="B153">
        <v>1</v>
      </c>
      <c r="C153">
        <v>1</v>
      </c>
      <c r="D153">
        <v>1</v>
      </c>
      <c r="E153">
        <v>1</v>
      </c>
      <c r="I153" t="s">
        <v>427</v>
      </c>
      <c r="J153">
        <v>1</v>
      </c>
      <c r="K153">
        <v>1</v>
      </c>
      <c r="L153">
        <v>1</v>
      </c>
      <c r="M153">
        <v>1</v>
      </c>
    </row>
    <row r="154" spans="1:13" x14ac:dyDescent="0.25">
      <c r="A154" t="s">
        <v>403</v>
      </c>
      <c r="B154">
        <v>1</v>
      </c>
      <c r="C154">
        <v>1</v>
      </c>
      <c r="D154">
        <v>1</v>
      </c>
      <c r="E154">
        <v>1</v>
      </c>
      <c r="I154" t="s">
        <v>403</v>
      </c>
      <c r="J154">
        <v>1</v>
      </c>
      <c r="K154">
        <v>1</v>
      </c>
    </row>
    <row r="155" spans="1:13" x14ac:dyDescent="0.25">
      <c r="A155" t="s">
        <v>404</v>
      </c>
      <c r="B155">
        <v>1</v>
      </c>
      <c r="C155">
        <v>1</v>
      </c>
      <c r="D155">
        <v>1</v>
      </c>
      <c r="E155">
        <v>1</v>
      </c>
      <c r="I155" t="s">
        <v>404</v>
      </c>
      <c r="L155">
        <v>1</v>
      </c>
      <c r="M155">
        <v>1</v>
      </c>
    </row>
    <row r="156" spans="1:13" x14ac:dyDescent="0.25">
      <c r="A156" t="s">
        <v>453</v>
      </c>
      <c r="B156">
        <v>1</v>
      </c>
      <c r="C156">
        <v>1</v>
      </c>
      <c r="D156">
        <v>1</v>
      </c>
      <c r="E156">
        <v>1</v>
      </c>
      <c r="I156" t="s">
        <v>453</v>
      </c>
      <c r="J156">
        <v>1</v>
      </c>
      <c r="K156">
        <v>1</v>
      </c>
      <c r="L156">
        <v>1</v>
      </c>
      <c r="M156">
        <v>1</v>
      </c>
    </row>
    <row r="157" spans="1:13" x14ac:dyDescent="0.25">
      <c r="A157" t="s">
        <v>452</v>
      </c>
      <c r="B157">
        <v>1</v>
      </c>
      <c r="C157">
        <v>1</v>
      </c>
      <c r="D157">
        <v>1</v>
      </c>
      <c r="E157">
        <v>1</v>
      </c>
      <c r="I157" t="s">
        <v>452</v>
      </c>
      <c r="J157">
        <v>1</v>
      </c>
      <c r="K157">
        <v>1</v>
      </c>
    </row>
    <row r="158" spans="1:13" x14ac:dyDescent="0.25">
      <c r="A158" t="s">
        <v>492</v>
      </c>
      <c r="B158">
        <v>1</v>
      </c>
      <c r="D158">
        <v>1</v>
      </c>
      <c r="I158" t="s">
        <v>492</v>
      </c>
      <c r="J158">
        <v>1</v>
      </c>
      <c r="L158">
        <v>1</v>
      </c>
    </row>
    <row r="159" spans="1:13" x14ac:dyDescent="0.25">
      <c r="A159" t="s">
        <v>495</v>
      </c>
      <c r="B159">
        <v>1</v>
      </c>
      <c r="C159">
        <v>1</v>
      </c>
      <c r="D159">
        <v>1</v>
      </c>
      <c r="E159">
        <v>1</v>
      </c>
    </row>
    <row r="160" spans="1:13" x14ac:dyDescent="0.25">
      <c r="A160" t="s">
        <v>63</v>
      </c>
      <c r="D160">
        <v>1</v>
      </c>
      <c r="E160">
        <v>1</v>
      </c>
      <c r="I160" t="s">
        <v>63</v>
      </c>
      <c r="L160">
        <v>1</v>
      </c>
      <c r="M160">
        <v>1</v>
      </c>
    </row>
    <row r="161" spans="1:13" x14ac:dyDescent="0.25">
      <c r="A161" t="s">
        <v>64</v>
      </c>
      <c r="B161">
        <v>1</v>
      </c>
      <c r="C161">
        <v>1</v>
      </c>
      <c r="D161">
        <v>1</v>
      </c>
      <c r="E161">
        <v>1</v>
      </c>
      <c r="I161" t="s">
        <v>64</v>
      </c>
      <c r="J161">
        <v>1</v>
      </c>
      <c r="K161">
        <v>1</v>
      </c>
      <c r="L161">
        <v>1</v>
      </c>
      <c r="M161">
        <v>1</v>
      </c>
    </row>
    <row r="162" spans="1:13" x14ac:dyDescent="0.25">
      <c r="A162" t="s">
        <v>212</v>
      </c>
      <c r="B162">
        <v>1</v>
      </c>
      <c r="C162">
        <v>1</v>
      </c>
      <c r="I162" t="s">
        <v>212</v>
      </c>
      <c r="J162">
        <v>1</v>
      </c>
      <c r="K162">
        <v>1</v>
      </c>
    </row>
    <row r="163" spans="1:13" x14ac:dyDescent="0.25">
      <c r="A163" t="s">
        <v>213</v>
      </c>
      <c r="D163">
        <v>1</v>
      </c>
      <c r="E163">
        <v>1</v>
      </c>
      <c r="I163" t="s">
        <v>213</v>
      </c>
      <c r="L163">
        <v>1</v>
      </c>
      <c r="M163">
        <v>1</v>
      </c>
    </row>
    <row r="164" spans="1:13" x14ac:dyDescent="0.25">
      <c r="A164" t="s">
        <v>236</v>
      </c>
      <c r="B164">
        <v>1</v>
      </c>
      <c r="C164">
        <v>1</v>
      </c>
      <c r="I164" t="s">
        <v>236</v>
      </c>
      <c r="J164">
        <v>1</v>
      </c>
      <c r="K164">
        <v>1</v>
      </c>
    </row>
    <row r="165" spans="1:13" x14ac:dyDescent="0.25">
      <c r="A165" t="s">
        <v>237</v>
      </c>
      <c r="D165">
        <v>1</v>
      </c>
      <c r="E165">
        <v>1</v>
      </c>
      <c r="I165" t="s">
        <v>237</v>
      </c>
      <c r="L165">
        <v>1</v>
      </c>
      <c r="M165">
        <v>1</v>
      </c>
    </row>
    <row r="166" spans="1:13" x14ac:dyDescent="0.25">
      <c r="A166" t="s">
        <v>267</v>
      </c>
      <c r="E166">
        <v>1</v>
      </c>
      <c r="I166" t="s">
        <v>267</v>
      </c>
      <c r="M166">
        <v>1</v>
      </c>
    </row>
    <row r="167" spans="1:13" x14ac:dyDescent="0.25">
      <c r="A167" t="s">
        <v>303</v>
      </c>
      <c r="C167">
        <v>1</v>
      </c>
      <c r="I167" t="s">
        <v>303</v>
      </c>
      <c r="K167">
        <v>1</v>
      </c>
    </row>
    <row r="168" spans="1:13" x14ac:dyDescent="0.25">
      <c r="A168" t="s">
        <v>290</v>
      </c>
      <c r="E168">
        <v>1</v>
      </c>
      <c r="I168" t="s">
        <v>290</v>
      </c>
      <c r="M168">
        <v>1</v>
      </c>
    </row>
    <row r="169" spans="1:13" x14ac:dyDescent="0.25">
      <c r="A169" t="s">
        <v>266</v>
      </c>
      <c r="B169">
        <v>1</v>
      </c>
      <c r="C169">
        <v>1</v>
      </c>
      <c r="I169" t="s">
        <v>266</v>
      </c>
      <c r="J169">
        <v>1</v>
      </c>
      <c r="K169">
        <v>1</v>
      </c>
    </row>
    <row r="170" spans="1:13" x14ac:dyDescent="0.25">
      <c r="A170" t="s">
        <v>306</v>
      </c>
      <c r="C170">
        <v>1</v>
      </c>
      <c r="E170">
        <v>1</v>
      </c>
      <c r="I170" t="s">
        <v>306</v>
      </c>
      <c r="K170">
        <v>1</v>
      </c>
      <c r="M170">
        <v>1</v>
      </c>
    </row>
    <row r="171" spans="1:13" x14ac:dyDescent="0.25">
      <c r="A171" t="s">
        <v>65</v>
      </c>
      <c r="D171">
        <v>1</v>
      </c>
      <c r="E171">
        <v>1</v>
      </c>
      <c r="I171" t="s">
        <v>65</v>
      </c>
      <c r="L171">
        <v>1</v>
      </c>
      <c r="M171">
        <v>1</v>
      </c>
    </row>
    <row r="172" spans="1:13" x14ac:dyDescent="0.25">
      <c r="A172" t="s">
        <v>245</v>
      </c>
      <c r="D172">
        <v>1</v>
      </c>
      <c r="E172">
        <v>1</v>
      </c>
      <c r="I172" t="s">
        <v>245</v>
      </c>
      <c r="L172">
        <v>1</v>
      </c>
      <c r="M172">
        <v>1</v>
      </c>
    </row>
    <row r="173" spans="1:13" x14ac:dyDescent="0.25">
      <c r="A173" t="s">
        <v>295</v>
      </c>
      <c r="D173">
        <v>1</v>
      </c>
      <c r="E173">
        <v>1</v>
      </c>
      <c r="I173" t="s">
        <v>295</v>
      </c>
      <c r="L173">
        <v>1</v>
      </c>
      <c r="M173">
        <v>1</v>
      </c>
    </row>
    <row r="174" spans="1:13" x14ac:dyDescent="0.25">
      <c r="A174" t="s">
        <v>253</v>
      </c>
      <c r="B174">
        <v>1</v>
      </c>
      <c r="C174">
        <v>1</v>
      </c>
      <c r="I174" t="s">
        <v>253</v>
      </c>
      <c r="J174">
        <v>1</v>
      </c>
      <c r="K174">
        <v>1</v>
      </c>
    </row>
    <row r="175" spans="1:13" x14ac:dyDescent="0.25">
      <c r="A175" t="s">
        <v>205</v>
      </c>
      <c r="D175">
        <v>1</v>
      </c>
      <c r="E175">
        <v>1</v>
      </c>
      <c r="I175" t="s">
        <v>205</v>
      </c>
      <c r="L175">
        <v>1</v>
      </c>
      <c r="M175">
        <v>1</v>
      </c>
    </row>
    <row r="176" spans="1:13" x14ac:dyDescent="0.25">
      <c r="A176" t="s">
        <v>283</v>
      </c>
      <c r="D176">
        <v>1</v>
      </c>
      <c r="E176">
        <v>1</v>
      </c>
      <c r="I176" t="s">
        <v>283</v>
      </c>
      <c r="L176">
        <v>1</v>
      </c>
      <c r="M176">
        <v>1</v>
      </c>
    </row>
    <row r="177" spans="1:12" x14ac:dyDescent="0.25">
      <c r="A177" t="s">
        <v>259</v>
      </c>
      <c r="D177">
        <v>1</v>
      </c>
      <c r="E177">
        <v>1</v>
      </c>
      <c r="I177" t="s">
        <v>259</v>
      </c>
      <c r="L177">
        <v>1</v>
      </c>
    </row>
    <row r="178" spans="1:12" x14ac:dyDescent="0.25">
      <c r="A178" t="s">
        <v>428</v>
      </c>
      <c r="B178">
        <v>1</v>
      </c>
      <c r="I178" t="s">
        <v>428</v>
      </c>
      <c r="J178">
        <v>1</v>
      </c>
    </row>
    <row r="179" spans="1:12" x14ac:dyDescent="0.25">
      <c r="A179" t="s">
        <v>388</v>
      </c>
      <c r="B179">
        <v>1</v>
      </c>
      <c r="D179">
        <v>1</v>
      </c>
      <c r="I179" t="s">
        <v>388</v>
      </c>
      <c r="J179">
        <v>1</v>
      </c>
      <c r="L179">
        <v>1</v>
      </c>
    </row>
    <row r="180" spans="1:12" x14ac:dyDescent="0.25">
      <c r="A180" t="s">
        <v>429</v>
      </c>
      <c r="D180">
        <v>1</v>
      </c>
      <c r="I180" t="s">
        <v>429</v>
      </c>
      <c r="L180">
        <v>1</v>
      </c>
    </row>
    <row r="181" spans="1:12" x14ac:dyDescent="0.25">
      <c r="A181" t="s">
        <v>454</v>
      </c>
      <c r="B181">
        <v>1</v>
      </c>
      <c r="I181" t="s">
        <v>454</v>
      </c>
      <c r="J181">
        <v>1</v>
      </c>
    </row>
    <row r="182" spans="1:12" x14ac:dyDescent="0.25">
      <c r="A182" t="s">
        <v>468</v>
      </c>
      <c r="B182">
        <v>1</v>
      </c>
      <c r="I182" t="s">
        <v>468</v>
      </c>
      <c r="J182">
        <v>1</v>
      </c>
    </row>
    <row r="183" spans="1:12" x14ac:dyDescent="0.25">
      <c r="A183" t="s">
        <v>66</v>
      </c>
      <c r="B183">
        <v>1</v>
      </c>
      <c r="I183" t="s">
        <v>66</v>
      </c>
      <c r="J183">
        <v>1</v>
      </c>
    </row>
    <row r="184" spans="1:12" x14ac:dyDescent="0.25">
      <c r="A184" t="s">
        <v>67</v>
      </c>
      <c r="D184">
        <v>1</v>
      </c>
      <c r="I184" t="s">
        <v>67</v>
      </c>
      <c r="L184">
        <v>1</v>
      </c>
    </row>
    <row r="185" spans="1:12" x14ac:dyDescent="0.25">
      <c r="A185" t="s">
        <v>214</v>
      </c>
      <c r="B185">
        <v>1</v>
      </c>
      <c r="I185" t="s">
        <v>214</v>
      </c>
      <c r="J185">
        <v>1</v>
      </c>
    </row>
    <row r="186" spans="1:12" x14ac:dyDescent="0.25">
      <c r="A186" t="s">
        <v>238</v>
      </c>
      <c r="B186">
        <v>1</v>
      </c>
      <c r="I186" t="s">
        <v>238</v>
      </c>
      <c r="J186">
        <v>1</v>
      </c>
    </row>
    <row r="187" spans="1:12" x14ac:dyDescent="0.25">
      <c r="A187" t="s">
        <v>215</v>
      </c>
      <c r="D187">
        <v>1</v>
      </c>
      <c r="I187" t="s">
        <v>215</v>
      </c>
      <c r="L187">
        <v>1</v>
      </c>
    </row>
    <row r="188" spans="1:12" x14ac:dyDescent="0.25">
      <c r="A188" t="s">
        <v>239</v>
      </c>
      <c r="D188">
        <v>1</v>
      </c>
      <c r="I188" t="s">
        <v>239</v>
      </c>
      <c r="L188">
        <v>1</v>
      </c>
    </row>
    <row r="189" spans="1:12" x14ac:dyDescent="0.25">
      <c r="A189" t="s">
        <v>268</v>
      </c>
      <c r="B189">
        <v>1</v>
      </c>
      <c r="I189" t="s">
        <v>268</v>
      </c>
      <c r="J189">
        <v>1</v>
      </c>
    </row>
    <row r="190" spans="1:12" x14ac:dyDescent="0.25">
      <c r="A190" t="s">
        <v>269</v>
      </c>
      <c r="D190">
        <v>1</v>
      </c>
      <c r="I190" t="s">
        <v>269</v>
      </c>
      <c r="L190">
        <v>1</v>
      </c>
    </row>
    <row r="191" spans="1:12" x14ac:dyDescent="0.25">
      <c r="A191" t="s">
        <v>292</v>
      </c>
      <c r="D191">
        <v>1</v>
      </c>
    </row>
    <row r="192" spans="1:12" x14ac:dyDescent="0.25">
      <c r="A192" t="s">
        <v>291</v>
      </c>
      <c r="B192">
        <v>1</v>
      </c>
      <c r="I192" t="s">
        <v>291</v>
      </c>
      <c r="J192">
        <v>1</v>
      </c>
    </row>
    <row r="193" spans="1:13" x14ac:dyDescent="0.25">
      <c r="A193" t="s">
        <v>68</v>
      </c>
      <c r="B193">
        <v>1</v>
      </c>
      <c r="D193">
        <v>1</v>
      </c>
      <c r="I193" t="s">
        <v>68</v>
      </c>
      <c r="J193">
        <v>1</v>
      </c>
      <c r="L193">
        <v>1</v>
      </c>
    </row>
    <row r="194" spans="1:13" x14ac:dyDescent="0.25">
      <c r="A194" t="s">
        <v>431</v>
      </c>
      <c r="D194">
        <v>1</v>
      </c>
      <c r="I194" t="s">
        <v>431</v>
      </c>
      <c r="L194">
        <v>1</v>
      </c>
    </row>
    <row r="195" spans="1:13" x14ac:dyDescent="0.25">
      <c r="A195" t="s">
        <v>335</v>
      </c>
      <c r="D195">
        <v>1</v>
      </c>
      <c r="E195">
        <v>1</v>
      </c>
      <c r="I195" t="s">
        <v>335</v>
      </c>
      <c r="L195">
        <v>1</v>
      </c>
      <c r="M195">
        <v>1</v>
      </c>
    </row>
    <row r="196" spans="1:13" x14ac:dyDescent="0.25">
      <c r="A196" t="s">
        <v>407</v>
      </c>
      <c r="B196">
        <v>1</v>
      </c>
      <c r="I196" t="s">
        <v>407</v>
      </c>
      <c r="J196">
        <v>1</v>
      </c>
    </row>
    <row r="197" spans="1:13" x14ac:dyDescent="0.25">
      <c r="A197" t="s">
        <v>69</v>
      </c>
      <c r="B197">
        <v>1</v>
      </c>
      <c r="D197">
        <v>1</v>
      </c>
      <c r="I197" t="s">
        <v>69</v>
      </c>
      <c r="J197">
        <v>1</v>
      </c>
      <c r="L197">
        <v>1</v>
      </c>
    </row>
    <row r="198" spans="1:13" x14ac:dyDescent="0.25">
      <c r="A198" t="s">
        <v>469</v>
      </c>
      <c r="B198">
        <v>1</v>
      </c>
      <c r="I198" t="s">
        <v>469</v>
      </c>
      <c r="J198">
        <v>1</v>
      </c>
    </row>
    <row r="199" spans="1:13" x14ac:dyDescent="0.25">
      <c r="A199" t="s">
        <v>430</v>
      </c>
      <c r="B199">
        <v>1</v>
      </c>
      <c r="I199" t="s">
        <v>430</v>
      </c>
      <c r="J199">
        <v>1</v>
      </c>
    </row>
    <row r="200" spans="1:13" x14ac:dyDescent="0.25">
      <c r="A200" t="s">
        <v>408</v>
      </c>
      <c r="D200">
        <v>1</v>
      </c>
      <c r="I200" t="s">
        <v>408</v>
      </c>
      <c r="L200">
        <v>1</v>
      </c>
    </row>
    <row r="201" spans="1:13" x14ac:dyDescent="0.25">
      <c r="A201" t="s">
        <v>481</v>
      </c>
      <c r="B201">
        <v>1</v>
      </c>
      <c r="I201" t="s">
        <v>481</v>
      </c>
      <c r="J201">
        <v>1</v>
      </c>
    </row>
    <row r="202" spans="1:13" x14ac:dyDescent="0.25">
      <c r="A202" t="s">
        <v>455</v>
      </c>
      <c r="B202">
        <v>1</v>
      </c>
      <c r="I202" t="s">
        <v>455</v>
      </c>
      <c r="J202">
        <v>1</v>
      </c>
    </row>
    <row r="203" spans="1:13" x14ac:dyDescent="0.25">
      <c r="A203" t="s">
        <v>850</v>
      </c>
      <c r="B203">
        <v>1</v>
      </c>
      <c r="I203" t="s">
        <v>850</v>
      </c>
      <c r="J203">
        <v>1</v>
      </c>
    </row>
    <row r="204" spans="1:13" x14ac:dyDescent="0.25">
      <c r="A204" t="s">
        <v>488</v>
      </c>
      <c r="B204">
        <v>1</v>
      </c>
      <c r="D204">
        <v>1</v>
      </c>
      <c r="I204" t="s">
        <v>488</v>
      </c>
      <c r="J204">
        <v>1</v>
      </c>
      <c r="L204">
        <v>1</v>
      </c>
    </row>
    <row r="205" spans="1:13" x14ac:dyDescent="0.25">
      <c r="A205" t="s">
        <v>70</v>
      </c>
      <c r="B205">
        <v>1</v>
      </c>
      <c r="C205">
        <v>1</v>
      </c>
      <c r="I205" t="s">
        <v>70</v>
      </c>
      <c r="J205">
        <v>1</v>
      </c>
      <c r="K205">
        <v>1</v>
      </c>
    </row>
    <row r="206" spans="1:13" x14ac:dyDescent="0.25">
      <c r="A206" t="s">
        <v>71</v>
      </c>
      <c r="D206">
        <v>1</v>
      </c>
      <c r="E206">
        <v>1</v>
      </c>
      <c r="I206" t="s">
        <v>71</v>
      </c>
      <c r="K206">
        <v>1</v>
      </c>
      <c r="L206">
        <v>1</v>
      </c>
    </row>
    <row r="207" spans="1:13" x14ac:dyDescent="0.25">
      <c r="A207" t="s">
        <v>217</v>
      </c>
      <c r="D207">
        <v>1</v>
      </c>
      <c r="E207">
        <v>1</v>
      </c>
      <c r="I207" t="s">
        <v>217</v>
      </c>
      <c r="L207">
        <v>1</v>
      </c>
      <c r="M207">
        <v>1</v>
      </c>
    </row>
    <row r="208" spans="1:13" x14ac:dyDescent="0.25">
      <c r="A208" t="s">
        <v>216</v>
      </c>
      <c r="B208">
        <v>1</v>
      </c>
      <c r="C208">
        <v>1</v>
      </c>
      <c r="I208" t="s">
        <v>216</v>
      </c>
      <c r="J208">
        <v>1</v>
      </c>
      <c r="K208">
        <v>1</v>
      </c>
    </row>
    <row r="209" spans="1:13" x14ac:dyDescent="0.25">
      <c r="A209" t="s">
        <v>240</v>
      </c>
      <c r="B209">
        <v>1</v>
      </c>
      <c r="C209">
        <v>1</v>
      </c>
      <c r="I209" t="s">
        <v>240</v>
      </c>
      <c r="J209">
        <v>1</v>
      </c>
      <c r="K209">
        <v>1</v>
      </c>
    </row>
    <row r="210" spans="1:13" x14ac:dyDescent="0.25">
      <c r="A210" t="s">
        <v>241</v>
      </c>
      <c r="D210">
        <v>1</v>
      </c>
      <c r="E210">
        <v>1</v>
      </c>
      <c r="I210" t="s">
        <v>241</v>
      </c>
      <c r="L210">
        <v>1</v>
      </c>
      <c r="M210">
        <v>1</v>
      </c>
    </row>
    <row r="211" spans="1:13" x14ac:dyDescent="0.25">
      <c r="A211" t="s">
        <v>270</v>
      </c>
      <c r="B211">
        <v>1</v>
      </c>
      <c r="C211">
        <v>1</v>
      </c>
      <c r="I211" t="s">
        <v>270</v>
      </c>
      <c r="J211">
        <v>1</v>
      </c>
    </row>
    <row r="212" spans="1:13" x14ac:dyDescent="0.25">
      <c r="A212" t="s">
        <v>293</v>
      </c>
      <c r="B212">
        <v>1</v>
      </c>
      <c r="C212">
        <v>1</v>
      </c>
      <c r="I212" t="s">
        <v>293</v>
      </c>
      <c r="J212">
        <v>1</v>
      </c>
    </row>
    <row r="213" spans="1:13" x14ac:dyDescent="0.25">
      <c r="A213" t="s">
        <v>271</v>
      </c>
      <c r="D213">
        <v>1</v>
      </c>
      <c r="E213">
        <v>1</v>
      </c>
      <c r="I213" t="s">
        <v>271</v>
      </c>
      <c r="J213">
        <v>1</v>
      </c>
    </row>
    <row r="214" spans="1:13" x14ac:dyDescent="0.25">
      <c r="A214" t="s">
        <v>294</v>
      </c>
      <c r="D214">
        <v>1</v>
      </c>
      <c r="E214">
        <v>1</v>
      </c>
      <c r="I214" t="s">
        <v>294</v>
      </c>
      <c r="J214">
        <v>1</v>
      </c>
      <c r="L214">
        <v>1</v>
      </c>
    </row>
    <row r="215" spans="1:13" x14ac:dyDescent="0.25">
      <c r="A215" t="s">
        <v>218</v>
      </c>
      <c r="B215">
        <v>1</v>
      </c>
      <c r="C215">
        <v>1</v>
      </c>
      <c r="I215" t="s">
        <v>218</v>
      </c>
      <c r="J215">
        <v>1</v>
      </c>
      <c r="K215">
        <v>1</v>
      </c>
    </row>
    <row r="216" spans="1:13" x14ac:dyDescent="0.25">
      <c r="A216" t="s">
        <v>484</v>
      </c>
      <c r="D216">
        <v>1</v>
      </c>
      <c r="E216">
        <v>1</v>
      </c>
      <c r="I216" t="s">
        <v>484</v>
      </c>
      <c r="L216">
        <v>1</v>
      </c>
      <c r="M216">
        <v>1</v>
      </c>
    </row>
    <row r="217" spans="1:13" x14ac:dyDescent="0.25">
      <c r="A217" t="s">
        <v>72</v>
      </c>
      <c r="B217">
        <v>1</v>
      </c>
      <c r="I217" t="s">
        <v>72</v>
      </c>
      <c r="J217">
        <v>1</v>
      </c>
    </row>
    <row r="218" spans="1:13" x14ac:dyDescent="0.25">
      <c r="A218" t="s">
        <v>73</v>
      </c>
      <c r="D218">
        <v>1</v>
      </c>
      <c r="I218" t="s">
        <v>73</v>
      </c>
      <c r="L218">
        <v>1</v>
      </c>
    </row>
    <row r="219" spans="1:13" x14ac:dyDescent="0.25">
      <c r="A219" t="s">
        <v>410</v>
      </c>
      <c r="D219">
        <v>1</v>
      </c>
      <c r="I219" t="s">
        <v>410</v>
      </c>
      <c r="L219">
        <v>1</v>
      </c>
    </row>
    <row r="220" spans="1:13" x14ac:dyDescent="0.25">
      <c r="A220" t="s">
        <v>409</v>
      </c>
      <c r="B220">
        <v>1</v>
      </c>
      <c r="D220">
        <v>1</v>
      </c>
      <c r="I220" t="s">
        <v>409</v>
      </c>
      <c r="J220">
        <v>1</v>
      </c>
      <c r="L220">
        <v>1</v>
      </c>
    </row>
    <row r="221" spans="1:13" x14ac:dyDescent="0.25">
      <c r="A221" t="s">
        <v>433</v>
      </c>
      <c r="D221">
        <v>1</v>
      </c>
      <c r="I221" t="s">
        <v>433</v>
      </c>
      <c r="L221">
        <v>1</v>
      </c>
    </row>
    <row r="222" spans="1:13" x14ac:dyDescent="0.25">
      <c r="A222" t="s">
        <v>482</v>
      </c>
      <c r="B222">
        <v>1</v>
      </c>
      <c r="I222" t="s">
        <v>482</v>
      </c>
      <c r="J222">
        <v>1</v>
      </c>
    </row>
    <row r="223" spans="1:13" x14ac:dyDescent="0.25">
      <c r="A223" t="s">
        <v>456</v>
      </c>
      <c r="B223">
        <v>1</v>
      </c>
      <c r="I223" t="s">
        <v>456</v>
      </c>
      <c r="J223">
        <v>1</v>
      </c>
    </row>
    <row r="224" spans="1:13" x14ac:dyDescent="0.25">
      <c r="A224" t="s">
        <v>471</v>
      </c>
      <c r="B224">
        <v>1</v>
      </c>
      <c r="I224" t="s">
        <v>471</v>
      </c>
      <c r="J224">
        <v>1</v>
      </c>
    </row>
    <row r="225" spans="1:12" x14ac:dyDescent="0.25">
      <c r="A225" t="s">
        <v>457</v>
      </c>
      <c r="D225">
        <v>1</v>
      </c>
      <c r="I225" t="s">
        <v>457</v>
      </c>
      <c r="L225">
        <v>1</v>
      </c>
    </row>
    <row r="226" spans="1:12" x14ac:dyDescent="0.25">
      <c r="A226" t="s">
        <v>472</v>
      </c>
      <c r="D226">
        <v>1</v>
      </c>
      <c r="I226" t="s">
        <v>472</v>
      </c>
      <c r="L226">
        <v>1</v>
      </c>
    </row>
    <row r="227" spans="1:12" x14ac:dyDescent="0.25">
      <c r="A227" t="s">
        <v>389</v>
      </c>
      <c r="B227">
        <v>1</v>
      </c>
      <c r="D227">
        <v>1</v>
      </c>
      <c r="E227">
        <v>1</v>
      </c>
      <c r="I227" t="s">
        <v>389</v>
      </c>
      <c r="J227">
        <v>1</v>
      </c>
    </row>
    <row r="228" spans="1:12" x14ac:dyDescent="0.25">
      <c r="A228" t="s">
        <v>412</v>
      </c>
      <c r="D228">
        <v>1</v>
      </c>
      <c r="I228" t="s">
        <v>412</v>
      </c>
      <c r="J228">
        <v>1</v>
      </c>
    </row>
    <row r="229" spans="1:12" x14ac:dyDescent="0.25">
      <c r="A229" t="s">
        <v>411</v>
      </c>
      <c r="B229">
        <v>1</v>
      </c>
      <c r="D229">
        <v>1</v>
      </c>
      <c r="I229" t="s">
        <v>411</v>
      </c>
      <c r="J229">
        <v>1</v>
      </c>
    </row>
    <row r="230" spans="1:12" x14ac:dyDescent="0.25">
      <c r="A230" t="s">
        <v>483</v>
      </c>
      <c r="D230">
        <v>1</v>
      </c>
      <c r="E230">
        <v>1</v>
      </c>
      <c r="I230" t="s">
        <v>483</v>
      </c>
      <c r="L230">
        <v>1</v>
      </c>
    </row>
    <row r="231" spans="1:12" x14ac:dyDescent="0.25">
      <c r="A231" t="s">
        <v>434</v>
      </c>
      <c r="B231">
        <v>1</v>
      </c>
      <c r="I231" t="s">
        <v>434</v>
      </c>
      <c r="J231">
        <v>1</v>
      </c>
    </row>
    <row r="232" spans="1:12" x14ac:dyDescent="0.25">
      <c r="A232" t="s">
        <v>493</v>
      </c>
      <c r="B232">
        <v>1</v>
      </c>
      <c r="I232" t="s">
        <v>493</v>
      </c>
      <c r="J232">
        <v>1</v>
      </c>
    </row>
    <row r="233" spans="1:12" x14ac:dyDescent="0.25">
      <c r="A233" t="s">
        <v>459</v>
      </c>
      <c r="D233">
        <v>1</v>
      </c>
      <c r="I233" t="s">
        <v>459</v>
      </c>
      <c r="L233">
        <v>1</v>
      </c>
    </row>
    <row r="234" spans="1:12" x14ac:dyDescent="0.25">
      <c r="A234" t="s">
        <v>473</v>
      </c>
      <c r="D234">
        <v>1</v>
      </c>
      <c r="I234" t="s">
        <v>473</v>
      </c>
      <c r="J234">
        <v>1</v>
      </c>
    </row>
    <row r="235" spans="1:12" x14ac:dyDescent="0.25">
      <c r="A235" t="s">
        <v>406</v>
      </c>
      <c r="D235">
        <v>1</v>
      </c>
      <c r="I235" t="s">
        <v>406</v>
      </c>
      <c r="L235">
        <v>1</v>
      </c>
    </row>
    <row r="236" spans="1:12" x14ac:dyDescent="0.25">
      <c r="A236" t="s">
        <v>74</v>
      </c>
      <c r="D236">
        <v>1</v>
      </c>
      <c r="I236" t="s">
        <v>74</v>
      </c>
      <c r="L236">
        <v>1</v>
      </c>
    </row>
    <row r="237" spans="1:12" x14ac:dyDescent="0.25">
      <c r="A237" t="s">
        <v>75</v>
      </c>
      <c r="B237">
        <v>1</v>
      </c>
      <c r="I237" t="s">
        <v>75</v>
      </c>
      <c r="J237">
        <v>1</v>
      </c>
    </row>
    <row r="238" spans="1:12" x14ac:dyDescent="0.25">
      <c r="A238" t="s">
        <v>395</v>
      </c>
      <c r="B238">
        <v>1</v>
      </c>
      <c r="I238" t="s">
        <v>395</v>
      </c>
      <c r="J238">
        <v>1</v>
      </c>
    </row>
    <row r="239" spans="1:12" x14ac:dyDescent="0.25">
      <c r="A239" t="s">
        <v>436</v>
      </c>
      <c r="D239">
        <v>1</v>
      </c>
      <c r="I239" t="s">
        <v>436</v>
      </c>
      <c r="L239">
        <v>1</v>
      </c>
    </row>
    <row r="240" spans="1:12" x14ac:dyDescent="0.25">
      <c r="A240" t="s">
        <v>439</v>
      </c>
      <c r="D240">
        <v>1</v>
      </c>
      <c r="I240" t="s">
        <v>439</v>
      </c>
      <c r="L240">
        <v>1</v>
      </c>
    </row>
    <row r="241" spans="1:15" x14ac:dyDescent="0.25">
      <c r="A241" t="s">
        <v>416</v>
      </c>
      <c r="B241">
        <v>1</v>
      </c>
      <c r="I241" t="s">
        <v>416</v>
      </c>
      <c r="J241">
        <v>1</v>
      </c>
    </row>
    <row r="242" spans="1:15" x14ac:dyDescent="0.25">
      <c r="A242" t="s">
        <v>489</v>
      </c>
      <c r="B242">
        <v>1</v>
      </c>
      <c r="D242">
        <v>1</v>
      </c>
      <c r="I242" t="s">
        <v>489</v>
      </c>
      <c r="J242">
        <v>1</v>
      </c>
      <c r="L242">
        <v>1</v>
      </c>
    </row>
    <row r="243" spans="1:15" x14ac:dyDescent="0.25">
      <c r="A243" t="s">
        <v>474</v>
      </c>
      <c r="B243">
        <v>1</v>
      </c>
      <c r="I243" t="s">
        <v>474</v>
      </c>
      <c r="J243">
        <v>1</v>
      </c>
      <c r="L243">
        <v>1</v>
      </c>
    </row>
    <row r="244" spans="1:15" x14ac:dyDescent="0.25">
      <c r="A244" t="s">
        <v>445</v>
      </c>
      <c r="B244">
        <v>1</v>
      </c>
      <c r="I244" t="s">
        <v>445</v>
      </c>
      <c r="J244">
        <v>1</v>
      </c>
    </row>
    <row r="245" spans="1:15" x14ac:dyDescent="0.25">
      <c r="A245" t="s">
        <v>462</v>
      </c>
      <c r="B245">
        <v>1</v>
      </c>
      <c r="I245" t="s">
        <v>462</v>
      </c>
      <c r="J245">
        <v>1</v>
      </c>
    </row>
    <row r="246" spans="1:15" x14ac:dyDescent="0.25">
      <c r="A246" t="s">
        <v>476</v>
      </c>
      <c r="D246">
        <v>1</v>
      </c>
      <c r="I246" t="s">
        <v>476</v>
      </c>
      <c r="L246">
        <v>1</v>
      </c>
    </row>
    <row r="247" spans="1:15" x14ac:dyDescent="0.25">
      <c r="A247" s="99" t="s">
        <v>264</v>
      </c>
      <c r="B247" s="99">
        <v>1</v>
      </c>
      <c r="C247" s="99">
        <v>1</v>
      </c>
      <c r="D247" s="99"/>
      <c r="E247" s="99"/>
      <c r="G247" t="s">
        <v>1005</v>
      </c>
      <c r="I247" t="s">
        <v>264</v>
      </c>
      <c r="J247">
        <v>1</v>
      </c>
      <c r="K247">
        <v>1</v>
      </c>
      <c r="O247" t="s">
        <v>1005</v>
      </c>
    </row>
    <row r="248" spans="1:15" x14ac:dyDescent="0.25">
      <c r="A248" s="99" t="s">
        <v>296</v>
      </c>
      <c r="B248" s="99"/>
      <c r="C248" s="99"/>
      <c r="D248" s="99">
        <v>1</v>
      </c>
      <c r="E248" s="99">
        <v>1</v>
      </c>
      <c r="G248" t="s">
        <v>1005</v>
      </c>
      <c r="I248" t="s">
        <v>296</v>
      </c>
      <c r="L248">
        <v>1</v>
      </c>
      <c r="M248">
        <v>1</v>
      </c>
      <c r="O248" t="s">
        <v>1005</v>
      </c>
    </row>
  </sheetData>
  <conditionalFormatting sqref="I4:I241">
    <cfRule type="expression" dxfId="6" priority="1">
      <formula>I4&lt;&gt;A4</formula>
    </cfRule>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85" zoomScaleNormal="85" workbookViewId="0">
      <selection activeCell="G63" sqref="G63"/>
    </sheetView>
  </sheetViews>
  <sheetFormatPr defaultRowHeight="15.75" x14ac:dyDescent="0.25"/>
  <cols>
    <col min="1" max="1" width="9.625" bestFit="1" customWidth="1"/>
    <col min="2" max="2" width="40.375" bestFit="1" customWidth="1"/>
    <col min="3" max="3" width="13.625" bestFit="1" customWidth="1"/>
    <col min="4" max="4" width="107.125" customWidth="1"/>
    <col min="5" max="5" width="84.125" bestFit="1" customWidth="1"/>
    <col min="11" max="11" width="14" customWidth="1"/>
  </cols>
  <sheetData>
    <row r="1" spans="1:5" x14ac:dyDescent="0.25">
      <c r="A1" t="s">
        <v>1006</v>
      </c>
      <c r="B1" t="s">
        <v>498</v>
      </c>
      <c r="C1" t="s">
        <v>1007</v>
      </c>
      <c r="D1" t="s">
        <v>1008</v>
      </c>
      <c r="E1" t="s">
        <v>1009</v>
      </c>
    </row>
    <row r="2" spans="1:5" x14ac:dyDescent="0.25">
      <c r="A2" s="152">
        <v>45359</v>
      </c>
      <c r="B2" s="243" t="s">
        <v>135</v>
      </c>
      <c r="C2" s="243" t="s">
        <v>136</v>
      </c>
      <c r="D2" s="244" t="s">
        <v>1010</v>
      </c>
      <c r="E2" s="244"/>
    </row>
    <row r="3" spans="1:5" x14ac:dyDescent="0.25">
      <c r="A3" s="242">
        <v>45359</v>
      </c>
      <c r="B3" s="243" t="s">
        <v>135</v>
      </c>
      <c r="C3" s="243" t="s">
        <v>136</v>
      </c>
      <c r="D3" s="244" t="s">
        <v>1011</v>
      </c>
      <c r="E3" s="244"/>
    </row>
    <row r="4" spans="1:5" ht="31.5" x14ac:dyDescent="0.25">
      <c r="A4" s="242">
        <v>45359</v>
      </c>
      <c r="B4" s="243" t="s">
        <v>135</v>
      </c>
      <c r="C4" s="243" t="s">
        <v>136</v>
      </c>
      <c r="D4" s="244" t="s">
        <v>1012</v>
      </c>
      <c r="E4" s="244"/>
    </row>
    <row r="5" spans="1:5" ht="47.25" x14ac:dyDescent="0.25">
      <c r="A5" s="242">
        <v>45359</v>
      </c>
      <c r="B5" s="242" t="s">
        <v>146</v>
      </c>
      <c r="C5" s="243" t="s">
        <v>147</v>
      </c>
      <c r="D5" s="244" t="s">
        <v>1013</v>
      </c>
      <c r="E5" s="244" t="s">
        <v>1027</v>
      </c>
    </row>
    <row r="6" spans="1:5" ht="31.5" x14ac:dyDescent="0.25">
      <c r="A6" s="242">
        <v>45359</v>
      </c>
      <c r="B6" s="242" t="s">
        <v>146</v>
      </c>
      <c r="C6" s="243" t="s">
        <v>147</v>
      </c>
      <c r="D6" s="244" t="s">
        <v>1014</v>
      </c>
      <c r="E6" s="244" t="s">
        <v>1028</v>
      </c>
    </row>
    <row r="7" spans="1:5" ht="110.25" x14ac:dyDescent="0.25">
      <c r="A7" s="242">
        <v>45359</v>
      </c>
      <c r="B7" s="242" t="s">
        <v>346</v>
      </c>
      <c r="C7" s="243" t="s">
        <v>347</v>
      </c>
      <c r="D7" s="244" t="s">
        <v>1015</v>
      </c>
      <c r="E7" s="244" t="s">
        <v>1030</v>
      </c>
    </row>
    <row r="8" spans="1:5" ht="31.5" x14ac:dyDescent="0.25">
      <c r="A8" s="242">
        <v>45359</v>
      </c>
      <c r="B8" s="242" t="s">
        <v>323</v>
      </c>
      <c r="C8" s="243" t="s">
        <v>324</v>
      </c>
      <c r="D8" s="244" t="s">
        <v>1016</v>
      </c>
      <c r="E8" s="244" t="s">
        <v>1017</v>
      </c>
    </row>
    <row r="9" spans="1:5" x14ac:dyDescent="0.25">
      <c r="A9" s="242">
        <v>45359</v>
      </c>
      <c r="B9" s="242" t="s">
        <v>332</v>
      </c>
      <c r="C9" s="243" t="s">
        <v>333</v>
      </c>
      <c r="D9" s="244" t="s">
        <v>1018</v>
      </c>
      <c r="E9" s="244"/>
    </row>
    <row r="10" spans="1:5" ht="31.5" x14ac:dyDescent="0.25">
      <c r="A10" s="242">
        <v>45359</v>
      </c>
      <c r="B10" s="242" t="s">
        <v>660</v>
      </c>
      <c r="C10" s="243" t="s">
        <v>207</v>
      </c>
      <c r="D10" s="244" t="s">
        <v>1019</v>
      </c>
      <c r="E10" s="244"/>
    </row>
    <row r="11" spans="1:5" ht="31.5" x14ac:dyDescent="0.25">
      <c r="A11" s="242">
        <v>45359</v>
      </c>
      <c r="B11" s="242" t="s">
        <v>767</v>
      </c>
      <c r="C11" s="243" t="s">
        <v>267</v>
      </c>
      <c r="D11" s="244" t="s">
        <v>1020</v>
      </c>
      <c r="E11" s="244"/>
    </row>
    <row r="12" spans="1:5" x14ac:dyDescent="0.25">
      <c r="A12" s="242">
        <v>45359</v>
      </c>
      <c r="B12" s="242" t="s">
        <v>851</v>
      </c>
      <c r="C12" s="243" t="s">
        <v>850</v>
      </c>
      <c r="D12" s="244" t="s">
        <v>1021</v>
      </c>
      <c r="E12" s="244"/>
    </row>
    <row r="13" spans="1:5" x14ac:dyDescent="0.25">
      <c r="A13" s="242">
        <v>45359</v>
      </c>
      <c r="B13" s="242" t="s">
        <v>854</v>
      </c>
      <c r="C13" s="243" t="s">
        <v>488</v>
      </c>
      <c r="D13" s="244" t="s">
        <v>1022</v>
      </c>
      <c r="E13" s="244" t="s">
        <v>1029</v>
      </c>
    </row>
    <row r="14" spans="1:5" x14ac:dyDescent="0.25">
      <c r="A14" s="242">
        <v>45359</v>
      </c>
      <c r="B14" s="242" t="s">
        <v>867</v>
      </c>
      <c r="C14" s="243" t="s">
        <v>484</v>
      </c>
      <c r="D14" s="244" t="s">
        <v>1023</v>
      </c>
      <c r="E14" s="244"/>
    </row>
    <row r="15" spans="1:5" x14ac:dyDescent="0.25">
      <c r="A15" s="242">
        <v>45359</v>
      </c>
      <c r="B15" s="242" t="s">
        <v>886</v>
      </c>
      <c r="C15" s="243" t="s">
        <v>483</v>
      </c>
      <c r="D15" s="244" t="s">
        <v>1024</v>
      </c>
      <c r="E15" s="244"/>
    </row>
    <row r="16" spans="1:5" x14ac:dyDescent="0.25">
      <c r="A16" s="242">
        <v>45359</v>
      </c>
      <c r="B16" s="242" t="s">
        <v>888</v>
      </c>
      <c r="C16" s="243" t="s">
        <v>434</v>
      </c>
      <c r="D16" s="244" t="s">
        <v>1024</v>
      </c>
      <c r="E16" s="244"/>
    </row>
    <row r="17" spans="1:5" x14ac:dyDescent="0.25">
      <c r="A17" s="242">
        <v>45359</v>
      </c>
      <c r="B17" s="242" t="s">
        <v>889</v>
      </c>
      <c r="C17" s="243" t="s">
        <v>493</v>
      </c>
      <c r="D17" s="244" t="s">
        <v>1024</v>
      </c>
      <c r="E17" s="244"/>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Humira Mirza</DisplayName>
        <AccountId>39</AccountId>
        <AccountType/>
      </UserInfo>
      <UserInfo>
        <DisplayName>Chanelle Gibbs</DisplayName>
        <AccountId>412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A1FD9A3B18F6A4F962F43D3E5842A09" ma:contentTypeVersion="8" ma:contentTypeDescription="Create a new document." ma:contentTypeScope="" ma:versionID="0fec357dfda34a9eccea4537b6ac44b5">
  <xsd:schema xmlns:xsd="http://www.w3.org/2001/XMLSchema" xmlns:xs="http://www.w3.org/2001/XMLSchema" xmlns:p="http://schemas.microsoft.com/office/2006/metadata/properties" xmlns:ns2="710b5fa5-af83-4923-9b32-0a1622da1318" xmlns:ns3="ba69df13-0c3c-4942-8695-6ca01564010c" targetNamespace="http://schemas.microsoft.com/office/2006/metadata/properties" ma:root="true" ma:fieldsID="af3140d31589414582d4b7bfd9e6e8b1" ns2:_="" ns3:_="">
    <xsd:import namespace="710b5fa5-af83-4923-9b32-0a1622da1318"/>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0b5fa5-af83-4923-9b32-0a1622da1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http://purl.org/dc/terms/"/>
    <ds:schemaRef ds:uri="http://schemas.openxmlformats.org/package/2006/metadata/core-properties"/>
    <ds:schemaRef ds:uri="http://schemas.microsoft.com/office/2006/documentManagement/types"/>
    <ds:schemaRef ds:uri="ba69df13-0c3c-4942-8695-6ca01564010c"/>
    <ds:schemaRef ds:uri="http://purl.org/dc/elements/1.1/"/>
    <ds:schemaRef ds:uri="http://schemas.microsoft.com/office/2006/metadata/properties"/>
    <ds:schemaRef ds:uri="http://schemas.microsoft.com/office/infopath/2007/PartnerControls"/>
    <ds:schemaRef ds:uri="710b5fa5-af83-4923-9b32-0a1622da1318"/>
    <ds:schemaRef ds:uri="http://www.w3.org/XML/1998/namespace"/>
    <ds:schemaRef ds:uri="http://purl.org/dc/dcmitype/"/>
  </ds:schemaRefs>
</ds:datastoreItem>
</file>

<file path=customXml/itemProps3.xml><?xml version="1.0" encoding="utf-8"?>
<ds:datastoreItem xmlns:ds="http://schemas.openxmlformats.org/officeDocument/2006/customXml" ds:itemID="{B4A369EA-80C6-4DAD-82B5-7808411541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0b5fa5-af83-4923-9b32-0a1622da1318"/>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B-ARTS Planner</vt:lpstr>
      <vt:lpstr>Unitsets</vt:lpstr>
      <vt:lpstr>Handbook</vt:lpstr>
      <vt:lpstr>Structures</vt:lpstr>
      <vt:lpstr>Availabilities</vt:lpstr>
      <vt:lpstr>Issues Log</vt:lpstr>
      <vt:lpstr>'B-ARTS Planner'!Print_Area</vt:lpstr>
      <vt:lpstr>RangeArtsMajor</vt:lpstr>
      <vt:lpstr>RangeSecMajor</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2024-04-18T06:19:27Z</cp:lastPrinted>
  <dcterms:created xsi:type="dcterms:W3CDTF">2022-02-28T04:48:12Z</dcterms:created>
  <dcterms:modified xsi:type="dcterms:W3CDTF">2024-04-18T06:25:32Z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0x0101009A1FD9A3B18F6A4F962F43D3E5842A09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