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X3WuUU1dKnGf4j5qVE0JD21V786dCUGoISnduF2S/6jf2yZnaGDrr8sV0lXys5sFfner5WQ0QdzCwfXahvpzIg==" workbookSaltValue="QTBShCg6uLMvAnnMQ/WQTg==" workbookSpinCount="100000" lockStructure="1"/>
  <bookViews>
    <workbookView xWindow="0" yWindow="0" windowWidth="28800" windowHeight="13500" tabRatio="722" firstSheet="3" activeTab="3"/>
  </bookViews>
  <sheets>
    <sheet name="Planner M-Arts" sheetId="5" state="hidden" r:id="rId1"/>
    <sheet name="Unitsets" sheetId="2" state="hidden" r:id="rId2"/>
    <sheet name="Planner MMJ" sheetId="12" state="hidden" r:id="rId3"/>
    <sheet name="Planner HumRightsGlobEng" sheetId="10" r:id="rId4"/>
    <sheet name="Planner DaSM" sheetId="13" state="hidden" r:id="rId5"/>
    <sheet name="Planner IRaNS" sheetId="14" state="hidden" r:id="rId6"/>
    <sheet name="Planner GlobEng" sheetId="15" state="hidden" r:id="rId7"/>
    <sheet name="Unitsets Other" sheetId="11" state="hidden" r:id="rId8"/>
    <sheet name="Handbook" sheetId="3" state="hidden" r:id="rId9"/>
    <sheet name="Structures" sheetId="8" state="hidden" r:id="rId10"/>
    <sheet name="Availabilities" sheetId="9" state="hidden" r:id="rId11"/>
  </sheets>
  <definedNames>
    <definedName name="_xlnm._FilterDatabase" localSheetId="8" hidden="1">Handbook!$A$2:$I$2</definedName>
    <definedName name="_xlnm.Print_Area" localSheetId="4">'Planner DaSM'!$A$3:$L$43</definedName>
    <definedName name="_xlnm.Print_Area" localSheetId="6">'Planner GlobEng'!$A$3:$L$65</definedName>
    <definedName name="_xlnm.Print_Area" localSheetId="3">'Planner HumRightsGlobEng'!$A$3:$L$40</definedName>
    <definedName name="_xlnm.Print_Area" localSheetId="5">'Planner IRaNS'!$A$3:$L$57</definedName>
    <definedName name="_xlnm.Print_Area" localSheetId="0">'Planner M-Arts'!$A$3:$L$68</definedName>
    <definedName name="_xlnm.Print_Area" localSheetId="2">'Planner MMJ'!$A$3:$L$47</definedName>
    <definedName name="RangeGLOBLOptions">'Unitsets Other'!$F$175:$I$208</definedName>
    <definedName name="RangeGLOBLUnitsets">'Unitsets Other'!$F$156:$U$172</definedName>
    <definedName name="RangeHRIGHTOptions">'Unitsets Other'!$F$22:$I$29</definedName>
    <definedName name="RangeHRIGHTUnitsets">'Unitsets Other'!$F$3:$U$19</definedName>
    <definedName name="RangeINTRNSOptions">'Unitsets Other'!$F$124:$H$153</definedName>
    <definedName name="RangeINTRNSUnitsets">'Unitsets Other'!$F$105:$Q$121</definedName>
    <definedName name="RangeMARTSAltCore" localSheetId="7">'Unitsets Other'!$F$23:$I$27</definedName>
    <definedName name="RangeMARTSAltCore">Unitsets!$K$25:$O$32</definedName>
    <definedName name="RangeMARTSOptions" localSheetId="7">'Unitsets Other'!$F$33:$J$66</definedName>
    <definedName name="RangeMARTSOptions">Unitsets!$K$34:$O$59</definedName>
    <definedName name="RangeMARTSUnitsets" localSheetId="7">'Unitsets Other'!$F$3:$U$19</definedName>
    <definedName name="RangeMARTSUnitsets">Unitsets!$K$3:$Z$19</definedName>
    <definedName name="RangeMMJRNOptions">'Unitsets Other'!$F$51:$I$65</definedName>
    <definedName name="RangeMMJRNUnitsets">'Unitsets Other'!$F$32:$U$48</definedName>
    <definedName name="RangeNETSCMOptions">'Unitsets Other'!$F$87:$H$102</definedName>
    <definedName name="RangeNETSCMUnitsets">'Unitsets Other'!$F$68:$Q$84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0" l="1"/>
  <c r="L30" i="10"/>
  <c r="K30" i="10"/>
  <c r="J30" i="10"/>
  <c r="I30" i="10"/>
  <c r="H30" i="10"/>
  <c r="L18" i="10"/>
  <c r="K18" i="10"/>
  <c r="J18" i="10"/>
  <c r="I18" i="10"/>
  <c r="H18" i="10"/>
  <c r="H29" i="15"/>
  <c r="L30" i="15"/>
  <c r="K30" i="15"/>
  <c r="J30" i="15"/>
  <c r="I30" i="15"/>
  <c r="H30" i="15"/>
  <c r="L18" i="15"/>
  <c r="K18" i="15"/>
  <c r="J18" i="15"/>
  <c r="I18" i="15"/>
  <c r="H18" i="15"/>
  <c r="G122" i="3" l="1"/>
  <c r="H122" i="3"/>
  <c r="I122" i="3"/>
  <c r="J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L29" i="15"/>
  <c r="G6" i="15"/>
  <c r="L5" i="15"/>
  <c r="G5" i="15"/>
  <c r="J182" i="3"/>
  <c r="I182" i="3"/>
  <c r="H182" i="3"/>
  <c r="G182" i="3"/>
  <c r="J181" i="3"/>
  <c r="I181" i="3"/>
  <c r="H181" i="3"/>
  <c r="G181" i="3"/>
  <c r="J180" i="3"/>
  <c r="I180" i="3"/>
  <c r="H180" i="3"/>
  <c r="G180" i="3"/>
  <c r="J179" i="3"/>
  <c r="I179" i="3"/>
  <c r="H179" i="3"/>
  <c r="G179" i="3"/>
  <c r="J178" i="3"/>
  <c r="I178" i="3"/>
  <c r="H178" i="3"/>
  <c r="G178" i="3"/>
  <c r="J177" i="3"/>
  <c r="I177" i="3"/>
  <c r="H177" i="3"/>
  <c r="G177" i="3"/>
  <c r="J176" i="3"/>
  <c r="I176" i="3"/>
  <c r="H176" i="3"/>
  <c r="G176" i="3"/>
  <c r="J175" i="3"/>
  <c r="I175" i="3"/>
  <c r="H175" i="3"/>
  <c r="G175" i="3"/>
  <c r="J174" i="3"/>
  <c r="I174" i="3"/>
  <c r="H174" i="3"/>
  <c r="G174" i="3"/>
  <c r="J173" i="3"/>
  <c r="I173" i="3"/>
  <c r="H173" i="3"/>
  <c r="G173" i="3"/>
  <c r="J172" i="3"/>
  <c r="I172" i="3"/>
  <c r="H172" i="3"/>
  <c r="G172" i="3"/>
  <c r="J171" i="3"/>
  <c r="I171" i="3"/>
  <c r="H171" i="3"/>
  <c r="G171" i="3"/>
  <c r="J170" i="3"/>
  <c r="I170" i="3"/>
  <c r="H170" i="3"/>
  <c r="G170" i="3"/>
  <c r="J169" i="3"/>
  <c r="I169" i="3"/>
  <c r="H169" i="3"/>
  <c r="G169" i="3"/>
  <c r="J168" i="3"/>
  <c r="I168" i="3"/>
  <c r="H168" i="3"/>
  <c r="G168" i="3"/>
  <c r="J167" i="3"/>
  <c r="I167" i="3"/>
  <c r="H167" i="3"/>
  <c r="G167" i="3"/>
  <c r="J166" i="3"/>
  <c r="I166" i="3"/>
  <c r="H166" i="3"/>
  <c r="G166" i="3"/>
  <c r="J165" i="3"/>
  <c r="I165" i="3"/>
  <c r="H165" i="3"/>
  <c r="G165" i="3"/>
  <c r="J164" i="3"/>
  <c r="I164" i="3"/>
  <c r="H164" i="3"/>
  <c r="G164" i="3"/>
  <c r="J163" i="3"/>
  <c r="I163" i="3"/>
  <c r="H163" i="3"/>
  <c r="G163" i="3"/>
  <c r="J162" i="3"/>
  <c r="I162" i="3"/>
  <c r="H162" i="3"/>
  <c r="G162" i="3"/>
  <c r="J161" i="3"/>
  <c r="I161" i="3"/>
  <c r="H161" i="3"/>
  <c r="G161" i="3"/>
  <c r="J160" i="3"/>
  <c r="I160" i="3"/>
  <c r="H160" i="3"/>
  <c r="G160" i="3"/>
  <c r="J159" i="3"/>
  <c r="I159" i="3"/>
  <c r="H159" i="3"/>
  <c r="G159" i="3"/>
  <c r="J158" i="3"/>
  <c r="I158" i="3"/>
  <c r="H158" i="3"/>
  <c r="G158" i="3"/>
  <c r="J157" i="3"/>
  <c r="I157" i="3"/>
  <c r="H157" i="3"/>
  <c r="G157" i="3"/>
  <c r="J156" i="3"/>
  <c r="I156" i="3"/>
  <c r="H156" i="3"/>
  <c r="G156" i="3"/>
  <c r="J155" i="3"/>
  <c r="I155" i="3"/>
  <c r="H155" i="3"/>
  <c r="G155" i="3"/>
  <c r="J154" i="3"/>
  <c r="I154" i="3"/>
  <c r="H154" i="3"/>
  <c r="G154" i="3"/>
  <c r="J153" i="3"/>
  <c r="I153" i="3"/>
  <c r="H153" i="3"/>
  <c r="G153" i="3"/>
  <c r="J152" i="3"/>
  <c r="I152" i="3"/>
  <c r="H152" i="3"/>
  <c r="G152" i="3"/>
  <c r="J151" i="3"/>
  <c r="I151" i="3"/>
  <c r="H151" i="3"/>
  <c r="G151" i="3"/>
  <c r="J150" i="3"/>
  <c r="I150" i="3"/>
  <c r="H150" i="3"/>
  <c r="G150" i="3"/>
  <c r="J149" i="3"/>
  <c r="I149" i="3"/>
  <c r="H149" i="3"/>
  <c r="G149" i="3"/>
  <c r="J148" i="3"/>
  <c r="I148" i="3"/>
  <c r="H148" i="3"/>
  <c r="G148" i="3"/>
  <c r="J147" i="3"/>
  <c r="I147" i="3"/>
  <c r="H147" i="3"/>
  <c r="G147" i="3"/>
  <c r="J146" i="3"/>
  <c r="I146" i="3"/>
  <c r="H146" i="3"/>
  <c r="G146" i="3"/>
  <c r="J145" i="3"/>
  <c r="I145" i="3"/>
  <c r="H145" i="3"/>
  <c r="G145" i="3"/>
  <c r="J144" i="3"/>
  <c r="I144" i="3"/>
  <c r="H144" i="3"/>
  <c r="G144" i="3"/>
  <c r="J143" i="3"/>
  <c r="I143" i="3"/>
  <c r="H143" i="3"/>
  <c r="G143" i="3"/>
  <c r="J142" i="3"/>
  <c r="I142" i="3"/>
  <c r="H142" i="3"/>
  <c r="G142" i="3"/>
  <c r="J141" i="3"/>
  <c r="I141" i="3"/>
  <c r="H141" i="3"/>
  <c r="G141" i="3"/>
  <c r="J140" i="3"/>
  <c r="I140" i="3"/>
  <c r="H140" i="3"/>
  <c r="G140" i="3"/>
  <c r="J139" i="3"/>
  <c r="I139" i="3"/>
  <c r="H139" i="3"/>
  <c r="G139" i="3"/>
  <c r="J138" i="3"/>
  <c r="I138" i="3"/>
  <c r="H138" i="3"/>
  <c r="G138" i="3"/>
  <c r="J137" i="3"/>
  <c r="I137" i="3"/>
  <c r="H137" i="3"/>
  <c r="G137" i="3"/>
  <c r="J136" i="3"/>
  <c r="I136" i="3"/>
  <c r="H136" i="3"/>
  <c r="G136" i="3"/>
  <c r="J135" i="3"/>
  <c r="I135" i="3"/>
  <c r="H135" i="3"/>
  <c r="G135" i="3"/>
  <c r="J134" i="3"/>
  <c r="I134" i="3"/>
  <c r="H134" i="3"/>
  <c r="G134" i="3"/>
  <c r="J133" i="3"/>
  <c r="I133" i="3"/>
  <c r="H133" i="3"/>
  <c r="G133" i="3"/>
  <c r="J132" i="3"/>
  <c r="I132" i="3"/>
  <c r="H132" i="3"/>
  <c r="G132" i="3"/>
  <c r="J131" i="3"/>
  <c r="I131" i="3"/>
  <c r="H131" i="3"/>
  <c r="G131" i="3"/>
  <c r="J130" i="3"/>
  <c r="I130" i="3"/>
  <c r="H130" i="3"/>
  <c r="G130" i="3"/>
  <c r="J129" i="3"/>
  <c r="I129" i="3"/>
  <c r="H129" i="3"/>
  <c r="G129" i="3"/>
  <c r="J128" i="3"/>
  <c r="I128" i="3"/>
  <c r="H128" i="3"/>
  <c r="G128" i="3"/>
  <c r="J127" i="3"/>
  <c r="I127" i="3"/>
  <c r="H127" i="3"/>
  <c r="G127" i="3"/>
  <c r="J126" i="3"/>
  <c r="I126" i="3"/>
  <c r="H126" i="3"/>
  <c r="G126" i="3"/>
  <c r="J125" i="3"/>
  <c r="I125" i="3"/>
  <c r="H125" i="3"/>
  <c r="G125" i="3"/>
  <c r="J124" i="3"/>
  <c r="I124" i="3"/>
  <c r="H124" i="3"/>
  <c r="G124" i="3"/>
  <c r="J123" i="3"/>
  <c r="I123" i="3"/>
  <c r="H123" i="3"/>
  <c r="G123" i="3"/>
  <c r="J121" i="3"/>
  <c r="I121" i="3"/>
  <c r="H121" i="3"/>
  <c r="G121" i="3"/>
  <c r="J120" i="3"/>
  <c r="I120" i="3"/>
  <c r="H120" i="3"/>
  <c r="G120" i="3"/>
  <c r="J119" i="3"/>
  <c r="I119" i="3"/>
  <c r="H119" i="3"/>
  <c r="G119" i="3"/>
  <c r="J118" i="3"/>
  <c r="I118" i="3"/>
  <c r="H118" i="3"/>
  <c r="G118" i="3"/>
  <c r="J117" i="3"/>
  <c r="I117" i="3"/>
  <c r="H117" i="3"/>
  <c r="G117" i="3"/>
  <c r="J116" i="3"/>
  <c r="I116" i="3"/>
  <c r="H116" i="3"/>
  <c r="G116" i="3"/>
  <c r="J115" i="3"/>
  <c r="I115" i="3"/>
  <c r="H115" i="3"/>
  <c r="G115" i="3"/>
  <c r="J114" i="3"/>
  <c r="I114" i="3"/>
  <c r="H114" i="3"/>
  <c r="G114" i="3"/>
  <c r="J113" i="3"/>
  <c r="I113" i="3"/>
  <c r="H113" i="3"/>
  <c r="G113" i="3"/>
  <c r="J112" i="3"/>
  <c r="I112" i="3"/>
  <c r="H112" i="3"/>
  <c r="G112" i="3"/>
  <c r="J111" i="3"/>
  <c r="I111" i="3"/>
  <c r="H111" i="3"/>
  <c r="G111" i="3"/>
  <c r="J110" i="3"/>
  <c r="I110" i="3"/>
  <c r="H110" i="3"/>
  <c r="G110" i="3"/>
  <c r="J109" i="3"/>
  <c r="I109" i="3"/>
  <c r="H109" i="3"/>
  <c r="G109" i="3"/>
  <c r="J108" i="3"/>
  <c r="I108" i="3"/>
  <c r="H108" i="3"/>
  <c r="G108" i="3"/>
  <c r="J107" i="3"/>
  <c r="I107" i="3"/>
  <c r="H107" i="3"/>
  <c r="G107" i="3"/>
  <c r="J106" i="3"/>
  <c r="I106" i="3"/>
  <c r="H106" i="3"/>
  <c r="G106" i="3"/>
  <c r="J105" i="3"/>
  <c r="I105" i="3"/>
  <c r="H105" i="3"/>
  <c r="G105" i="3"/>
  <c r="J104" i="3"/>
  <c r="I104" i="3"/>
  <c r="H104" i="3"/>
  <c r="G104" i="3"/>
  <c r="J103" i="3"/>
  <c r="I103" i="3"/>
  <c r="H103" i="3"/>
  <c r="G103" i="3"/>
  <c r="J102" i="3"/>
  <c r="I102" i="3"/>
  <c r="H102" i="3"/>
  <c r="G102" i="3"/>
  <c r="J101" i="3"/>
  <c r="I101" i="3"/>
  <c r="H101" i="3"/>
  <c r="G101" i="3"/>
  <c r="J100" i="3"/>
  <c r="I100" i="3"/>
  <c r="H100" i="3"/>
  <c r="G100" i="3"/>
  <c r="J99" i="3"/>
  <c r="I99" i="3"/>
  <c r="H99" i="3"/>
  <c r="G99" i="3"/>
  <c r="J98" i="3"/>
  <c r="I98" i="3"/>
  <c r="H98" i="3"/>
  <c r="G98" i="3"/>
  <c r="J97" i="3"/>
  <c r="I97" i="3"/>
  <c r="H97" i="3"/>
  <c r="G97" i="3"/>
  <c r="J96" i="3"/>
  <c r="I96" i="3"/>
  <c r="H96" i="3"/>
  <c r="G96" i="3"/>
  <c r="J95" i="3"/>
  <c r="I95" i="3"/>
  <c r="H95" i="3"/>
  <c r="G95"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A59" i="15" l="1"/>
  <c r="A58" i="15"/>
  <c r="A60" i="15"/>
  <c r="A57" i="15"/>
  <c r="A61" i="15"/>
  <c r="A51" i="15"/>
  <c r="A49" i="15"/>
  <c r="A54" i="15"/>
  <c r="A50" i="15"/>
  <c r="A48" i="15"/>
  <c r="A55" i="15"/>
  <c r="A56" i="15"/>
  <c r="A47" i="15"/>
  <c r="A52" i="15"/>
  <c r="A53" i="15"/>
  <c r="A45" i="15"/>
  <c r="A37" i="15"/>
  <c r="A44" i="15"/>
  <c r="A43" i="15"/>
  <c r="A42" i="15"/>
  <c r="A41" i="15"/>
  <c r="A39" i="15"/>
  <c r="A40" i="15"/>
  <c r="A46" i="15"/>
  <c r="A38" i="15"/>
  <c r="A31" i="15"/>
  <c r="A36" i="15"/>
  <c r="J36" i="15" s="1"/>
  <c r="A35" i="15"/>
  <c r="A33" i="15"/>
  <c r="K33" i="15" s="1"/>
  <c r="A34" i="15"/>
  <c r="F34" i="15" s="1"/>
  <c r="A32" i="15"/>
  <c r="A17" i="15"/>
  <c r="A27" i="15"/>
  <c r="C27" i="15" s="1"/>
  <c r="A10" i="15"/>
  <c r="A20" i="15"/>
  <c r="A19" i="15"/>
  <c r="A11" i="15"/>
  <c r="A21" i="15"/>
  <c r="F21" i="15" s="1"/>
  <c r="A9" i="15"/>
  <c r="E9" i="15" s="1"/>
  <c r="A12" i="15"/>
  <c r="A22" i="15"/>
  <c r="A14" i="15"/>
  <c r="B14" i="15" s="1"/>
  <c r="A24" i="15"/>
  <c r="A15" i="15"/>
  <c r="A25" i="15"/>
  <c r="A16" i="15"/>
  <c r="A26" i="15"/>
  <c r="E416" i="8"/>
  <c r="D416" i="8"/>
  <c r="B416" i="8"/>
  <c r="A416" i="8"/>
  <c r="E415" i="8"/>
  <c r="D415" i="8"/>
  <c r="B415" i="8"/>
  <c r="A415" i="8"/>
  <c r="E414" i="8"/>
  <c r="D414" i="8"/>
  <c r="B414" i="8"/>
  <c r="A414" i="8"/>
  <c r="E413" i="8"/>
  <c r="D413" i="8"/>
  <c r="B413" i="8"/>
  <c r="A413" i="8"/>
  <c r="E412" i="8"/>
  <c r="D412" i="8"/>
  <c r="B412" i="8"/>
  <c r="A412" i="8"/>
  <c r="E411" i="8"/>
  <c r="D411" i="8"/>
  <c r="B411" i="8"/>
  <c r="A411" i="8"/>
  <c r="E410" i="8"/>
  <c r="D410" i="8"/>
  <c r="B410" i="8"/>
  <c r="A410" i="8"/>
  <c r="E409" i="8"/>
  <c r="D409" i="8"/>
  <c r="B409" i="8"/>
  <c r="A409" i="8"/>
  <c r="E408" i="8"/>
  <c r="D408" i="8"/>
  <c r="B408" i="8"/>
  <c r="A408" i="8"/>
  <c r="A399" i="8"/>
  <c r="A400" i="8"/>
  <c r="A401" i="8"/>
  <c r="A402" i="8"/>
  <c r="A403" i="8"/>
  <c r="A404" i="8"/>
  <c r="A405" i="8"/>
  <c r="B399" i="8"/>
  <c r="B400" i="8"/>
  <c r="B401" i="8"/>
  <c r="B402" i="8"/>
  <c r="B403" i="8"/>
  <c r="B404" i="8"/>
  <c r="B405" i="8"/>
  <c r="D399" i="8"/>
  <c r="D400" i="8"/>
  <c r="D401" i="8"/>
  <c r="D402" i="8"/>
  <c r="D403" i="8"/>
  <c r="D404" i="8"/>
  <c r="D405" i="8"/>
  <c r="E399" i="8"/>
  <c r="E400" i="8"/>
  <c r="E401" i="8"/>
  <c r="E402" i="8"/>
  <c r="E403" i="8"/>
  <c r="E404" i="8"/>
  <c r="E405" i="8"/>
  <c r="C17" i="15" l="1"/>
  <c r="C15" i="15"/>
  <c r="E10" i="15"/>
  <c r="E11" i="15" s="1"/>
  <c r="E12" i="15" s="1"/>
  <c r="Y4" i="3"/>
  <c r="Y5" i="3"/>
  <c r="Y6" i="3"/>
  <c r="Y7" i="3"/>
  <c r="Y8" i="3"/>
  <c r="Y9" i="3"/>
  <c r="Y10" i="3"/>
  <c r="Y11" i="3"/>
  <c r="Y12" i="3"/>
  <c r="Y13" i="3"/>
  <c r="Y14" i="3"/>
  <c r="Y15" i="3"/>
  <c r="Y16" i="3"/>
  <c r="Y17" i="3"/>
  <c r="Y18" i="3"/>
  <c r="Y19" i="3"/>
  <c r="Y21" i="3"/>
  <c r="Y22" i="3"/>
  <c r="Y23" i="3"/>
  <c r="Y24" i="3"/>
  <c r="Y25" i="3"/>
  <c r="Y26" i="3"/>
  <c r="Y20"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3" i="3"/>
  <c r="Y125" i="3"/>
  <c r="Y126" i="3"/>
  <c r="Y128" i="3"/>
  <c r="Y129" i="3"/>
  <c r="Y130" i="3"/>
  <c r="Y131" i="3"/>
  <c r="Y132" i="3"/>
  <c r="Y133" i="3"/>
  <c r="Y134" i="3"/>
  <c r="Y135" i="3"/>
  <c r="Y136" i="3"/>
  <c r="Y124" i="3"/>
  <c r="Y127"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J61" i="15"/>
  <c r="I61" i="15"/>
  <c r="B61" i="15"/>
  <c r="H61" i="15"/>
  <c r="G61" i="15"/>
  <c r="C61" i="15"/>
  <c r="F61" i="15"/>
  <c r="D61" i="15"/>
  <c r="K61" i="15"/>
  <c r="F57" i="15"/>
  <c r="D57" i="15"/>
  <c r="B57" i="15"/>
  <c r="C57" i="15"/>
  <c r="K57" i="15"/>
  <c r="H57" i="15"/>
  <c r="J57" i="15"/>
  <c r="I57" i="15"/>
  <c r="G57" i="15"/>
  <c r="K60" i="15"/>
  <c r="B60" i="15"/>
  <c r="J60" i="15"/>
  <c r="I60" i="15"/>
  <c r="H60" i="15"/>
  <c r="G60" i="15"/>
  <c r="D60" i="15"/>
  <c r="C60" i="15"/>
  <c r="F60" i="15"/>
  <c r="D58" i="15"/>
  <c r="C58" i="15"/>
  <c r="J58" i="15"/>
  <c r="H58" i="15"/>
  <c r="K58" i="15"/>
  <c r="B58" i="15"/>
  <c r="I58" i="15"/>
  <c r="G58" i="15"/>
  <c r="F58" i="15"/>
  <c r="C59" i="15"/>
  <c r="K59" i="15"/>
  <c r="B59" i="15"/>
  <c r="F59" i="15"/>
  <c r="J59" i="15"/>
  <c r="I59" i="15"/>
  <c r="G59" i="15"/>
  <c r="H59" i="15"/>
  <c r="D59" i="15"/>
  <c r="C47" i="15"/>
  <c r="J47" i="15"/>
  <c r="H47" i="15"/>
  <c r="K47" i="15"/>
  <c r="B47" i="15"/>
  <c r="D47" i="15"/>
  <c r="I47" i="15"/>
  <c r="G47" i="15"/>
  <c r="F47" i="15"/>
  <c r="H51" i="15"/>
  <c r="F51" i="15"/>
  <c r="C51" i="15"/>
  <c r="G51" i="15"/>
  <c r="I51" i="15"/>
  <c r="D51" i="15"/>
  <c r="K51" i="15"/>
  <c r="B51" i="15"/>
  <c r="J51" i="15"/>
  <c r="K56" i="15"/>
  <c r="B56" i="15"/>
  <c r="I56" i="15"/>
  <c r="J56" i="15"/>
  <c r="F56" i="15"/>
  <c r="H56" i="15"/>
  <c r="G56" i="15"/>
  <c r="D56" i="15"/>
  <c r="C56" i="15"/>
  <c r="C55" i="15"/>
  <c r="J55" i="15"/>
  <c r="K55" i="15"/>
  <c r="B55" i="15"/>
  <c r="D55" i="15"/>
  <c r="I55" i="15"/>
  <c r="G55" i="15"/>
  <c r="H55" i="15"/>
  <c r="F55" i="15"/>
  <c r="K48" i="15"/>
  <c r="B48" i="15"/>
  <c r="J48" i="15"/>
  <c r="I48" i="15"/>
  <c r="H48" i="15"/>
  <c r="G48" i="15"/>
  <c r="F48" i="15"/>
  <c r="D48" i="15"/>
  <c r="C48" i="15"/>
  <c r="I50" i="15"/>
  <c r="C50" i="15"/>
  <c r="H50" i="15"/>
  <c r="G50" i="15"/>
  <c r="D50" i="15"/>
  <c r="F50" i="15"/>
  <c r="J50" i="15"/>
  <c r="K50" i="15"/>
  <c r="B50" i="15"/>
  <c r="F53" i="15"/>
  <c r="C53" i="15"/>
  <c r="I53" i="15"/>
  <c r="D53" i="15"/>
  <c r="K53" i="15"/>
  <c r="B53" i="15"/>
  <c r="G53" i="15"/>
  <c r="J53" i="15"/>
  <c r="H53" i="15"/>
  <c r="D54" i="15"/>
  <c r="C54" i="15"/>
  <c r="K54" i="15"/>
  <c r="B54" i="15"/>
  <c r="J54" i="15"/>
  <c r="I54" i="15"/>
  <c r="H54" i="15"/>
  <c r="G54" i="15"/>
  <c r="F54" i="15"/>
  <c r="G52" i="15"/>
  <c r="H52" i="15"/>
  <c r="F52" i="15"/>
  <c r="D52" i="15"/>
  <c r="J52" i="15"/>
  <c r="C52" i="15"/>
  <c r="K52" i="15"/>
  <c r="B52" i="15"/>
  <c r="I52" i="15"/>
  <c r="J49" i="15"/>
  <c r="H49" i="15"/>
  <c r="B49" i="15"/>
  <c r="I49" i="15"/>
  <c r="D49" i="15"/>
  <c r="G49" i="15"/>
  <c r="K49" i="15"/>
  <c r="F49" i="15"/>
  <c r="C49" i="15"/>
  <c r="C41" i="15"/>
  <c r="K41" i="15"/>
  <c r="B41" i="15"/>
  <c r="J41" i="15"/>
  <c r="F41" i="15"/>
  <c r="I41" i="15"/>
  <c r="H41" i="15"/>
  <c r="G41" i="15"/>
  <c r="D41" i="15"/>
  <c r="K42" i="15"/>
  <c r="B42" i="15"/>
  <c r="D42" i="15"/>
  <c r="J42" i="15"/>
  <c r="I42" i="15"/>
  <c r="H42" i="15"/>
  <c r="G42" i="15"/>
  <c r="F42" i="15"/>
  <c r="C42" i="15"/>
  <c r="J43" i="15"/>
  <c r="I43" i="15"/>
  <c r="H43" i="15"/>
  <c r="G43" i="15"/>
  <c r="F43" i="15"/>
  <c r="C43" i="15"/>
  <c r="D43" i="15"/>
  <c r="K43" i="15"/>
  <c r="B43" i="15"/>
  <c r="G38" i="15"/>
  <c r="F38" i="15"/>
  <c r="D38" i="15"/>
  <c r="C38" i="15"/>
  <c r="I38" i="15"/>
  <c r="K38" i="15"/>
  <c r="B38" i="15"/>
  <c r="J38" i="15"/>
  <c r="H38" i="15"/>
  <c r="I44" i="15"/>
  <c r="H44" i="15"/>
  <c r="G44" i="15"/>
  <c r="F44" i="15"/>
  <c r="D44" i="15"/>
  <c r="C44" i="15"/>
  <c r="B44" i="15"/>
  <c r="J44" i="15"/>
  <c r="K44" i="15"/>
  <c r="F39" i="15"/>
  <c r="D39" i="15"/>
  <c r="C39" i="15"/>
  <c r="K39" i="15"/>
  <c r="B39" i="15"/>
  <c r="J39" i="15"/>
  <c r="I39" i="15"/>
  <c r="H39" i="15"/>
  <c r="G39" i="15"/>
  <c r="G46" i="15"/>
  <c r="F46" i="15"/>
  <c r="I46" i="15"/>
  <c r="D46" i="15"/>
  <c r="C46" i="15"/>
  <c r="K46" i="15"/>
  <c r="B46" i="15"/>
  <c r="J46" i="15"/>
  <c r="H46" i="15"/>
  <c r="H37" i="15"/>
  <c r="J37" i="15"/>
  <c r="G37" i="15"/>
  <c r="F37" i="15"/>
  <c r="D37" i="15"/>
  <c r="C37" i="15"/>
  <c r="K37" i="15"/>
  <c r="B37" i="15"/>
  <c r="I37" i="15"/>
  <c r="D40" i="15"/>
  <c r="C40" i="15"/>
  <c r="G40" i="15"/>
  <c r="K40" i="15"/>
  <c r="B40" i="15"/>
  <c r="J40" i="15"/>
  <c r="I40" i="15"/>
  <c r="H40" i="15"/>
  <c r="F40" i="15"/>
  <c r="H45" i="15"/>
  <c r="G45" i="15"/>
  <c r="F45" i="15"/>
  <c r="D45" i="15"/>
  <c r="J45" i="15"/>
  <c r="C45" i="15"/>
  <c r="K45" i="15"/>
  <c r="B45" i="15"/>
  <c r="I45" i="15"/>
  <c r="B27" i="15"/>
  <c r="G27" i="15"/>
  <c r="G34" i="15"/>
  <c r="F36" i="15"/>
  <c r="G36" i="15"/>
  <c r="D34" i="15"/>
  <c r="F27" i="15"/>
  <c r="F33" i="15"/>
  <c r="J17" i="15"/>
  <c r="J33" i="15"/>
  <c r="I33" i="15"/>
  <c r="G33" i="15"/>
  <c r="D33" i="15"/>
  <c r="C33" i="15"/>
  <c r="B33" i="15"/>
  <c r="H33" i="15"/>
  <c r="B15" i="15"/>
  <c r="H36" i="15"/>
  <c r="I36" i="15"/>
  <c r="C36" i="15"/>
  <c r="D36" i="15"/>
  <c r="K36" i="15"/>
  <c r="D15" i="15"/>
  <c r="F14" i="15"/>
  <c r="H21" i="15"/>
  <c r="J21" i="15"/>
  <c r="B21" i="15"/>
  <c r="C21" i="15"/>
  <c r="I14" i="15"/>
  <c r="K21" i="15"/>
  <c r="G21" i="15"/>
  <c r="I21" i="15"/>
  <c r="D25" i="15"/>
  <c r="B25" i="15"/>
  <c r="C25" i="15"/>
  <c r="D21" i="15"/>
  <c r="F25" i="15"/>
  <c r="E14" i="15"/>
  <c r="E15" i="15" s="1"/>
  <c r="E16" i="15" s="1"/>
  <c r="E17" i="15" s="1"/>
  <c r="J34" i="15"/>
  <c r="B36" i="15"/>
  <c r="K14" i="15"/>
  <c r="H14" i="15"/>
  <c r="C34" i="15"/>
  <c r="K34" i="15"/>
  <c r="B34" i="15"/>
  <c r="J14" i="15"/>
  <c r="C14" i="15"/>
  <c r="D14" i="15"/>
  <c r="G14" i="15"/>
  <c r="D27" i="15"/>
  <c r="D17" i="15"/>
  <c r="B17" i="15"/>
  <c r="F17" i="15"/>
  <c r="I34" i="15"/>
  <c r="H34" i="15"/>
  <c r="H17" i="15"/>
  <c r="G17" i="15"/>
  <c r="I17" i="15"/>
  <c r="G15" i="15"/>
  <c r="F15" i="15"/>
  <c r="K17" i="15"/>
  <c r="G25" i="15"/>
  <c r="D32" i="15"/>
  <c r="K32" i="15"/>
  <c r="B32" i="15"/>
  <c r="J32" i="15"/>
  <c r="I32" i="15"/>
  <c r="F32" i="15"/>
  <c r="C32" i="15"/>
  <c r="H32" i="15"/>
  <c r="G32" i="15"/>
  <c r="D26" i="15"/>
  <c r="K26" i="15"/>
  <c r="C26" i="15"/>
  <c r="J26" i="15"/>
  <c r="B26" i="15"/>
  <c r="I26" i="15"/>
  <c r="F26" i="15"/>
  <c r="H26" i="15"/>
  <c r="G26" i="15"/>
  <c r="K24" i="15"/>
  <c r="C24" i="15"/>
  <c r="I24" i="15"/>
  <c r="H24" i="15"/>
  <c r="G24" i="15"/>
  <c r="J24" i="15"/>
  <c r="B24" i="15"/>
  <c r="F24" i="15"/>
  <c r="D24" i="15"/>
  <c r="E24" i="15"/>
  <c r="E25" i="15" s="1"/>
  <c r="E26" i="15" s="1"/>
  <c r="E27" i="15" s="1"/>
  <c r="D20" i="15"/>
  <c r="B20" i="15"/>
  <c r="C20" i="15"/>
  <c r="G20" i="15"/>
  <c r="F20" i="15"/>
  <c r="B16" i="15"/>
  <c r="F16" i="15"/>
  <c r="G16" i="15"/>
  <c r="C16" i="15"/>
  <c r="D16" i="15"/>
  <c r="G9" i="15"/>
  <c r="D9" i="15"/>
  <c r="H9" i="15"/>
  <c r="K9" i="15"/>
  <c r="C9" i="15"/>
  <c r="J9" i="15"/>
  <c r="B9" i="15"/>
  <c r="I9" i="15"/>
  <c r="F9" i="15"/>
  <c r="I11" i="15"/>
  <c r="F11" i="15"/>
  <c r="B11" i="15"/>
  <c r="D11" i="15"/>
  <c r="H11" i="15"/>
  <c r="K11" i="15"/>
  <c r="C11" i="15"/>
  <c r="J11" i="15"/>
  <c r="G11" i="15"/>
  <c r="G31" i="15"/>
  <c r="D31" i="15"/>
  <c r="C31" i="15"/>
  <c r="K31" i="15"/>
  <c r="B31" i="15"/>
  <c r="J31" i="15"/>
  <c r="H31" i="15"/>
  <c r="I31" i="15"/>
  <c r="F31" i="15"/>
  <c r="F22" i="15"/>
  <c r="D22" i="15"/>
  <c r="C22" i="15"/>
  <c r="G22" i="15"/>
  <c r="B22" i="15"/>
  <c r="G35" i="15"/>
  <c r="F35" i="15"/>
  <c r="D35" i="15"/>
  <c r="C35" i="15"/>
  <c r="K35" i="15"/>
  <c r="B35" i="15"/>
  <c r="J35" i="15"/>
  <c r="I35" i="15"/>
  <c r="H35" i="15"/>
  <c r="F12" i="15"/>
  <c r="K12" i="15"/>
  <c r="C12" i="15"/>
  <c r="J12" i="15"/>
  <c r="B12" i="15"/>
  <c r="I12" i="15"/>
  <c r="H12" i="15"/>
  <c r="G12" i="15"/>
  <c r="D12" i="15"/>
  <c r="D10" i="15"/>
  <c r="I10" i="15"/>
  <c r="H10" i="15"/>
  <c r="G10" i="15"/>
  <c r="F10" i="15"/>
  <c r="K10" i="15"/>
  <c r="C10" i="15"/>
  <c r="J10" i="15"/>
  <c r="B10" i="15"/>
  <c r="G19" i="15"/>
  <c r="E19" i="15"/>
  <c r="E20" i="15" s="1"/>
  <c r="E21" i="15" s="1"/>
  <c r="E22" i="15" s="1"/>
  <c r="D19" i="15"/>
  <c r="K19" i="15"/>
  <c r="C19" i="15"/>
  <c r="F19" i="15"/>
  <c r="J19" i="15"/>
  <c r="B19" i="15"/>
  <c r="H19" i="15"/>
  <c r="I19" i="15"/>
  <c r="E398" i="8" l="1"/>
  <c r="D398" i="8"/>
  <c r="B398" i="8"/>
  <c r="A398" i="8"/>
  <c r="E397" i="8"/>
  <c r="D397" i="8"/>
  <c r="B397" i="8"/>
  <c r="A397" i="8"/>
  <c r="E396" i="8"/>
  <c r="D396" i="8"/>
  <c r="B396" i="8"/>
  <c r="A396" i="8"/>
  <c r="E395" i="8"/>
  <c r="D395" i="8"/>
  <c r="B395" i="8"/>
  <c r="A395" i="8"/>
  <c r="E394" i="8"/>
  <c r="D394" i="8"/>
  <c r="B394" i="8"/>
  <c r="A394" i="8"/>
  <c r="E393" i="8"/>
  <c r="D393" i="8"/>
  <c r="B393" i="8"/>
  <c r="A393" i="8"/>
  <c r="E392" i="8"/>
  <c r="D392" i="8"/>
  <c r="B392" i="8"/>
  <c r="A392" i="8"/>
  <c r="AC4" i="3" l="1"/>
  <c r="AC5" i="3"/>
  <c r="AC6" i="3"/>
  <c r="AC7" i="3"/>
  <c r="AC8" i="3"/>
  <c r="AC9" i="3"/>
  <c r="AC10" i="3"/>
  <c r="AC11" i="3"/>
  <c r="AC12" i="3"/>
  <c r="AC13" i="3"/>
  <c r="AC14" i="3"/>
  <c r="AC15" i="3"/>
  <c r="AC16" i="3"/>
  <c r="AC17" i="3"/>
  <c r="AC18" i="3"/>
  <c r="AC19" i="3"/>
  <c r="AC21" i="3"/>
  <c r="AC22" i="3"/>
  <c r="AC23" i="3"/>
  <c r="AC24" i="3"/>
  <c r="AC25" i="3"/>
  <c r="AC26" i="3"/>
  <c r="AC20"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3" i="3"/>
  <c r="AC125" i="3"/>
  <c r="AC126" i="3"/>
  <c r="AC128" i="3"/>
  <c r="AC129" i="3"/>
  <c r="AC130" i="3"/>
  <c r="AC131" i="3"/>
  <c r="AC132" i="3"/>
  <c r="AC133" i="3"/>
  <c r="AC134" i="3"/>
  <c r="AC135" i="3"/>
  <c r="AC136" i="3"/>
  <c r="AC124" i="3"/>
  <c r="AC127"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E389" i="8"/>
  <c r="D389" i="8"/>
  <c r="B389" i="8"/>
  <c r="A389" i="8"/>
  <c r="E388" i="8"/>
  <c r="D388" i="8"/>
  <c r="B388" i="8"/>
  <c r="A388" i="8"/>
  <c r="E387" i="8"/>
  <c r="D387" i="8"/>
  <c r="B387" i="8"/>
  <c r="A387" i="8"/>
  <c r="E386" i="8"/>
  <c r="D386" i="8"/>
  <c r="B386" i="8"/>
  <c r="A386" i="8"/>
  <c r="E385" i="8"/>
  <c r="D385" i="8"/>
  <c r="B385" i="8"/>
  <c r="A385" i="8"/>
  <c r="E384" i="8"/>
  <c r="D384" i="8"/>
  <c r="B384" i="8"/>
  <c r="A384" i="8"/>
  <c r="E383" i="8"/>
  <c r="D383" i="8"/>
  <c r="B383" i="8"/>
  <c r="A383" i="8"/>
  <c r="AB4" i="3" l="1"/>
  <c r="AB5" i="3"/>
  <c r="AB6" i="3"/>
  <c r="AB7" i="3"/>
  <c r="AB8" i="3"/>
  <c r="AB9" i="3"/>
  <c r="AB10" i="3"/>
  <c r="AB11" i="3"/>
  <c r="AB12" i="3"/>
  <c r="AB13" i="3"/>
  <c r="AB14" i="3"/>
  <c r="AB15" i="3"/>
  <c r="AB16" i="3"/>
  <c r="AB17" i="3"/>
  <c r="AB18" i="3"/>
  <c r="AB19" i="3"/>
  <c r="AB21" i="3"/>
  <c r="AB22" i="3"/>
  <c r="AB23" i="3"/>
  <c r="AB24" i="3"/>
  <c r="AB25" i="3"/>
  <c r="AB26" i="3"/>
  <c r="AB20"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3" i="3"/>
  <c r="AB125" i="3"/>
  <c r="AB126" i="3"/>
  <c r="AB128" i="3"/>
  <c r="AB129" i="3"/>
  <c r="AB130" i="3"/>
  <c r="AB131" i="3"/>
  <c r="AB132" i="3"/>
  <c r="AB133" i="3"/>
  <c r="AB134" i="3"/>
  <c r="AB135" i="3"/>
  <c r="AB136" i="3"/>
  <c r="AB124" i="3"/>
  <c r="AB127"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E380" i="8"/>
  <c r="D380" i="8"/>
  <c r="B380" i="8"/>
  <c r="A380" i="8"/>
  <c r="E379" i="8"/>
  <c r="D379" i="8"/>
  <c r="B379" i="8"/>
  <c r="A379" i="8"/>
  <c r="E378" i="8"/>
  <c r="D378" i="8"/>
  <c r="B378" i="8"/>
  <c r="A378" i="8"/>
  <c r="E377" i="8"/>
  <c r="D377" i="8"/>
  <c r="B377" i="8"/>
  <c r="A377" i="8"/>
  <c r="AA4" i="3" l="1"/>
  <c r="AA5" i="3"/>
  <c r="AA6" i="3"/>
  <c r="AA7" i="3"/>
  <c r="AA8" i="3"/>
  <c r="AA9" i="3"/>
  <c r="AA10" i="3"/>
  <c r="AA11" i="3"/>
  <c r="AA12" i="3"/>
  <c r="AA13" i="3"/>
  <c r="AA14" i="3"/>
  <c r="AA15" i="3"/>
  <c r="AA16" i="3"/>
  <c r="AA17" i="3"/>
  <c r="AA18" i="3"/>
  <c r="AA19" i="3"/>
  <c r="AA21" i="3"/>
  <c r="AA22" i="3"/>
  <c r="AA23" i="3"/>
  <c r="AA24" i="3"/>
  <c r="AA25" i="3"/>
  <c r="AA26" i="3"/>
  <c r="AA20"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3" i="3"/>
  <c r="AA125" i="3"/>
  <c r="AA126" i="3"/>
  <c r="AA128" i="3"/>
  <c r="AA129" i="3"/>
  <c r="AA130" i="3"/>
  <c r="AA131" i="3"/>
  <c r="AA132" i="3"/>
  <c r="AA133" i="3"/>
  <c r="AA134" i="3"/>
  <c r="AA135" i="3"/>
  <c r="AA136" i="3"/>
  <c r="AA124" i="3"/>
  <c r="AA127"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373" i="8"/>
  <c r="A374" i="8"/>
  <c r="B373" i="8"/>
  <c r="B374" i="8"/>
  <c r="D373" i="8"/>
  <c r="D374" i="8"/>
  <c r="E373" i="8"/>
  <c r="E374" i="8"/>
  <c r="A370" i="8"/>
  <c r="A371" i="8"/>
  <c r="A372" i="8"/>
  <c r="B370" i="8"/>
  <c r="B371" i="8"/>
  <c r="B372" i="8"/>
  <c r="D370" i="8"/>
  <c r="D371" i="8"/>
  <c r="D372" i="8"/>
  <c r="E370" i="8"/>
  <c r="E371" i="8"/>
  <c r="E372" i="8"/>
  <c r="A369" i="8"/>
  <c r="B369" i="8"/>
  <c r="D369" i="8"/>
  <c r="E369" i="8"/>
  <c r="A368" i="8" l="1"/>
  <c r="B368" i="8"/>
  <c r="D368" i="8"/>
  <c r="E368" i="8"/>
  <c r="E367" i="8" l="1"/>
  <c r="D367" i="8"/>
  <c r="B367" i="8"/>
  <c r="A367" i="8"/>
  <c r="E366" i="8"/>
  <c r="D366" i="8"/>
  <c r="B366" i="8"/>
  <c r="A366" i="8"/>
  <c r="E365" i="8"/>
  <c r="D365" i="8"/>
  <c r="B365" i="8"/>
  <c r="A365" i="8"/>
  <c r="E364" i="8"/>
  <c r="D364" i="8"/>
  <c r="B364" i="8"/>
  <c r="A364" i="8"/>
  <c r="Z4" i="3" l="1"/>
  <c r="Z5" i="3"/>
  <c r="Z6" i="3"/>
  <c r="Z7" i="3"/>
  <c r="Z8" i="3"/>
  <c r="Z9" i="3"/>
  <c r="Z10" i="3"/>
  <c r="Z11" i="3"/>
  <c r="Z12" i="3"/>
  <c r="Z13" i="3"/>
  <c r="Z14" i="3"/>
  <c r="Z15" i="3"/>
  <c r="Z16" i="3"/>
  <c r="Z17" i="3"/>
  <c r="Z18" i="3"/>
  <c r="Z19" i="3"/>
  <c r="Z21" i="3"/>
  <c r="Z22" i="3"/>
  <c r="Z23" i="3"/>
  <c r="Z24" i="3"/>
  <c r="Z25" i="3"/>
  <c r="Z26" i="3"/>
  <c r="Z20" i="3"/>
  <c r="Z27" i="3"/>
  <c r="Z28" i="3"/>
  <c r="Z29" i="3"/>
  <c r="Z30" i="3"/>
  <c r="Z31" i="3"/>
  <c r="Z32" i="3"/>
  <c r="Z33" i="3"/>
  <c r="Z34" i="3"/>
  <c r="Z35" i="3"/>
  <c r="Z36" i="3"/>
  <c r="Z37" i="3"/>
  <c r="Z38" i="3"/>
  <c r="Z39" i="3"/>
  <c r="Z40" i="3"/>
  <c r="Z41" i="3"/>
  <c r="Z42" i="3"/>
  <c r="Z168"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3" i="3"/>
  <c r="Z125" i="3"/>
  <c r="Z126" i="3"/>
  <c r="Z128" i="3"/>
  <c r="Z129" i="3"/>
  <c r="Z130" i="3"/>
  <c r="Z131" i="3"/>
  <c r="Z132" i="3"/>
  <c r="Z133" i="3"/>
  <c r="Z134" i="3"/>
  <c r="Z135" i="3"/>
  <c r="Z136" i="3"/>
  <c r="Z124" i="3"/>
  <c r="Z127"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9" i="3"/>
  <c r="Z170" i="3"/>
  <c r="Z171" i="3"/>
  <c r="Z172" i="3"/>
  <c r="Z173" i="3"/>
  <c r="Z174" i="3"/>
  <c r="Z175" i="3"/>
  <c r="Z176" i="3"/>
  <c r="Z177" i="3"/>
  <c r="Z178" i="3"/>
  <c r="Z179" i="3"/>
  <c r="Z180" i="3"/>
  <c r="Z181" i="3"/>
  <c r="Z182" i="3"/>
  <c r="E361" i="8"/>
  <c r="D361" i="8"/>
  <c r="B361" i="8"/>
  <c r="A361" i="8"/>
  <c r="E360" i="8"/>
  <c r="D360" i="8"/>
  <c r="B360" i="8"/>
  <c r="A360" i="8"/>
  <c r="E359" i="8"/>
  <c r="D359" i="8"/>
  <c r="B359" i="8"/>
  <c r="A359" i="8"/>
  <c r="E358" i="8"/>
  <c r="D358" i="8"/>
  <c r="B358" i="8"/>
  <c r="A358" i="8"/>
  <c r="AD4" i="3" l="1"/>
  <c r="AD5" i="3"/>
  <c r="AD6" i="3"/>
  <c r="AD7" i="3"/>
  <c r="AD8" i="3"/>
  <c r="AD9" i="3"/>
  <c r="AD10" i="3"/>
  <c r="AD11" i="3"/>
  <c r="AD12" i="3"/>
  <c r="AD13" i="3"/>
  <c r="AD14" i="3"/>
  <c r="AD15" i="3"/>
  <c r="AD16" i="3"/>
  <c r="AD17" i="3"/>
  <c r="AD18" i="3"/>
  <c r="AD19" i="3"/>
  <c r="AD21" i="3"/>
  <c r="AD22" i="3"/>
  <c r="AD23" i="3"/>
  <c r="AD24" i="3"/>
  <c r="AD25" i="3"/>
  <c r="AD26" i="3"/>
  <c r="AD20"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3" i="3"/>
  <c r="AD125" i="3"/>
  <c r="AD126" i="3"/>
  <c r="AD128" i="3"/>
  <c r="AD129" i="3"/>
  <c r="AD130" i="3"/>
  <c r="AD131" i="3"/>
  <c r="AD132" i="3"/>
  <c r="AD133" i="3"/>
  <c r="AD134" i="3"/>
  <c r="AD135" i="3"/>
  <c r="AD136" i="3"/>
  <c r="AD124" i="3"/>
  <c r="AD127" i="3"/>
  <c r="AD137" i="3"/>
  <c r="AD138" i="3"/>
  <c r="AD139" i="3"/>
  <c r="AD140" i="3"/>
  <c r="AD141" i="3"/>
  <c r="AD142" i="3"/>
  <c r="AD143" i="3"/>
  <c r="AD144" i="3"/>
  <c r="AD145" i="3"/>
  <c r="AD146" i="3"/>
  <c r="AD147" i="3"/>
  <c r="AD148" i="3"/>
  <c r="AD149" i="3"/>
  <c r="AD150" i="3"/>
  <c r="AD151"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207" i="8"/>
  <c r="A216" i="8" l="1"/>
  <c r="A217" i="8"/>
  <c r="B216" i="8"/>
  <c r="B217" i="8"/>
  <c r="D216" i="8"/>
  <c r="D217" i="8"/>
  <c r="E216" i="8"/>
  <c r="E217" i="8"/>
  <c r="A218" i="8"/>
  <c r="B218" i="8"/>
  <c r="D218" i="8"/>
  <c r="E218" i="8"/>
  <c r="A201" i="8" l="1"/>
  <c r="A202" i="8"/>
  <c r="A203" i="8"/>
  <c r="A204" i="8"/>
  <c r="B201" i="8"/>
  <c r="B202" i="8"/>
  <c r="B203" i="8"/>
  <c r="B204" i="8"/>
  <c r="D201" i="8"/>
  <c r="D202" i="8"/>
  <c r="D203" i="8"/>
  <c r="D204" i="8"/>
  <c r="E201" i="8"/>
  <c r="E202" i="8"/>
  <c r="E203" i="8"/>
  <c r="E204" i="8"/>
  <c r="A193" i="8"/>
  <c r="A194" i="8"/>
  <c r="A195" i="8"/>
  <c r="A196" i="8"/>
  <c r="A197" i="8"/>
  <c r="A198" i="8"/>
  <c r="A199" i="8"/>
  <c r="A200" i="8"/>
  <c r="B193" i="8"/>
  <c r="B194" i="8"/>
  <c r="B195" i="8"/>
  <c r="B196" i="8"/>
  <c r="B197" i="8"/>
  <c r="B198" i="8"/>
  <c r="B199" i="8"/>
  <c r="B200" i="8"/>
  <c r="D193" i="8"/>
  <c r="D194" i="8"/>
  <c r="D195" i="8"/>
  <c r="D196" i="8"/>
  <c r="D197" i="8"/>
  <c r="D198" i="8"/>
  <c r="D199" i="8"/>
  <c r="D200" i="8"/>
  <c r="E193" i="8"/>
  <c r="E194" i="8"/>
  <c r="E195" i="8"/>
  <c r="E196" i="8"/>
  <c r="E197" i="8"/>
  <c r="E198" i="8"/>
  <c r="E199" i="8"/>
  <c r="E200" i="8"/>
  <c r="A145" i="8" l="1"/>
  <c r="A146" i="8"/>
  <c r="A147" i="8"/>
  <c r="A148" i="8"/>
  <c r="A149" i="8"/>
  <c r="B145" i="8"/>
  <c r="B146" i="8"/>
  <c r="B147" i="8"/>
  <c r="B148" i="8"/>
  <c r="B149" i="8"/>
  <c r="D145" i="8"/>
  <c r="D146" i="8"/>
  <c r="D147" i="8"/>
  <c r="D148" i="8"/>
  <c r="D149" i="8"/>
  <c r="E145" i="8"/>
  <c r="E146" i="8"/>
  <c r="E147" i="8"/>
  <c r="E148" i="8"/>
  <c r="E149" i="8"/>
  <c r="A30" i="5" l="1"/>
  <c r="A40" i="5"/>
  <c r="L24" i="14" l="1"/>
  <c r="G6" i="14"/>
  <c r="L5" i="14"/>
  <c r="G5" i="14"/>
  <c r="L24" i="13"/>
  <c r="A40" i="13" s="1"/>
  <c r="G6" i="13"/>
  <c r="L5" i="13"/>
  <c r="G5" i="13"/>
  <c r="L29" i="12"/>
  <c r="G6" i="12"/>
  <c r="L5" i="12"/>
  <c r="A19" i="12" s="1"/>
  <c r="G5" i="12"/>
  <c r="L29" i="10"/>
  <c r="L5" i="10"/>
  <c r="A9" i="10" s="1"/>
  <c r="G6" i="10"/>
  <c r="G5" i="10"/>
  <c r="J4" i="3"/>
  <c r="I4" i="3"/>
  <c r="H4" i="3"/>
  <c r="G4" i="3"/>
  <c r="H27" i="15" l="1"/>
  <c r="H22" i="15"/>
  <c r="I22" i="15"/>
  <c r="I27" i="15"/>
  <c r="J27" i="15"/>
  <c r="J22" i="15"/>
  <c r="K22" i="15"/>
  <c r="K27" i="15"/>
  <c r="H25" i="15"/>
  <c r="H15" i="15"/>
  <c r="I25" i="15"/>
  <c r="I15" i="15"/>
  <c r="J25" i="15"/>
  <c r="J15" i="15"/>
  <c r="K25" i="15"/>
  <c r="K15" i="15"/>
  <c r="H20" i="15"/>
  <c r="H16" i="15"/>
  <c r="I20" i="15"/>
  <c r="I16" i="15"/>
  <c r="J20" i="15"/>
  <c r="J16" i="15"/>
  <c r="K20" i="15"/>
  <c r="K16" i="15"/>
  <c r="A47" i="14"/>
  <c r="A46" i="14"/>
  <c r="A48" i="14"/>
  <c r="A53" i="14"/>
  <c r="A45" i="14"/>
  <c r="A49" i="14"/>
  <c r="A52" i="14"/>
  <c r="A44" i="14"/>
  <c r="A51" i="14"/>
  <c r="A50" i="14"/>
  <c r="A9" i="14"/>
  <c r="G9" i="14" s="1"/>
  <c r="A19" i="14"/>
  <c r="A10" i="14"/>
  <c r="I10" i="14" s="1"/>
  <c r="A20" i="14"/>
  <c r="B20" i="14" s="1"/>
  <c r="A12" i="14"/>
  <c r="A22" i="14"/>
  <c r="A14" i="14"/>
  <c r="A11" i="14"/>
  <c r="A15" i="14"/>
  <c r="H15" i="14" s="1"/>
  <c r="A21" i="14"/>
  <c r="H21" i="14" s="1"/>
  <c r="A16" i="14"/>
  <c r="A17" i="14"/>
  <c r="D17" i="14" s="1"/>
  <c r="A37" i="10"/>
  <c r="I37" i="10" s="1"/>
  <c r="A36" i="10"/>
  <c r="A34" i="12"/>
  <c r="A44" i="12"/>
  <c r="H44" i="12" s="1"/>
  <c r="A36" i="12"/>
  <c r="J36" i="12" s="1"/>
  <c r="A43" i="12"/>
  <c r="K43" i="12" s="1"/>
  <c r="A42" i="12"/>
  <c r="A41" i="12"/>
  <c r="J41" i="12" s="1"/>
  <c r="A40" i="12"/>
  <c r="H40" i="12" s="1"/>
  <c r="A39" i="12"/>
  <c r="J39" i="12" s="1"/>
  <c r="A38" i="12"/>
  <c r="A37" i="12"/>
  <c r="H37" i="12" s="1"/>
  <c r="A37" i="14"/>
  <c r="J37" i="14" s="1"/>
  <c r="A41" i="14"/>
  <c r="J41" i="14" s="1"/>
  <c r="A39" i="14"/>
  <c r="I39" i="14" s="1"/>
  <c r="A43" i="14"/>
  <c r="D43" i="14" s="1"/>
  <c r="A27" i="14"/>
  <c r="I27" i="14" s="1"/>
  <c r="A31" i="14"/>
  <c r="F31" i="14" s="1"/>
  <c r="A36" i="14"/>
  <c r="K36" i="14" s="1"/>
  <c r="A38" i="14"/>
  <c r="A40" i="14"/>
  <c r="B40" i="14" s="1"/>
  <c r="A42" i="14"/>
  <c r="H42" i="14" s="1"/>
  <c r="A29" i="14"/>
  <c r="I29" i="14" s="1"/>
  <c r="A30" i="14"/>
  <c r="A35" i="14"/>
  <c r="B35" i="14" s="1"/>
  <c r="A33" i="14"/>
  <c r="K33" i="14" s="1"/>
  <c r="A26" i="14"/>
  <c r="A34" i="14"/>
  <c r="A28" i="14"/>
  <c r="G28" i="14" s="1"/>
  <c r="A32" i="14"/>
  <c r="D32" i="14" s="1"/>
  <c r="A17" i="13"/>
  <c r="H17" i="13" s="1"/>
  <c r="A19" i="13"/>
  <c r="A16" i="13"/>
  <c r="A20" i="13"/>
  <c r="A21" i="13"/>
  <c r="A22" i="13"/>
  <c r="A14" i="13"/>
  <c r="A15" i="13"/>
  <c r="A28" i="13"/>
  <c r="F28" i="13" s="1"/>
  <c r="A38" i="13"/>
  <c r="I38" i="13" s="1"/>
  <c r="A31" i="13"/>
  <c r="K31" i="13" s="1"/>
  <c r="A32" i="13"/>
  <c r="J32" i="13" s="1"/>
  <c r="A34" i="13"/>
  <c r="H34" i="13" s="1"/>
  <c r="A35" i="13"/>
  <c r="G35" i="13" s="1"/>
  <c r="A36" i="13"/>
  <c r="F36" i="13" s="1"/>
  <c r="A26" i="13"/>
  <c r="A37" i="13"/>
  <c r="H37" i="13" s="1"/>
  <c r="A27" i="13"/>
  <c r="D40" i="13"/>
  <c r="F40" i="13"/>
  <c r="G40" i="13"/>
  <c r="A10" i="13"/>
  <c r="A12" i="13"/>
  <c r="A33" i="13"/>
  <c r="J33" i="13" s="1"/>
  <c r="A29" i="13"/>
  <c r="D29" i="13" s="1"/>
  <c r="A39" i="13"/>
  <c r="G39" i="13" s="1"/>
  <c r="A9" i="13"/>
  <c r="A30" i="13"/>
  <c r="C30" i="13" s="1"/>
  <c r="A11" i="13"/>
  <c r="H40" i="13"/>
  <c r="K40" i="13"/>
  <c r="B40" i="13"/>
  <c r="C40" i="13"/>
  <c r="I40" i="13"/>
  <c r="J40" i="13"/>
  <c r="A35" i="12"/>
  <c r="A31" i="12"/>
  <c r="A32" i="12"/>
  <c r="A33" i="12"/>
  <c r="I33" i="12" s="1"/>
  <c r="A21" i="12"/>
  <c r="A22" i="12"/>
  <c r="A11" i="12"/>
  <c r="A12" i="12"/>
  <c r="A17" i="12"/>
  <c r="F17" i="12" s="1"/>
  <c r="A27" i="12"/>
  <c r="H27" i="12" s="1"/>
  <c r="A10" i="12"/>
  <c r="A20" i="12"/>
  <c r="A14" i="12"/>
  <c r="A24" i="12"/>
  <c r="E24" i="12" s="1"/>
  <c r="A15" i="12"/>
  <c r="A25" i="12"/>
  <c r="A16" i="12"/>
  <c r="A26" i="12"/>
  <c r="A9" i="12"/>
  <c r="E19" i="12"/>
  <c r="G19" i="12"/>
  <c r="H19" i="12"/>
  <c r="I19" i="12"/>
  <c r="B19" i="12"/>
  <c r="J19" i="12"/>
  <c r="C19" i="12"/>
  <c r="K19" i="12"/>
  <c r="D19" i="12"/>
  <c r="A10" i="10"/>
  <c r="A17" i="10"/>
  <c r="G17" i="10" s="1"/>
  <c r="A27" i="10"/>
  <c r="A19" i="10"/>
  <c r="K19" i="10" s="1"/>
  <c r="A11" i="10"/>
  <c r="A21" i="10"/>
  <c r="A22" i="10"/>
  <c r="A14" i="10"/>
  <c r="C14" i="10" s="1"/>
  <c r="A24" i="10"/>
  <c r="D24" i="10" s="1"/>
  <c r="A20" i="10"/>
  <c r="A12" i="10"/>
  <c r="B12" i="10" s="1"/>
  <c r="A15" i="10"/>
  <c r="A25" i="10"/>
  <c r="A16" i="10"/>
  <c r="A26" i="10"/>
  <c r="A31" i="10"/>
  <c r="A32" i="10"/>
  <c r="D32" i="10" s="1"/>
  <c r="A33" i="10"/>
  <c r="A34" i="10"/>
  <c r="D34" i="10" s="1"/>
  <c r="A35" i="10"/>
  <c r="C9" i="10"/>
  <c r="K9" i="10"/>
  <c r="D9" i="10"/>
  <c r="G9" i="10"/>
  <c r="H9" i="10"/>
  <c r="G25" i="10" l="1"/>
  <c r="J27" i="10"/>
  <c r="E27" i="10"/>
  <c r="D22" i="10"/>
  <c r="E22" i="10"/>
  <c r="C52" i="14"/>
  <c r="K52" i="14"/>
  <c r="B52" i="14"/>
  <c r="D52" i="14"/>
  <c r="J52" i="14"/>
  <c r="I52" i="14"/>
  <c r="G52" i="14"/>
  <c r="F52" i="14"/>
  <c r="H52" i="14"/>
  <c r="G49" i="14"/>
  <c r="F49" i="14"/>
  <c r="D49" i="14"/>
  <c r="H49" i="14"/>
  <c r="C49" i="14"/>
  <c r="J49" i="14"/>
  <c r="I49" i="14"/>
  <c r="K49" i="14"/>
  <c r="B49" i="14"/>
  <c r="K45" i="14"/>
  <c r="B45" i="14"/>
  <c r="J45" i="14"/>
  <c r="I45" i="14"/>
  <c r="F45" i="14"/>
  <c r="D45" i="14"/>
  <c r="H45" i="14"/>
  <c r="C45" i="14"/>
  <c r="G45" i="14"/>
  <c r="K53" i="14"/>
  <c r="B53" i="14"/>
  <c r="J53" i="14"/>
  <c r="I53" i="14"/>
  <c r="H53" i="14"/>
  <c r="G53" i="14"/>
  <c r="F53" i="14"/>
  <c r="D53" i="14"/>
  <c r="C53" i="14"/>
  <c r="C44" i="14"/>
  <c r="K44" i="14"/>
  <c r="B44" i="14"/>
  <c r="J44" i="14"/>
  <c r="D44" i="14"/>
  <c r="I44" i="14"/>
  <c r="G44" i="14"/>
  <c r="F44" i="14"/>
  <c r="H44" i="14"/>
  <c r="H48" i="14"/>
  <c r="G48" i="14"/>
  <c r="F48" i="14"/>
  <c r="K48" i="14"/>
  <c r="D48" i="14"/>
  <c r="I48" i="14"/>
  <c r="C48" i="14"/>
  <c r="B48" i="14"/>
  <c r="J48" i="14"/>
  <c r="F50" i="14"/>
  <c r="D50" i="14"/>
  <c r="C50" i="14"/>
  <c r="K50" i="14"/>
  <c r="B50" i="14"/>
  <c r="G50" i="14"/>
  <c r="J50" i="14"/>
  <c r="I50" i="14"/>
  <c r="H50" i="14"/>
  <c r="J46" i="14"/>
  <c r="I46" i="14"/>
  <c r="H46" i="14"/>
  <c r="K46" i="14"/>
  <c r="G46" i="14"/>
  <c r="F46" i="14"/>
  <c r="D46" i="14"/>
  <c r="C46" i="14"/>
  <c r="B46" i="14"/>
  <c r="D51" i="14"/>
  <c r="C51" i="14"/>
  <c r="K51" i="14"/>
  <c r="B51" i="14"/>
  <c r="H51" i="14"/>
  <c r="G51" i="14"/>
  <c r="J51" i="14"/>
  <c r="I51" i="14"/>
  <c r="F51" i="14"/>
  <c r="I47" i="14"/>
  <c r="H47" i="14"/>
  <c r="J47" i="14"/>
  <c r="G47" i="14"/>
  <c r="K47" i="14"/>
  <c r="F47" i="14"/>
  <c r="C47" i="14"/>
  <c r="B47" i="14"/>
  <c r="D47" i="14"/>
  <c r="C37" i="10"/>
  <c r="K37" i="10"/>
  <c r="H37" i="10"/>
  <c r="B37" i="10"/>
  <c r="G37" i="10"/>
  <c r="J37" i="10"/>
  <c r="D37" i="10"/>
  <c r="F37" i="10"/>
  <c r="I36" i="10"/>
  <c r="H36" i="10"/>
  <c r="G36" i="10"/>
  <c r="F36" i="10"/>
  <c r="C36" i="10"/>
  <c r="K36" i="10"/>
  <c r="J36" i="10"/>
  <c r="D36" i="10"/>
  <c r="B36" i="10"/>
  <c r="D39" i="14"/>
  <c r="K40" i="12"/>
  <c r="K44" i="12"/>
  <c r="J37" i="12"/>
  <c r="J44" i="12"/>
  <c r="B40" i="12"/>
  <c r="F40" i="12"/>
  <c r="D40" i="12"/>
  <c r="G40" i="12"/>
  <c r="C40" i="12"/>
  <c r="I40" i="12"/>
  <c r="K36" i="12"/>
  <c r="D39" i="12"/>
  <c r="B39" i="12"/>
  <c r="G39" i="12"/>
  <c r="F39" i="12"/>
  <c r="C39" i="12"/>
  <c r="I39" i="12"/>
  <c r="F41" i="12"/>
  <c r="D41" i="12"/>
  <c r="B41" i="12"/>
  <c r="C41" i="12"/>
  <c r="G41" i="12"/>
  <c r="I41" i="12"/>
  <c r="K37" i="12"/>
  <c r="K39" i="12"/>
  <c r="F42" i="12"/>
  <c r="D42" i="12"/>
  <c r="B42" i="12"/>
  <c r="G42" i="12"/>
  <c r="C42" i="12"/>
  <c r="I42" i="12"/>
  <c r="C43" i="12"/>
  <c r="D43" i="12"/>
  <c r="B43" i="12"/>
  <c r="G43" i="12"/>
  <c r="F43" i="12"/>
  <c r="I43" i="12"/>
  <c r="G36" i="12"/>
  <c r="C36" i="12"/>
  <c r="F36" i="12"/>
  <c r="B36" i="12"/>
  <c r="D36" i="12"/>
  <c r="I36" i="12"/>
  <c r="K42" i="12"/>
  <c r="K41" i="12"/>
  <c r="J43" i="12"/>
  <c r="F37" i="12"/>
  <c r="C37" i="12"/>
  <c r="G37" i="12"/>
  <c r="D37" i="12"/>
  <c r="B37" i="12"/>
  <c r="I37" i="12"/>
  <c r="G44" i="12"/>
  <c r="F44" i="12"/>
  <c r="D44" i="12"/>
  <c r="C44" i="12"/>
  <c r="B44" i="12"/>
  <c r="I44" i="12"/>
  <c r="J40" i="12"/>
  <c r="H42" i="12"/>
  <c r="H36" i="12"/>
  <c r="J42" i="12"/>
  <c r="D38" i="12"/>
  <c r="C38" i="12"/>
  <c r="B38" i="12"/>
  <c r="G38" i="12"/>
  <c r="F38" i="12"/>
  <c r="K38" i="12"/>
  <c r="J38" i="12"/>
  <c r="H38" i="12"/>
  <c r="I38" i="12"/>
  <c r="H39" i="12"/>
  <c r="H43" i="12"/>
  <c r="H41" i="12"/>
  <c r="H33" i="13"/>
  <c r="J39" i="14"/>
  <c r="I43" i="14"/>
  <c r="C27" i="14"/>
  <c r="B35" i="13"/>
  <c r="B27" i="14"/>
  <c r="G32" i="14"/>
  <c r="J31" i="14"/>
  <c r="H31" i="14"/>
  <c r="G31" i="14"/>
  <c r="D31" i="14"/>
  <c r="J27" i="14"/>
  <c r="H43" i="14"/>
  <c r="G31" i="13"/>
  <c r="H31" i="13"/>
  <c r="J43" i="14"/>
  <c r="H32" i="14"/>
  <c r="K27" i="14"/>
  <c r="D27" i="14"/>
  <c r="H27" i="14"/>
  <c r="G27" i="14"/>
  <c r="H39" i="14"/>
  <c r="K42" i="14"/>
  <c r="F39" i="14"/>
  <c r="I40" i="14"/>
  <c r="G40" i="14"/>
  <c r="B39" i="14"/>
  <c r="D37" i="14"/>
  <c r="K31" i="14"/>
  <c r="B31" i="14"/>
  <c r="I31" i="14"/>
  <c r="H40" i="14"/>
  <c r="C40" i="14"/>
  <c r="J35" i="14"/>
  <c r="H35" i="14"/>
  <c r="J40" i="14"/>
  <c r="K40" i="14"/>
  <c r="F40" i="14"/>
  <c r="G29" i="14"/>
  <c r="F29" i="14"/>
  <c r="B36" i="14"/>
  <c r="D41" i="14"/>
  <c r="F36" i="14"/>
  <c r="I28" i="14"/>
  <c r="C36" i="14"/>
  <c r="H36" i="14"/>
  <c r="J36" i="14"/>
  <c r="G36" i="14"/>
  <c r="D36" i="14"/>
  <c r="I36" i="14"/>
  <c r="B42" i="14"/>
  <c r="J42" i="14"/>
  <c r="D38" i="14"/>
  <c r="I38" i="14"/>
  <c r="G38" i="14"/>
  <c r="F38" i="14"/>
  <c r="C38" i="14"/>
  <c r="J28" i="14"/>
  <c r="D29" i="14"/>
  <c r="F43" i="14"/>
  <c r="B43" i="14"/>
  <c r="K38" i="14"/>
  <c r="B38" i="14"/>
  <c r="D40" i="14"/>
  <c r="K43" i="14"/>
  <c r="G43" i="14"/>
  <c r="C43" i="14"/>
  <c r="K39" i="14"/>
  <c r="G39" i="14"/>
  <c r="C39" i="14"/>
  <c r="J38" i="14"/>
  <c r="H38" i="14"/>
  <c r="D42" i="14"/>
  <c r="I42" i="14"/>
  <c r="G42" i="14"/>
  <c r="F42" i="14"/>
  <c r="C42" i="14"/>
  <c r="G41" i="14"/>
  <c r="K41" i="14"/>
  <c r="I41" i="14"/>
  <c r="H41" i="14"/>
  <c r="F41" i="14"/>
  <c r="C41" i="14"/>
  <c r="B41" i="14"/>
  <c r="G37" i="14"/>
  <c r="K37" i="14"/>
  <c r="I37" i="14"/>
  <c r="H37" i="14"/>
  <c r="F37" i="14"/>
  <c r="C37" i="14"/>
  <c r="B37" i="14"/>
  <c r="J29" i="14"/>
  <c r="B28" i="14"/>
  <c r="H29" i="14"/>
  <c r="K29" i="14"/>
  <c r="D33" i="13"/>
  <c r="J32" i="14"/>
  <c r="G35" i="14"/>
  <c r="B32" i="14"/>
  <c r="I35" i="14"/>
  <c r="K35" i="14"/>
  <c r="I32" i="14"/>
  <c r="H28" i="14"/>
  <c r="G17" i="14"/>
  <c r="B17" i="14"/>
  <c r="I17" i="14"/>
  <c r="H17" i="14"/>
  <c r="J17" i="14"/>
  <c r="F33" i="14"/>
  <c r="J33" i="14"/>
  <c r="H33" i="14"/>
  <c r="I33" i="14"/>
  <c r="F32" i="14"/>
  <c r="D21" i="14"/>
  <c r="F21" i="14"/>
  <c r="B21" i="14"/>
  <c r="K15" i="14"/>
  <c r="J21" i="14"/>
  <c r="G21" i="14"/>
  <c r="I21" i="14"/>
  <c r="C21" i="14"/>
  <c r="K21" i="14"/>
  <c r="G15" i="14"/>
  <c r="J15" i="14"/>
  <c r="F15" i="14"/>
  <c r="H20" i="14"/>
  <c r="B15" i="14"/>
  <c r="D15" i="14"/>
  <c r="D20" i="14"/>
  <c r="J20" i="14"/>
  <c r="I20" i="14"/>
  <c r="D9" i="14"/>
  <c r="K9" i="14"/>
  <c r="J9" i="14"/>
  <c r="I9" i="14"/>
  <c r="B9" i="14"/>
  <c r="H9" i="14"/>
  <c r="D33" i="14"/>
  <c r="F17" i="14"/>
  <c r="C29" i="14"/>
  <c r="C15" i="14"/>
  <c r="B29" i="14"/>
  <c r="F10" i="14"/>
  <c r="F28" i="14"/>
  <c r="D28" i="14"/>
  <c r="F27" i="14"/>
  <c r="C31" i="14"/>
  <c r="K17" i="14"/>
  <c r="G33" i="14"/>
  <c r="C33" i="14"/>
  <c r="I15" i="14"/>
  <c r="B33" i="14"/>
  <c r="D35" i="14"/>
  <c r="F35" i="14"/>
  <c r="C35" i="14"/>
  <c r="F9" i="14"/>
  <c r="H10" i="14"/>
  <c r="C9" i="14"/>
  <c r="G10" i="14"/>
  <c r="C20" i="14"/>
  <c r="C17" i="14"/>
  <c r="B10" i="14"/>
  <c r="K20" i="14"/>
  <c r="J10" i="14"/>
  <c r="E9" i="14"/>
  <c r="E10" i="14" s="1"/>
  <c r="E11" i="14" s="1"/>
  <c r="E12" i="14" s="1"/>
  <c r="G20" i="14"/>
  <c r="F20" i="14"/>
  <c r="K32" i="14"/>
  <c r="C32" i="14"/>
  <c r="K28" i="14"/>
  <c r="C28" i="14"/>
  <c r="D10" i="14"/>
  <c r="K10" i="14"/>
  <c r="C10" i="14"/>
  <c r="I28" i="13"/>
  <c r="I11" i="14"/>
  <c r="H11" i="14"/>
  <c r="G11" i="14"/>
  <c r="F11" i="14"/>
  <c r="B11" i="14"/>
  <c r="D11" i="14"/>
  <c r="J11" i="14"/>
  <c r="K11" i="14"/>
  <c r="C11" i="14"/>
  <c r="D16" i="14"/>
  <c r="K16" i="14"/>
  <c r="C16" i="14"/>
  <c r="J16" i="14"/>
  <c r="B16" i="14"/>
  <c r="I16" i="14"/>
  <c r="F16" i="14"/>
  <c r="H16" i="14"/>
  <c r="G16" i="14"/>
  <c r="G30" i="14"/>
  <c r="F30" i="14"/>
  <c r="D30" i="14"/>
  <c r="C30" i="14"/>
  <c r="K30" i="14"/>
  <c r="B30" i="14"/>
  <c r="J30" i="14"/>
  <c r="I30" i="14"/>
  <c r="H30" i="14"/>
  <c r="F22" i="14"/>
  <c r="D22" i="14"/>
  <c r="K22" i="14"/>
  <c r="C22" i="14"/>
  <c r="J22" i="14"/>
  <c r="B22" i="14"/>
  <c r="I22" i="14"/>
  <c r="H22" i="14"/>
  <c r="G22" i="14"/>
  <c r="K28" i="13"/>
  <c r="K14" i="14"/>
  <c r="C14" i="14"/>
  <c r="J14" i="14"/>
  <c r="B14" i="14"/>
  <c r="I14" i="14"/>
  <c r="H14" i="14"/>
  <c r="G14" i="14"/>
  <c r="D14" i="14"/>
  <c r="F14" i="14"/>
  <c r="E14" i="14"/>
  <c r="E15" i="14" s="1"/>
  <c r="E16" i="14" s="1"/>
  <c r="E17" i="14" s="1"/>
  <c r="G34" i="14"/>
  <c r="F34" i="14"/>
  <c r="D34" i="14"/>
  <c r="C34" i="14"/>
  <c r="K34" i="14"/>
  <c r="B34" i="14"/>
  <c r="J34" i="14"/>
  <c r="I34" i="14"/>
  <c r="H34" i="14"/>
  <c r="G26" i="14"/>
  <c r="F26" i="14"/>
  <c r="D26" i="14"/>
  <c r="C26" i="14"/>
  <c r="K26" i="14"/>
  <c r="B26" i="14"/>
  <c r="J26" i="14"/>
  <c r="I26" i="14"/>
  <c r="H26" i="14"/>
  <c r="G19" i="14"/>
  <c r="F19" i="14"/>
  <c r="E19" i="14"/>
  <c r="E20" i="14" s="1"/>
  <c r="E21" i="14" s="1"/>
  <c r="E22" i="14" s="1"/>
  <c r="D19" i="14"/>
  <c r="K19" i="14"/>
  <c r="C19" i="14"/>
  <c r="J19" i="14"/>
  <c r="B19" i="14"/>
  <c r="I19" i="14"/>
  <c r="H19" i="14"/>
  <c r="F12" i="14"/>
  <c r="D12" i="14"/>
  <c r="K12" i="14"/>
  <c r="C12" i="14"/>
  <c r="J12" i="14"/>
  <c r="B12" i="14"/>
  <c r="G12" i="14"/>
  <c r="I12" i="14"/>
  <c r="H12" i="14"/>
  <c r="I31" i="13"/>
  <c r="J31" i="13"/>
  <c r="F31" i="13"/>
  <c r="J35" i="13"/>
  <c r="C35" i="13"/>
  <c r="D9" i="12"/>
  <c r="E9" i="12"/>
  <c r="E10" i="12" s="1"/>
  <c r="E11" i="12" s="1"/>
  <c r="E12" i="12" s="1"/>
  <c r="D31" i="13"/>
  <c r="B31" i="13"/>
  <c r="C31" i="13"/>
  <c r="G34" i="13"/>
  <c r="B37" i="13"/>
  <c r="F38" i="13"/>
  <c r="H28" i="13"/>
  <c r="B34" i="13"/>
  <c r="D34" i="13"/>
  <c r="F37" i="13"/>
  <c r="I35" i="13"/>
  <c r="G32" i="13"/>
  <c r="C32" i="13"/>
  <c r="B32" i="13"/>
  <c r="F32" i="13"/>
  <c r="I32" i="13"/>
  <c r="H32" i="13"/>
  <c r="K39" i="13"/>
  <c r="D28" i="13"/>
  <c r="G37" i="13"/>
  <c r="J37" i="13"/>
  <c r="C37" i="13"/>
  <c r="J28" i="13"/>
  <c r="G28" i="13"/>
  <c r="B28" i="13"/>
  <c r="C28" i="13"/>
  <c r="H38" i="13"/>
  <c r="J30" i="13"/>
  <c r="I36" i="13"/>
  <c r="C33" i="13"/>
  <c r="D30" i="13"/>
  <c r="B30" i="13"/>
  <c r="K38" i="13"/>
  <c r="H30" i="13"/>
  <c r="B38" i="13"/>
  <c r="F30" i="13"/>
  <c r="J29" i="13"/>
  <c r="J34" i="13"/>
  <c r="D38" i="13"/>
  <c r="F34" i="13"/>
  <c r="K30" i="13"/>
  <c r="J38" i="13"/>
  <c r="G30" i="13"/>
  <c r="C34" i="13"/>
  <c r="I34" i="13"/>
  <c r="I30" i="13"/>
  <c r="G38" i="13"/>
  <c r="J39" i="13"/>
  <c r="K34" i="13"/>
  <c r="C38" i="13"/>
  <c r="D36" i="13"/>
  <c r="K35" i="13"/>
  <c r="H36" i="13"/>
  <c r="H35" i="13"/>
  <c r="B36" i="13"/>
  <c r="F35" i="13"/>
  <c r="G36" i="13"/>
  <c r="C36" i="13"/>
  <c r="K36" i="13"/>
  <c r="D35" i="13"/>
  <c r="J36" i="13"/>
  <c r="H29" i="13"/>
  <c r="B29" i="13"/>
  <c r="G33" i="13"/>
  <c r="F29" i="13"/>
  <c r="C29" i="13"/>
  <c r="I29" i="13"/>
  <c r="D32" i="13"/>
  <c r="G29" i="13"/>
  <c r="K29" i="13"/>
  <c r="K32" i="13"/>
  <c r="I39" i="13"/>
  <c r="K37" i="13"/>
  <c r="I37" i="13"/>
  <c r="D37" i="13"/>
  <c r="C39" i="13"/>
  <c r="D39" i="13"/>
  <c r="H39" i="13"/>
  <c r="I33" i="13"/>
  <c r="K33" i="13"/>
  <c r="F33" i="13"/>
  <c r="B33" i="13"/>
  <c r="F39" i="13"/>
  <c r="B39" i="13"/>
  <c r="J17" i="13"/>
  <c r="K17" i="13"/>
  <c r="B17" i="13"/>
  <c r="G17" i="13"/>
  <c r="C17" i="13"/>
  <c r="I17" i="13"/>
  <c r="D17" i="13"/>
  <c r="F17" i="13"/>
  <c r="J20" i="13"/>
  <c r="B20" i="13"/>
  <c r="C20" i="13"/>
  <c r="I20" i="13"/>
  <c r="H20" i="13"/>
  <c r="G20" i="13"/>
  <c r="D20" i="13"/>
  <c r="F20" i="13"/>
  <c r="K20" i="13"/>
  <c r="D26" i="13"/>
  <c r="F26" i="13"/>
  <c r="C26" i="13"/>
  <c r="G26" i="13"/>
  <c r="K26" i="13"/>
  <c r="B26" i="13"/>
  <c r="J26" i="13"/>
  <c r="I26" i="13"/>
  <c r="H26" i="13"/>
  <c r="I14" i="13"/>
  <c r="K14" i="13"/>
  <c r="H14" i="13"/>
  <c r="G14" i="13"/>
  <c r="F14" i="13"/>
  <c r="J14" i="13"/>
  <c r="B14" i="13"/>
  <c r="E14" i="13"/>
  <c r="E15" i="13" s="1"/>
  <c r="E16" i="13" s="1"/>
  <c r="E17" i="13" s="1"/>
  <c r="D14" i="13"/>
  <c r="C14" i="13"/>
  <c r="E19" i="13"/>
  <c r="E20" i="13" s="1"/>
  <c r="E21" i="13" s="1"/>
  <c r="E22" i="13" s="1"/>
  <c r="F19" i="13"/>
  <c r="D19" i="13"/>
  <c r="K19" i="13"/>
  <c r="C19" i="13"/>
  <c r="J19" i="13"/>
  <c r="B19" i="13"/>
  <c r="I19" i="13"/>
  <c r="H19" i="13"/>
  <c r="G19" i="13"/>
  <c r="G11" i="13"/>
  <c r="F11" i="13"/>
  <c r="I11" i="13"/>
  <c r="D11" i="13"/>
  <c r="H11" i="13"/>
  <c r="K11" i="13"/>
  <c r="C11" i="13"/>
  <c r="J11" i="13"/>
  <c r="B11" i="13"/>
  <c r="D22" i="13"/>
  <c r="K22" i="13"/>
  <c r="C22" i="13"/>
  <c r="J22" i="13"/>
  <c r="B22" i="13"/>
  <c r="I22" i="13"/>
  <c r="H22" i="13"/>
  <c r="G22" i="13"/>
  <c r="F22" i="13"/>
  <c r="J10" i="13"/>
  <c r="B10" i="13"/>
  <c r="I10" i="13"/>
  <c r="H10" i="13"/>
  <c r="G10" i="13"/>
  <c r="D10" i="13"/>
  <c r="C10" i="13"/>
  <c r="F10" i="13"/>
  <c r="K10" i="13"/>
  <c r="K27" i="13"/>
  <c r="B27" i="13"/>
  <c r="C27" i="13"/>
  <c r="J27" i="13"/>
  <c r="I27" i="13"/>
  <c r="H27" i="13"/>
  <c r="G27" i="13"/>
  <c r="F27" i="13"/>
  <c r="D27" i="13"/>
  <c r="E9" i="13"/>
  <c r="E10" i="13" s="1"/>
  <c r="E11" i="13" s="1"/>
  <c r="E12" i="13" s="1"/>
  <c r="D9" i="13"/>
  <c r="F9" i="13"/>
  <c r="K9" i="13"/>
  <c r="C9" i="13"/>
  <c r="J9" i="13"/>
  <c r="B9" i="13"/>
  <c r="I9" i="13"/>
  <c r="H9" i="13"/>
  <c r="G9" i="13"/>
  <c r="F15" i="13"/>
  <c r="D15" i="13"/>
  <c r="K15" i="13"/>
  <c r="C15" i="13"/>
  <c r="J15" i="13"/>
  <c r="B15" i="13"/>
  <c r="H15" i="13"/>
  <c r="G15" i="13"/>
  <c r="I15" i="13"/>
  <c r="G21" i="13"/>
  <c r="H21" i="13"/>
  <c r="F21" i="13"/>
  <c r="D21" i="13"/>
  <c r="I21" i="13"/>
  <c r="K21" i="13"/>
  <c r="C21" i="13"/>
  <c r="J21" i="13"/>
  <c r="B21" i="13"/>
  <c r="K16" i="13"/>
  <c r="C16" i="13"/>
  <c r="J16" i="13"/>
  <c r="B16" i="13"/>
  <c r="I16" i="13"/>
  <c r="H16" i="13"/>
  <c r="D16" i="13"/>
  <c r="G16" i="13"/>
  <c r="F16" i="13"/>
  <c r="D12" i="13"/>
  <c r="K12" i="13"/>
  <c r="C12" i="13"/>
  <c r="J12" i="13"/>
  <c r="B12" i="13"/>
  <c r="I12" i="13"/>
  <c r="F12" i="13"/>
  <c r="H12" i="13"/>
  <c r="G12" i="13"/>
  <c r="J33" i="12"/>
  <c r="C27" i="12"/>
  <c r="B24" i="12"/>
  <c r="D27" i="12"/>
  <c r="F24" i="12"/>
  <c r="H17" i="12"/>
  <c r="G9" i="12"/>
  <c r="G24" i="12"/>
  <c r="J24" i="12"/>
  <c r="C24" i="12"/>
  <c r="H24" i="12"/>
  <c r="K24" i="12"/>
  <c r="I24" i="12"/>
  <c r="D24" i="12"/>
  <c r="D33" i="12"/>
  <c r="B33" i="12"/>
  <c r="K33" i="12"/>
  <c r="H33" i="12"/>
  <c r="G33" i="12"/>
  <c r="F33" i="12"/>
  <c r="C33" i="12"/>
  <c r="G27" i="12"/>
  <c r="F27" i="12"/>
  <c r="J27" i="12"/>
  <c r="K27" i="12"/>
  <c r="B27" i="12"/>
  <c r="I27" i="12"/>
  <c r="D17" i="12"/>
  <c r="K9" i="12"/>
  <c r="C9" i="12"/>
  <c r="I9" i="12"/>
  <c r="K17" i="12"/>
  <c r="I17" i="12"/>
  <c r="C17" i="12"/>
  <c r="J9" i="12"/>
  <c r="J17" i="12"/>
  <c r="G17" i="12"/>
  <c r="B9" i="12"/>
  <c r="H9" i="12"/>
  <c r="B17" i="12"/>
  <c r="F19" i="12"/>
  <c r="F9" i="12"/>
  <c r="K26" i="12"/>
  <c r="C26" i="12"/>
  <c r="J26" i="12"/>
  <c r="B26" i="12"/>
  <c r="I26" i="12"/>
  <c r="H26" i="12"/>
  <c r="G26" i="12"/>
  <c r="F26" i="12"/>
  <c r="D26" i="12"/>
  <c r="G34" i="12"/>
  <c r="F34" i="12"/>
  <c r="D34" i="12"/>
  <c r="C34" i="12"/>
  <c r="K34" i="12"/>
  <c r="B34" i="12"/>
  <c r="J34" i="12"/>
  <c r="I34" i="12"/>
  <c r="H34" i="12"/>
  <c r="F15" i="12"/>
  <c r="D15" i="12"/>
  <c r="K15" i="12"/>
  <c r="C15" i="12"/>
  <c r="G15" i="12"/>
  <c r="J15" i="12"/>
  <c r="B15" i="12"/>
  <c r="I15" i="12"/>
  <c r="H15" i="12"/>
  <c r="D31" i="12"/>
  <c r="C31" i="12"/>
  <c r="K31" i="12"/>
  <c r="B31" i="12"/>
  <c r="J31" i="12"/>
  <c r="I31" i="12"/>
  <c r="F31" i="12"/>
  <c r="H31" i="12"/>
  <c r="G31" i="12"/>
  <c r="J10" i="12"/>
  <c r="B10" i="12"/>
  <c r="K10" i="12"/>
  <c r="I10" i="12"/>
  <c r="H10" i="12"/>
  <c r="G10" i="12"/>
  <c r="C10" i="12"/>
  <c r="F10" i="12"/>
  <c r="D10" i="12"/>
  <c r="G11" i="12"/>
  <c r="F11" i="12"/>
  <c r="D11" i="12"/>
  <c r="H11" i="12"/>
  <c r="K11" i="12"/>
  <c r="C11" i="12"/>
  <c r="J11" i="12"/>
  <c r="B11" i="12"/>
  <c r="I11" i="12"/>
  <c r="I14" i="12"/>
  <c r="B14" i="12"/>
  <c r="H14" i="12"/>
  <c r="G14" i="12"/>
  <c r="F14" i="12"/>
  <c r="J14" i="12"/>
  <c r="E14" i="12"/>
  <c r="E15" i="12" s="1"/>
  <c r="E16" i="12" s="1"/>
  <c r="E17" i="12" s="1"/>
  <c r="D14" i="12"/>
  <c r="K14" i="12"/>
  <c r="C14" i="12"/>
  <c r="D22" i="12"/>
  <c r="K22" i="12"/>
  <c r="C22" i="12"/>
  <c r="J22" i="12"/>
  <c r="B22" i="12"/>
  <c r="I22" i="12"/>
  <c r="H22" i="12"/>
  <c r="G22" i="12"/>
  <c r="F22" i="12"/>
  <c r="D35" i="12"/>
  <c r="F35" i="12"/>
  <c r="C35" i="12"/>
  <c r="K35" i="12"/>
  <c r="B35" i="12"/>
  <c r="J35" i="12"/>
  <c r="I35" i="12"/>
  <c r="H35" i="12"/>
  <c r="G35" i="12"/>
  <c r="K16" i="12"/>
  <c r="C16" i="12"/>
  <c r="D16" i="12"/>
  <c r="J16" i="12"/>
  <c r="B16" i="12"/>
  <c r="I16" i="12"/>
  <c r="H16" i="12"/>
  <c r="G16" i="12"/>
  <c r="F16" i="12"/>
  <c r="F25" i="12"/>
  <c r="G25" i="12"/>
  <c r="E25" i="12"/>
  <c r="E26" i="12" s="1"/>
  <c r="E27" i="12" s="1"/>
  <c r="D25" i="12"/>
  <c r="K25" i="12"/>
  <c r="C25" i="12"/>
  <c r="J25" i="12"/>
  <c r="B25" i="12"/>
  <c r="I25" i="12"/>
  <c r="H25" i="12"/>
  <c r="K32" i="12"/>
  <c r="B32" i="12"/>
  <c r="J32" i="12"/>
  <c r="I32" i="12"/>
  <c r="H32" i="12"/>
  <c r="C32" i="12"/>
  <c r="G32" i="12"/>
  <c r="F32" i="12"/>
  <c r="D32" i="12"/>
  <c r="J20" i="12"/>
  <c r="B20" i="12"/>
  <c r="I20" i="12"/>
  <c r="H20" i="12"/>
  <c r="G20" i="12"/>
  <c r="C20" i="12"/>
  <c r="F20" i="12"/>
  <c r="E20" i="12"/>
  <c r="E21" i="12" s="1"/>
  <c r="E22" i="12" s="1"/>
  <c r="D20" i="12"/>
  <c r="K20" i="12"/>
  <c r="D12" i="12"/>
  <c r="K12" i="12"/>
  <c r="C12" i="12"/>
  <c r="J12" i="12"/>
  <c r="B12" i="12"/>
  <c r="I12" i="12"/>
  <c r="H12" i="12"/>
  <c r="G12" i="12"/>
  <c r="F12" i="12"/>
  <c r="G21" i="12"/>
  <c r="F21" i="12"/>
  <c r="H21" i="12"/>
  <c r="D21" i="12"/>
  <c r="K21" i="12"/>
  <c r="C21" i="12"/>
  <c r="J21" i="12"/>
  <c r="B21" i="12"/>
  <c r="I21" i="12"/>
  <c r="G34" i="10"/>
  <c r="J34" i="10"/>
  <c r="C34" i="10"/>
  <c r="H34" i="10"/>
  <c r="B34" i="10"/>
  <c r="G27" i="10"/>
  <c r="K34" i="10"/>
  <c r="B27" i="10"/>
  <c r="C27" i="10"/>
  <c r="I27" i="10"/>
  <c r="F27" i="10"/>
  <c r="H25" i="10"/>
  <c r="I25" i="10"/>
  <c r="J25" i="10"/>
  <c r="F25" i="10"/>
  <c r="D25" i="10"/>
  <c r="K27" i="10"/>
  <c r="B25" i="10"/>
  <c r="C17" i="10"/>
  <c r="J17" i="10"/>
  <c r="D12" i="10"/>
  <c r="I17" i="10"/>
  <c r="F17" i="10"/>
  <c r="K25" i="10"/>
  <c r="G19" i="10"/>
  <c r="C25" i="10"/>
  <c r="K17" i="10"/>
  <c r="J22" i="10"/>
  <c r="B17" i="10"/>
  <c r="B24" i="10"/>
  <c r="K24" i="10"/>
  <c r="J14" i="10"/>
  <c r="E14" i="10"/>
  <c r="E15" i="10" s="1"/>
  <c r="E16" i="10" s="1"/>
  <c r="E17" i="10" s="1"/>
  <c r="G32" i="10"/>
  <c r="K32" i="10"/>
  <c r="C32" i="10"/>
  <c r="B32" i="10"/>
  <c r="F32" i="10"/>
  <c r="J32" i="10"/>
  <c r="H32" i="10"/>
  <c r="I34" i="10"/>
  <c r="H19" i="10"/>
  <c r="C19" i="10"/>
  <c r="F34" i="10"/>
  <c r="I32" i="10"/>
  <c r="K14" i="10"/>
  <c r="D19" i="10"/>
  <c r="G24" i="10"/>
  <c r="E24" i="10"/>
  <c r="E25" i="10" s="1"/>
  <c r="E26" i="10" s="1"/>
  <c r="D14" i="10"/>
  <c r="C22" i="10"/>
  <c r="I22" i="10"/>
  <c r="K22" i="10"/>
  <c r="H24" i="10"/>
  <c r="G14" i="10"/>
  <c r="F22" i="10"/>
  <c r="J24" i="10"/>
  <c r="H14" i="10"/>
  <c r="G22" i="10"/>
  <c r="C24" i="10"/>
  <c r="B14" i="10"/>
  <c r="H22" i="10"/>
  <c r="B22" i="10"/>
  <c r="I19" i="10"/>
  <c r="J19" i="10"/>
  <c r="E19" i="10"/>
  <c r="E20" i="10" s="1"/>
  <c r="E21" i="10" s="1"/>
  <c r="F19" i="10"/>
  <c r="B19" i="10"/>
  <c r="J12" i="10"/>
  <c r="F24" i="10"/>
  <c r="I24" i="10"/>
  <c r="C12" i="10"/>
  <c r="D17" i="10"/>
  <c r="H17" i="10"/>
  <c r="K12" i="10"/>
  <c r="F12" i="10"/>
  <c r="I9" i="10"/>
  <c r="F9" i="10"/>
  <c r="E9" i="10"/>
  <c r="E10" i="10" s="1"/>
  <c r="E11" i="10" s="1"/>
  <c r="E12" i="10" s="1"/>
  <c r="B9" i="10"/>
  <c r="J9" i="10"/>
  <c r="G12" i="10"/>
  <c r="D27" i="10"/>
  <c r="H27" i="10"/>
  <c r="I12" i="10"/>
  <c r="H12" i="10"/>
  <c r="I14" i="10"/>
  <c r="F14" i="10"/>
  <c r="F10" i="10"/>
  <c r="D10" i="10"/>
  <c r="K10" i="10"/>
  <c r="C10" i="10"/>
  <c r="I10" i="10"/>
  <c r="H10" i="10"/>
  <c r="G10" i="10"/>
  <c r="B10" i="10"/>
  <c r="J10" i="10"/>
  <c r="K11" i="10"/>
  <c r="C11" i="10"/>
  <c r="H11" i="10"/>
  <c r="J11" i="10"/>
  <c r="B11" i="10"/>
  <c r="I11" i="10"/>
  <c r="F11" i="10"/>
  <c r="G11" i="10"/>
  <c r="D11" i="10"/>
  <c r="K31" i="10"/>
  <c r="B31" i="10"/>
  <c r="J31" i="10"/>
  <c r="H31" i="10"/>
  <c r="I31" i="10"/>
  <c r="F31" i="10"/>
  <c r="D31" i="10"/>
  <c r="C31" i="10"/>
  <c r="G31" i="10"/>
  <c r="G16" i="10"/>
  <c r="F16" i="10"/>
  <c r="D16" i="10"/>
  <c r="J16" i="10"/>
  <c r="B16" i="10"/>
  <c r="I16" i="10"/>
  <c r="K16" i="10"/>
  <c r="H16" i="10"/>
  <c r="C16" i="10"/>
  <c r="J15" i="10"/>
  <c r="B15" i="10"/>
  <c r="G15" i="10"/>
  <c r="I15" i="10"/>
  <c r="H15" i="10"/>
  <c r="D15" i="10"/>
  <c r="K15" i="10"/>
  <c r="C15" i="10"/>
  <c r="F15" i="10"/>
  <c r="K21" i="10"/>
  <c r="C21" i="10"/>
  <c r="J21" i="10"/>
  <c r="B21" i="10"/>
  <c r="H21" i="10"/>
  <c r="I21" i="10"/>
  <c r="F21" i="10"/>
  <c r="G21" i="10"/>
  <c r="D21" i="10"/>
  <c r="G33" i="10"/>
  <c r="F33" i="10"/>
  <c r="C33" i="10"/>
  <c r="D33" i="10"/>
  <c r="J33" i="10"/>
  <c r="H33" i="10"/>
  <c r="I33" i="10"/>
  <c r="B33" i="10"/>
  <c r="K33" i="10"/>
  <c r="F20" i="10"/>
  <c r="C20" i="10"/>
  <c r="D20" i="10"/>
  <c r="K20" i="10"/>
  <c r="I20" i="10"/>
  <c r="H20" i="10"/>
  <c r="B20" i="10"/>
  <c r="J20" i="10"/>
  <c r="G20" i="10"/>
  <c r="G26" i="10"/>
  <c r="F26" i="10"/>
  <c r="D26" i="10"/>
  <c r="J26" i="10"/>
  <c r="B26" i="10"/>
  <c r="I26" i="10"/>
  <c r="K26" i="10"/>
  <c r="H26" i="10"/>
  <c r="C26" i="10"/>
  <c r="K35" i="10"/>
  <c r="B35" i="10"/>
  <c r="J35" i="10"/>
  <c r="I35" i="10"/>
  <c r="H35" i="10"/>
  <c r="F35" i="10"/>
  <c r="D35" i="10"/>
  <c r="C35" i="10"/>
  <c r="G35" i="10"/>
  <c r="A70" i="8"/>
  <c r="O134" i="3" l="1"/>
  <c r="A314" i="8"/>
  <c r="A315" i="8"/>
  <c r="A316" i="8"/>
  <c r="A317" i="8"/>
  <c r="A318" i="8"/>
  <c r="A319" i="8"/>
  <c r="A320" i="8"/>
  <c r="A321" i="8"/>
  <c r="A322" i="8"/>
  <c r="B314" i="8"/>
  <c r="B315" i="8"/>
  <c r="B316" i="8"/>
  <c r="B317" i="8"/>
  <c r="B318" i="8"/>
  <c r="B319" i="8"/>
  <c r="B320" i="8"/>
  <c r="B321" i="8"/>
  <c r="B322" i="8"/>
  <c r="D314" i="8"/>
  <c r="D315" i="8"/>
  <c r="D316" i="8"/>
  <c r="D317" i="8"/>
  <c r="D318" i="8"/>
  <c r="D319" i="8"/>
  <c r="D320" i="8"/>
  <c r="D321" i="8"/>
  <c r="D322" i="8"/>
  <c r="E314" i="8"/>
  <c r="E315" i="8"/>
  <c r="E316" i="8"/>
  <c r="E317" i="8"/>
  <c r="E318" i="8"/>
  <c r="E319" i="8"/>
  <c r="E320" i="8"/>
  <c r="E321" i="8"/>
  <c r="E322" i="8"/>
  <c r="E354" i="8" l="1"/>
  <c r="D354" i="8"/>
  <c r="B354" i="8"/>
  <c r="A354" i="8"/>
  <c r="E353" i="8"/>
  <c r="D353" i="8"/>
  <c r="B353" i="8"/>
  <c r="A353" i="8"/>
  <c r="E352" i="8"/>
  <c r="D352" i="8"/>
  <c r="B352" i="8"/>
  <c r="A352" i="8"/>
  <c r="E351" i="8"/>
  <c r="D351" i="8"/>
  <c r="B351" i="8"/>
  <c r="A351" i="8"/>
  <c r="E350" i="8"/>
  <c r="D350" i="8"/>
  <c r="B350" i="8"/>
  <c r="A350" i="8"/>
  <c r="E349" i="8"/>
  <c r="D349" i="8"/>
  <c r="B349" i="8"/>
  <c r="A349" i="8"/>
  <c r="E348" i="8"/>
  <c r="D348" i="8"/>
  <c r="B348" i="8"/>
  <c r="A348" i="8"/>
  <c r="E347" i="8"/>
  <c r="D347" i="8"/>
  <c r="B347" i="8"/>
  <c r="A347" i="8"/>
  <c r="E346" i="8"/>
  <c r="D346" i="8"/>
  <c r="B346" i="8"/>
  <c r="A346" i="8"/>
  <c r="E345" i="8"/>
  <c r="D345" i="8"/>
  <c r="B345" i="8"/>
  <c r="A345" i="8"/>
  <c r="E344" i="8"/>
  <c r="D344" i="8"/>
  <c r="B344" i="8"/>
  <c r="A344" i="8"/>
  <c r="E343" i="8"/>
  <c r="D343" i="8"/>
  <c r="B343" i="8"/>
  <c r="A343" i="8"/>
  <c r="E342" i="8"/>
  <c r="D342" i="8"/>
  <c r="B342" i="8"/>
  <c r="A342" i="8"/>
  <c r="E341" i="8"/>
  <c r="D341" i="8"/>
  <c r="B341" i="8"/>
  <c r="A341" i="8"/>
  <c r="E338" i="8"/>
  <c r="D338" i="8"/>
  <c r="B338" i="8"/>
  <c r="A338" i="8"/>
  <c r="E337" i="8"/>
  <c r="D337" i="8"/>
  <c r="B337" i="8"/>
  <c r="A337" i="8"/>
  <c r="E336" i="8"/>
  <c r="D336" i="8"/>
  <c r="B336" i="8"/>
  <c r="A336" i="8"/>
  <c r="E335" i="8"/>
  <c r="D335" i="8"/>
  <c r="B335" i="8"/>
  <c r="A335" i="8"/>
  <c r="E334" i="8"/>
  <c r="D334" i="8"/>
  <c r="B334" i="8"/>
  <c r="A334" i="8"/>
  <c r="E333" i="8"/>
  <c r="D333" i="8"/>
  <c r="B333" i="8"/>
  <c r="A333" i="8"/>
  <c r="E332" i="8"/>
  <c r="D332" i="8"/>
  <c r="B332" i="8"/>
  <c r="A332" i="8"/>
  <c r="E331" i="8"/>
  <c r="D331" i="8"/>
  <c r="B331" i="8"/>
  <c r="A331" i="8"/>
  <c r="E330" i="8"/>
  <c r="D330" i="8"/>
  <c r="B330" i="8"/>
  <c r="A330" i="8"/>
  <c r="E329" i="8"/>
  <c r="D329" i="8"/>
  <c r="B329" i="8"/>
  <c r="A329" i="8"/>
  <c r="E328" i="8"/>
  <c r="D328" i="8"/>
  <c r="B328" i="8"/>
  <c r="A328" i="8"/>
  <c r="E327" i="8"/>
  <c r="D327" i="8"/>
  <c r="B327" i="8"/>
  <c r="A327" i="8"/>
  <c r="E326" i="8"/>
  <c r="D326" i="8"/>
  <c r="B326" i="8"/>
  <c r="A326" i="8"/>
  <c r="E325" i="8"/>
  <c r="D325" i="8"/>
  <c r="B325" i="8"/>
  <c r="A325" i="8"/>
  <c r="E313" i="8"/>
  <c r="D313" i="8"/>
  <c r="B313" i="8"/>
  <c r="A313" i="8"/>
  <c r="E312" i="8"/>
  <c r="D312" i="8"/>
  <c r="B312" i="8"/>
  <c r="A312" i="8"/>
  <c r="E311" i="8"/>
  <c r="D311" i="8"/>
  <c r="B311" i="8"/>
  <c r="A311" i="8"/>
  <c r="E310" i="8"/>
  <c r="D310" i="8"/>
  <c r="B310" i="8"/>
  <c r="A310" i="8"/>
  <c r="E309" i="8"/>
  <c r="D309" i="8"/>
  <c r="B309" i="8"/>
  <c r="A309" i="8"/>
  <c r="E308" i="8"/>
  <c r="D308" i="8"/>
  <c r="B308" i="8"/>
  <c r="A308" i="8"/>
  <c r="E307" i="8"/>
  <c r="D307" i="8"/>
  <c r="B307" i="8"/>
  <c r="A307" i="8"/>
  <c r="E306" i="8"/>
  <c r="D306" i="8"/>
  <c r="B306" i="8"/>
  <c r="A306" i="8"/>
  <c r="E305" i="8"/>
  <c r="D305" i="8"/>
  <c r="B305" i="8"/>
  <c r="A305" i="8"/>
  <c r="E304" i="8"/>
  <c r="D304" i="8"/>
  <c r="B304" i="8"/>
  <c r="A304" i="8"/>
  <c r="E303" i="8"/>
  <c r="D303" i="8"/>
  <c r="B303" i="8"/>
  <c r="A303" i="8"/>
  <c r="E302" i="8"/>
  <c r="D302" i="8"/>
  <c r="B302" i="8"/>
  <c r="A302" i="8"/>
  <c r="E301" i="8"/>
  <c r="D301" i="8"/>
  <c r="B301" i="8"/>
  <c r="A301" i="8"/>
  <c r="E300" i="8"/>
  <c r="D300" i="8"/>
  <c r="B300" i="8"/>
  <c r="A300" i="8"/>
  <c r="E299" i="8"/>
  <c r="D299" i="8"/>
  <c r="B299" i="8"/>
  <c r="A299" i="8"/>
  <c r="E298" i="8"/>
  <c r="D298" i="8"/>
  <c r="B298" i="8"/>
  <c r="A298" i="8"/>
  <c r="E297" i="8"/>
  <c r="D297" i="8"/>
  <c r="B297" i="8"/>
  <c r="A297" i="8"/>
  <c r="E296" i="8"/>
  <c r="D296" i="8"/>
  <c r="B296" i="8"/>
  <c r="A296" i="8"/>
  <c r="A292" i="8"/>
  <c r="B292" i="8"/>
  <c r="D292" i="8"/>
  <c r="E292" i="8"/>
  <c r="A291" i="8"/>
  <c r="B291" i="8"/>
  <c r="D291" i="8"/>
  <c r="E291" i="8"/>
  <c r="A286" i="8"/>
  <c r="A287" i="8"/>
  <c r="A288" i="8"/>
  <c r="A289" i="8"/>
  <c r="A290" i="8"/>
  <c r="B286" i="8"/>
  <c r="B287" i="8"/>
  <c r="B288" i="8"/>
  <c r="B289" i="8"/>
  <c r="B290" i="8"/>
  <c r="D286" i="8"/>
  <c r="D287" i="8"/>
  <c r="D288" i="8"/>
  <c r="D289" i="8"/>
  <c r="D290" i="8"/>
  <c r="E286" i="8"/>
  <c r="E287" i="8"/>
  <c r="E288" i="8"/>
  <c r="E289" i="8"/>
  <c r="E290" i="8"/>
  <c r="AH169" i="3" l="1"/>
  <c r="AH168" i="3"/>
  <c r="AH12" i="3"/>
  <c r="AH13" i="3"/>
  <c r="AH171" i="3"/>
  <c r="AH172" i="3"/>
  <c r="AH170" i="3"/>
  <c r="AH124" i="3"/>
  <c r="AH20" i="3"/>
  <c r="AH127" i="3"/>
  <c r="AI169" i="3"/>
  <c r="AI168" i="3"/>
  <c r="AI12" i="3"/>
  <c r="AI13" i="3"/>
  <c r="AI171" i="3"/>
  <c r="AI172" i="3"/>
  <c r="AI170" i="3"/>
  <c r="AI124" i="3"/>
  <c r="AI20" i="3"/>
  <c r="AI127" i="3"/>
  <c r="AJ169" i="3"/>
  <c r="AJ168" i="3"/>
  <c r="AJ12" i="3"/>
  <c r="AJ13" i="3"/>
  <c r="AJ171" i="3"/>
  <c r="AJ172" i="3"/>
  <c r="AJ170" i="3"/>
  <c r="AJ124" i="3"/>
  <c r="AJ20" i="3"/>
  <c r="AJ127" i="3"/>
  <c r="AJ19" i="3"/>
  <c r="AJ126" i="3"/>
  <c r="AJ125" i="3"/>
  <c r="AH19" i="3"/>
  <c r="AH125" i="3"/>
  <c r="AH126" i="3"/>
  <c r="AH18" i="3"/>
  <c r="AH129" i="3"/>
  <c r="AH128" i="3"/>
  <c r="AI126" i="3"/>
  <c r="AI125" i="3"/>
  <c r="AI19" i="3"/>
  <c r="AJ18" i="3"/>
  <c r="AJ128" i="3"/>
  <c r="AJ129" i="3"/>
  <c r="AJ131" i="3"/>
  <c r="AJ115" i="3"/>
  <c r="AJ23" i="3"/>
  <c r="AJ57" i="3"/>
  <c r="AJ123" i="3"/>
  <c r="AJ15" i="3"/>
  <c r="AJ14" i="3"/>
  <c r="AI18" i="3"/>
  <c r="AI128" i="3"/>
  <c r="AI129" i="3"/>
  <c r="AI131" i="3"/>
  <c r="AI23" i="3"/>
  <c r="AI115" i="3"/>
  <c r="AI123" i="3"/>
  <c r="AI57" i="3"/>
  <c r="AI15" i="3"/>
  <c r="AI14" i="3"/>
  <c r="AH131" i="3"/>
  <c r="AH23" i="3"/>
  <c r="AH115" i="3"/>
  <c r="AH123" i="3"/>
  <c r="AH57" i="3"/>
  <c r="AH15" i="3"/>
  <c r="AH14" i="3"/>
  <c r="AH60" i="3"/>
  <c r="AH51" i="3"/>
  <c r="AH43" i="3"/>
  <c r="AH45" i="3"/>
  <c r="AH17" i="3"/>
  <c r="AH46" i="3"/>
  <c r="AH16" i="3"/>
  <c r="AH49" i="3"/>
  <c r="AH44" i="3"/>
  <c r="AI49" i="3"/>
  <c r="AI60" i="3"/>
  <c r="AI43" i="3"/>
  <c r="AI51" i="3"/>
  <c r="AI45" i="3"/>
  <c r="AI46" i="3"/>
  <c r="AI44" i="3"/>
  <c r="AI17" i="3"/>
  <c r="AI16" i="3"/>
  <c r="AJ44" i="3"/>
  <c r="AJ17" i="3"/>
  <c r="AJ49" i="3"/>
  <c r="AJ60" i="3"/>
  <c r="AJ51" i="3"/>
  <c r="AJ45" i="3"/>
  <c r="AJ43" i="3"/>
  <c r="AJ16" i="3"/>
  <c r="AJ46" i="3"/>
  <c r="AH22" i="3"/>
  <c r="AH84" i="3"/>
  <c r="AH91" i="3"/>
  <c r="AH59" i="3"/>
  <c r="AH86" i="3"/>
  <c r="AH53" i="3"/>
  <c r="AH82" i="3"/>
  <c r="AH89" i="3"/>
  <c r="AH55" i="3"/>
  <c r="AH21" i="3"/>
  <c r="AH93" i="3"/>
  <c r="AH62" i="3"/>
  <c r="AH98" i="3"/>
  <c r="AH130" i="3"/>
  <c r="AI22" i="3"/>
  <c r="AI86" i="3"/>
  <c r="AI53" i="3"/>
  <c r="AI91" i="3"/>
  <c r="AI89" i="3"/>
  <c r="AI55" i="3"/>
  <c r="AI62" i="3"/>
  <c r="AI84" i="3"/>
  <c r="AI82" i="3"/>
  <c r="AI59" i="3"/>
  <c r="AI93" i="3"/>
  <c r="AI98" i="3"/>
  <c r="AI130" i="3"/>
  <c r="AI21" i="3"/>
  <c r="AJ22" i="3"/>
  <c r="AJ89" i="3"/>
  <c r="AJ55" i="3"/>
  <c r="AJ98" i="3"/>
  <c r="AJ91" i="3"/>
  <c r="AJ82" i="3"/>
  <c r="AJ59" i="3"/>
  <c r="AJ93" i="3"/>
  <c r="AJ62" i="3"/>
  <c r="AJ53" i="3"/>
  <c r="AJ21" i="3"/>
  <c r="AJ86" i="3"/>
  <c r="AJ130" i="3"/>
  <c r="AJ84" i="3"/>
  <c r="AH7" i="3"/>
  <c r="AH118" i="3"/>
  <c r="AH136" i="3"/>
  <c r="AH25" i="3"/>
  <c r="AH8" i="3"/>
  <c r="AH119" i="3"/>
  <c r="AH167" i="3"/>
  <c r="AH132" i="3"/>
  <c r="AH26" i="3"/>
  <c r="AH133" i="3"/>
  <c r="AH141" i="3"/>
  <c r="AH155" i="3"/>
  <c r="AH157" i="3"/>
  <c r="AH146" i="3"/>
  <c r="AH134" i="3"/>
  <c r="AH158" i="3"/>
  <c r="AH135" i="3"/>
  <c r="AH144" i="3"/>
  <c r="AH24" i="3"/>
  <c r="AH121" i="3"/>
  <c r="AH69" i="3"/>
  <c r="AH10" i="3"/>
  <c r="AH120" i="3"/>
  <c r="AH11" i="3"/>
  <c r="AH9" i="3"/>
  <c r="AH66" i="3"/>
  <c r="AH67" i="3"/>
  <c r="AH29" i="3"/>
  <c r="AH151" i="3"/>
  <c r="AH117" i="3"/>
  <c r="AH31" i="3"/>
  <c r="AH148" i="3"/>
  <c r="AI137" i="3"/>
  <c r="AI133" i="3"/>
  <c r="AI26" i="3"/>
  <c r="AI136" i="3"/>
  <c r="AI25" i="3"/>
  <c r="AI7" i="3"/>
  <c r="AI118" i="3"/>
  <c r="AI132" i="3"/>
  <c r="AI167" i="3"/>
  <c r="AI8" i="3"/>
  <c r="AI119" i="3"/>
  <c r="AI157" i="3"/>
  <c r="AI141" i="3"/>
  <c r="AI146" i="3"/>
  <c r="AI135" i="3"/>
  <c r="AI134" i="3"/>
  <c r="AI158" i="3"/>
  <c r="AI144" i="3"/>
  <c r="AI155" i="3"/>
  <c r="AI24" i="3"/>
  <c r="AI10" i="3"/>
  <c r="AI120" i="3"/>
  <c r="AI69" i="3"/>
  <c r="AI11" i="3"/>
  <c r="AI121" i="3"/>
  <c r="AI9" i="3"/>
  <c r="AI117" i="3"/>
  <c r="AI31" i="3"/>
  <c r="AI67" i="3"/>
  <c r="AI29" i="3"/>
  <c r="AI66" i="3"/>
  <c r="AI148" i="3"/>
  <c r="AI151" i="3"/>
  <c r="AJ133" i="3"/>
  <c r="AJ8" i="3"/>
  <c r="AJ132" i="3"/>
  <c r="AJ25" i="3"/>
  <c r="AJ119" i="3"/>
  <c r="AJ7" i="3"/>
  <c r="AJ118" i="3"/>
  <c r="AJ167" i="3"/>
  <c r="AJ26" i="3"/>
  <c r="AJ136" i="3"/>
  <c r="AJ155" i="3"/>
  <c r="AJ157" i="3"/>
  <c r="AJ141" i="3"/>
  <c r="AJ158" i="3"/>
  <c r="AJ135" i="3"/>
  <c r="AJ24" i="3"/>
  <c r="AJ146" i="3"/>
  <c r="AJ134" i="3"/>
  <c r="AJ144" i="3"/>
  <c r="AJ120" i="3"/>
  <c r="AJ69" i="3"/>
  <c r="AJ11" i="3"/>
  <c r="AJ121" i="3"/>
  <c r="AJ10" i="3"/>
  <c r="AJ9" i="3"/>
  <c r="AJ117" i="3"/>
  <c r="AJ148" i="3"/>
  <c r="AJ67" i="3"/>
  <c r="AJ29" i="3"/>
  <c r="AJ151" i="3"/>
  <c r="AJ31" i="3"/>
  <c r="AJ66" i="3"/>
  <c r="AH6" i="3"/>
  <c r="AH5" i="3"/>
  <c r="AH28" i="3"/>
  <c r="AH38" i="3"/>
  <c r="AH52" i="3"/>
  <c r="AH68" i="3"/>
  <c r="AH77" i="3"/>
  <c r="AH88" i="3"/>
  <c r="AH100" i="3"/>
  <c r="AH108" i="3"/>
  <c r="AH140" i="3"/>
  <c r="AH153" i="3"/>
  <c r="AH164" i="3"/>
  <c r="AH178" i="3"/>
  <c r="AH4" i="3"/>
  <c r="AH54" i="3"/>
  <c r="AH78" i="3"/>
  <c r="AH109" i="3"/>
  <c r="AH154" i="3"/>
  <c r="AH32" i="3"/>
  <c r="AH40" i="3"/>
  <c r="AH56" i="3"/>
  <c r="AH71" i="3"/>
  <c r="AH79" i="3"/>
  <c r="AH92" i="3"/>
  <c r="AH102" i="3"/>
  <c r="AH110" i="3"/>
  <c r="AH143" i="3"/>
  <c r="AH156" i="3"/>
  <c r="AH166" i="3"/>
  <c r="AH180" i="3"/>
  <c r="AH35" i="3"/>
  <c r="AH74" i="3"/>
  <c r="AH83" i="3"/>
  <c r="AH113" i="3"/>
  <c r="AH161" i="3"/>
  <c r="AH33" i="3"/>
  <c r="AH41" i="3"/>
  <c r="AH58" i="3"/>
  <c r="AH72" i="3"/>
  <c r="AH80" i="3"/>
  <c r="AH94" i="3"/>
  <c r="AH103" i="3"/>
  <c r="AH111" i="3"/>
  <c r="AH145" i="3"/>
  <c r="AH159" i="3"/>
  <c r="AH173" i="3"/>
  <c r="AH181" i="3"/>
  <c r="AH47" i="3"/>
  <c r="AH105" i="3"/>
  <c r="AH149" i="3"/>
  <c r="AH175" i="3"/>
  <c r="AH34" i="3"/>
  <c r="AH42" i="3"/>
  <c r="AH61" i="3"/>
  <c r="AH73" i="3"/>
  <c r="AH81" i="3"/>
  <c r="AH95" i="3"/>
  <c r="AH104" i="3"/>
  <c r="AH112" i="3"/>
  <c r="AH147" i="3"/>
  <c r="AH160" i="3"/>
  <c r="AH174" i="3"/>
  <c r="AH182" i="3"/>
  <c r="AH63" i="3"/>
  <c r="AH96" i="3"/>
  <c r="AH137" i="3"/>
  <c r="AH36" i="3"/>
  <c r="AH48" i="3"/>
  <c r="AH64" i="3"/>
  <c r="AH75" i="3"/>
  <c r="AH85" i="3"/>
  <c r="AH97" i="3"/>
  <c r="AH106" i="3"/>
  <c r="AH114" i="3"/>
  <c r="AH138" i="3"/>
  <c r="AH150" i="3"/>
  <c r="AH162" i="3"/>
  <c r="AH176" i="3"/>
  <c r="AH30" i="3"/>
  <c r="AH70" i="3"/>
  <c r="AH101" i="3"/>
  <c r="AH142" i="3"/>
  <c r="AH165" i="3"/>
  <c r="AH27" i="3"/>
  <c r="AH37" i="3"/>
  <c r="AH50" i="3"/>
  <c r="AH65" i="3"/>
  <c r="AH76" i="3"/>
  <c r="AH87" i="3"/>
  <c r="AH99" i="3"/>
  <c r="AH107" i="3"/>
  <c r="AH116" i="3"/>
  <c r="AH139" i="3"/>
  <c r="AH152" i="3"/>
  <c r="AH163" i="3"/>
  <c r="AH177" i="3"/>
  <c r="AH39" i="3"/>
  <c r="AH90" i="3"/>
  <c r="AH179" i="3"/>
  <c r="AI6" i="3"/>
  <c r="AI5" i="3"/>
  <c r="AI4" i="3"/>
  <c r="AI30" i="3"/>
  <c r="AI39" i="3"/>
  <c r="AI54" i="3"/>
  <c r="AI70" i="3"/>
  <c r="AI78" i="3"/>
  <c r="AI90" i="3"/>
  <c r="AI101" i="3"/>
  <c r="AI109" i="3"/>
  <c r="AI142" i="3"/>
  <c r="AI154" i="3"/>
  <c r="AI165" i="3"/>
  <c r="AI179" i="3"/>
  <c r="AI100" i="3"/>
  <c r="AI164" i="3"/>
  <c r="AI32" i="3"/>
  <c r="AI40" i="3"/>
  <c r="AI56" i="3"/>
  <c r="AI71" i="3"/>
  <c r="AI79" i="3"/>
  <c r="AI92" i="3"/>
  <c r="AI102" i="3"/>
  <c r="AI110" i="3"/>
  <c r="AI143" i="3"/>
  <c r="AI156" i="3"/>
  <c r="AI166" i="3"/>
  <c r="AI180" i="3"/>
  <c r="AI33" i="3"/>
  <c r="AI41" i="3"/>
  <c r="AI58" i="3"/>
  <c r="AI72" i="3"/>
  <c r="AI80" i="3"/>
  <c r="AI94" i="3"/>
  <c r="AI103" i="3"/>
  <c r="AI111" i="3"/>
  <c r="AI145" i="3"/>
  <c r="AI159" i="3"/>
  <c r="AI173" i="3"/>
  <c r="AI181" i="3"/>
  <c r="AI108" i="3"/>
  <c r="AI34" i="3"/>
  <c r="AI42" i="3"/>
  <c r="AI61" i="3"/>
  <c r="AI73" i="3"/>
  <c r="AI81" i="3"/>
  <c r="AI95" i="3"/>
  <c r="AI104" i="3"/>
  <c r="AI112" i="3"/>
  <c r="AI147" i="3"/>
  <c r="AI160" i="3"/>
  <c r="AI174" i="3"/>
  <c r="AI182" i="3"/>
  <c r="AI77" i="3"/>
  <c r="AI178" i="3"/>
  <c r="AI35" i="3"/>
  <c r="AI47" i="3"/>
  <c r="AI63" i="3"/>
  <c r="AI74" i="3"/>
  <c r="AI83" i="3"/>
  <c r="AI96" i="3"/>
  <c r="AI105" i="3"/>
  <c r="AI113" i="3"/>
  <c r="AI149" i="3"/>
  <c r="AI161" i="3"/>
  <c r="AI175" i="3"/>
  <c r="AI38" i="3"/>
  <c r="AI88" i="3"/>
  <c r="AI153" i="3"/>
  <c r="AI36" i="3"/>
  <c r="AI48" i="3"/>
  <c r="AI64" i="3"/>
  <c r="AI75" i="3"/>
  <c r="AI85" i="3"/>
  <c r="AI97" i="3"/>
  <c r="AI106" i="3"/>
  <c r="AI114" i="3"/>
  <c r="AI138" i="3"/>
  <c r="AI150" i="3"/>
  <c r="AI162" i="3"/>
  <c r="AI176" i="3"/>
  <c r="AI68" i="3"/>
  <c r="AI140" i="3"/>
  <c r="AI27" i="3"/>
  <c r="AI37" i="3"/>
  <c r="AI50" i="3"/>
  <c r="AI65" i="3"/>
  <c r="AI76" i="3"/>
  <c r="AI87" i="3"/>
  <c r="AI99" i="3"/>
  <c r="AI107" i="3"/>
  <c r="AI116" i="3"/>
  <c r="AI139" i="3"/>
  <c r="AI152" i="3"/>
  <c r="AI163" i="3"/>
  <c r="AI177" i="3"/>
  <c r="AI28" i="3"/>
  <c r="AI52" i="3"/>
  <c r="AJ6" i="3"/>
  <c r="AJ5" i="3"/>
  <c r="AJ28" i="3"/>
  <c r="AJ38" i="3"/>
  <c r="AJ52" i="3"/>
  <c r="AJ68" i="3"/>
  <c r="AJ77" i="3"/>
  <c r="AJ88" i="3"/>
  <c r="AJ100" i="3"/>
  <c r="AJ108" i="3"/>
  <c r="AJ140" i="3"/>
  <c r="AJ153" i="3"/>
  <c r="AJ164" i="3"/>
  <c r="AJ178" i="3"/>
  <c r="AJ27" i="3"/>
  <c r="AJ107" i="3"/>
  <c r="AJ4" i="3"/>
  <c r="AJ30" i="3"/>
  <c r="AJ39" i="3"/>
  <c r="AJ54" i="3"/>
  <c r="AJ70" i="3"/>
  <c r="AJ78" i="3"/>
  <c r="AJ90" i="3"/>
  <c r="AJ101" i="3"/>
  <c r="AJ109" i="3"/>
  <c r="AJ142" i="3"/>
  <c r="AJ154" i="3"/>
  <c r="AJ165" i="3"/>
  <c r="AJ179" i="3"/>
  <c r="AJ37" i="3"/>
  <c r="AJ99" i="3"/>
  <c r="AJ32" i="3"/>
  <c r="AJ40" i="3"/>
  <c r="AJ56" i="3"/>
  <c r="AJ71" i="3"/>
  <c r="AJ79" i="3"/>
  <c r="AJ92" i="3"/>
  <c r="AJ102" i="3"/>
  <c r="AJ110" i="3"/>
  <c r="AJ143" i="3"/>
  <c r="AJ156" i="3"/>
  <c r="AJ166" i="3"/>
  <c r="AJ180" i="3"/>
  <c r="AJ116" i="3"/>
  <c r="AJ33" i="3"/>
  <c r="AJ41" i="3"/>
  <c r="AJ58" i="3"/>
  <c r="AJ72" i="3"/>
  <c r="AJ80" i="3"/>
  <c r="AJ94" i="3"/>
  <c r="AJ103" i="3"/>
  <c r="AJ111" i="3"/>
  <c r="AJ145" i="3"/>
  <c r="AJ159" i="3"/>
  <c r="AJ173" i="3"/>
  <c r="AJ181" i="3"/>
  <c r="AJ87" i="3"/>
  <c r="AJ177" i="3"/>
  <c r="AJ34" i="3"/>
  <c r="AJ42" i="3"/>
  <c r="AJ61" i="3"/>
  <c r="AJ73" i="3"/>
  <c r="AJ81" i="3"/>
  <c r="AJ95" i="3"/>
  <c r="AJ104" i="3"/>
  <c r="AJ112" i="3"/>
  <c r="AJ147" i="3"/>
  <c r="AJ160" i="3"/>
  <c r="AJ174" i="3"/>
  <c r="AJ182" i="3"/>
  <c r="AJ65" i="3"/>
  <c r="AJ152" i="3"/>
  <c r="AJ35" i="3"/>
  <c r="AJ47" i="3"/>
  <c r="AJ63" i="3"/>
  <c r="AJ74" i="3"/>
  <c r="AJ83" i="3"/>
  <c r="AJ96" i="3"/>
  <c r="AJ105" i="3"/>
  <c r="AJ113" i="3"/>
  <c r="AJ137" i="3"/>
  <c r="AJ149" i="3"/>
  <c r="AJ161" i="3"/>
  <c r="AJ175" i="3"/>
  <c r="AJ76" i="3"/>
  <c r="AJ163" i="3"/>
  <c r="AJ36" i="3"/>
  <c r="AJ48" i="3"/>
  <c r="AJ64" i="3"/>
  <c r="AJ75" i="3"/>
  <c r="AJ85" i="3"/>
  <c r="AJ97" i="3"/>
  <c r="AJ106" i="3"/>
  <c r="AJ114" i="3"/>
  <c r="AJ138" i="3"/>
  <c r="AJ150" i="3"/>
  <c r="AJ162" i="3"/>
  <c r="AJ176" i="3"/>
  <c r="AJ50" i="3"/>
  <c r="AJ139" i="3"/>
  <c r="A276" i="8"/>
  <c r="B276" i="8"/>
  <c r="D276" i="8"/>
  <c r="E276" i="8"/>
  <c r="A275" i="8"/>
  <c r="B275" i="8"/>
  <c r="D275" i="8"/>
  <c r="E275" i="8"/>
  <c r="A270" i="8"/>
  <c r="A271" i="8"/>
  <c r="A272" i="8"/>
  <c r="A273" i="8"/>
  <c r="A274" i="8"/>
  <c r="B270" i="8"/>
  <c r="B271" i="8"/>
  <c r="B272" i="8"/>
  <c r="B273" i="8"/>
  <c r="B274" i="8"/>
  <c r="D270" i="8"/>
  <c r="D271" i="8"/>
  <c r="D272" i="8"/>
  <c r="D273" i="8"/>
  <c r="D274" i="8"/>
  <c r="E270" i="8"/>
  <c r="E271" i="8"/>
  <c r="E272" i="8"/>
  <c r="E273" i="8"/>
  <c r="E274" i="8"/>
  <c r="A254" i="8" l="1"/>
  <c r="A255" i="8"/>
  <c r="A256" i="8"/>
  <c r="A257" i="8"/>
  <c r="A258" i="8"/>
  <c r="A259" i="8"/>
  <c r="B254" i="8"/>
  <c r="B255" i="8"/>
  <c r="B256" i="8"/>
  <c r="B257" i="8"/>
  <c r="B258" i="8"/>
  <c r="B259" i="8"/>
  <c r="D254" i="8"/>
  <c r="D255" i="8"/>
  <c r="D256" i="8"/>
  <c r="D257" i="8"/>
  <c r="D258" i="8"/>
  <c r="D259" i="8"/>
  <c r="E254" i="8"/>
  <c r="E255" i="8"/>
  <c r="E256" i="8"/>
  <c r="E257" i="8"/>
  <c r="E258" i="8"/>
  <c r="E259" i="8"/>
  <c r="A250" i="8" l="1"/>
  <c r="A251" i="8"/>
  <c r="B250" i="8"/>
  <c r="B251" i="8"/>
  <c r="D250" i="8"/>
  <c r="D251" i="8"/>
  <c r="E250" i="8"/>
  <c r="E251" i="8"/>
  <c r="E285" i="8" l="1"/>
  <c r="D285" i="8"/>
  <c r="B285" i="8"/>
  <c r="A285" i="8"/>
  <c r="E284" i="8"/>
  <c r="D284" i="8"/>
  <c r="B284" i="8"/>
  <c r="A284" i="8"/>
  <c r="E283" i="8"/>
  <c r="D283" i="8"/>
  <c r="B283" i="8"/>
  <c r="A283" i="8"/>
  <c r="E282" i="8"/>
  <c r="D282" i="8"/>
  <c r="B282" i="8"/>
  <c r="A282" i="8"/>
  <c r="E281" i="8"/>
  <c r="D281" i="8"/>
  <c r="B281" i="8"/>
  <c r="A281" i="8"/>
  <c r="E280" i="8"/>
  <c r="D280" i="8"/>
  <c r="B280" i="8"/>
  <c r="A280" i="8"/>
  <c r="E279" i="8"/>
  <c r="D279" i="8"/>
  <c r="B279" i="8"/>
  <c r="A279" i="8"/>
  <c r="E269" i="8"/>
  <c r="D269" i="8"/>
  <c r="B269" i="8"/>
  <c r="A269" i="8"/>
  <c r="E268" i="8"/>
  <c r="D268" i="8"/>
  <c r="B268" i="8"/>
  <c r="A268" i="8"/>
  <c r="E267" i="8"/>
  <c r="D267" i="8"/>
  <c r="B267" i="8"/>
  <c r="A267" i="8"/>
  <c r="E266" i="8"/>
  <c r="D266" i="8"/>
  <c r="B266" i="8"/>
  <c r="A266" i="8"/>
  <c r="E265" i="8"/>
  <c r="D265" i="8"/>
  <c r="B265" i="8"/>
  <c r="A265" i="8"/>
  <c r="E264" i="8"/>
  <c r="D264" i="8"/>
  <c r="B264" i="8"/>
  <c r="A264" i="8"/>
  <c r="E263" i="8"/>
  <c r="D263" i="8"/>
  <c r="B263" i="8"/>
  <c r="A263" i="8"/>
  <c r="E262" i="8"/>
  <c r="D262" i="8"/>
  <c r="B262" i="8"/>
  <c r="A262" i="8"/>
  <c r="E253" i="8"/>
  <c r="D253" i="8"/>
  <c r="B253" i="8"/>
  <c r="A253" i="8"/>
  <c r="E252" i="8"/>
  <c r="D252" i="8"/>
  <c r="B252" i="8"/>
  <c r="A252" i="8"/>
  <c r="E249" i="8"/>
  <c r="D249" i="8"/>
  <c r="B249" i="8"/>
  <c r="A249" i="8"/>
  <c r="E248" i="8"/>
  <c r="D248" i="8"/>
  <c r="B248" i="8"/>
  <c r="A248" i="8"/>
  <c r="E247" i="8"/>
  <c r="D247" i="8"/>
  <c r="B247" i="8"/>
  <c r="A247" i="8"/>
  <c r="E246" i="8"/>
  <c r="D246" i="8"/>
  <c r="B246" i="8"/>
  <c r="A246" i="8"/>
  <c r="E245" i="8"/>
  <c r="D245" i="8"/>
  <c r="B245" i="8"/>
  <c r="A245" i="8"/>
  <c r="E244" i="8"/>
  <c r="D244" i="8"/>
  <c r="B244" i="8"/>
  <c r="A244" i="8"/>
  <c r="E243" i="8"/>
  <c r="D243" i="8"/>
  <c r="B243" i="8"/>
  <c r="A243" i="8"/>
  <c r="E242" i="8"/>
  <c r="D242" i="8"/>
  <c r="B242" i="8"/>
  <c r="A242" i="8"/>
  <c r="A236" i="8"/>
  <c r="A237" i="8"/>
  <c r="A238" i="8"/>
  <c r="B236" i="8"/>
  <c r="B237" i="8"/>
  <c r="B238" i="8"/>
  <c r="D236" i="8"/>
  <c r="D237" i="8"/>
  <c r="D238" i="8"/>
  <c r="E236" i="8"/>
  <c r="E237" i="8"/>
  <c r="E238" i="8"/>
  <c r="AE169" i="3" l="1"/>
  <c r="AE168" i="3"/>
  <c r="AE12" i="3"/>
  <c r="AE13" i="3"/>
  <c r="AE171" i="3"/>
  <c r="AE172" i="3"/>
  <c r="AE170" i="3"/>
  <c r="AE124" i="3"/>
  <c r="AE20" i="3"/>
  <c r="AE127" i="3"/>
  <c r="AF169" i="3"/>
  <c r="AF168" i="3"/>
  <c r="AF12" i="3"/>
  <c r="AF13" i="3"/>
  <c r="AF171" i="3"/>
  <c r="AF172" i="3"/>
  <c r="AF170" i="3"/>
  <c r="AF124" i="3"/>
  <c r="AF20" i="3"/>
  <c r="AF127" i="3"/>
  <c r="AG169" i="3"/>
  <c r="AG168" i="3"/>
  <c r="AG12" i="3"/>
  <c r="AG13" i="3"/>
  <c r="AG171" i="3"/>
  <c r="AG172" i="3"/>
  <c r="AG170" i="3"/>
  <c r="AG124" i="3"/>
  <c r="AG20" i="3"/>
  <c r="AG127" i="3"/>
  <c r="AF19" i="3"/>
  <c r="AF125" i="3"/>
  <c r="AF126" i="3"/>
  <c r="AF129" i="3"/>
  <c r="AF18" i="3"/>
  <c r="AF128" i="3"/>
  <c r="AF131" i="3"/>
  <c r="AG125" i="3"/>
  <c r="AG126" i="3"/>
  <c r="AG19" i="3"/>
  <c r="AG18" i="3"/>
  <c r="AG128" i="3"/>
  <c r="AG129" i="3"/>
  <c r="AG131" i="3"/>
  <c r="AE125" i="3"/>
  <c r="AE19" i="3"/>
  <c r="AE126" i="3"/>
  <c r="AE18" i="3"/>
  <c r="AE128" i="3"/>
  <c r="AE129" i="3"/>
  <c r="AE131" i="3"/>
  <c r="AG23" i="3"/>
  <c r="AG115" i="3"/>
  <c r="AG57" i="3"/>
  <c r="AG123" i="3"/>
  <c r="AG14" i="3"/>
  <c r="AG15" i="3"/>
  <c r="AE115" i="3"/>
  <c r="AE23" i="3"/>
  <c r="AF23" i="3"/>
  <c r="AF115" i="3"/>
  <c r="AF123" i="3"/>
  <c r="AF57" i="3"/>
  <c r="AF15" i="3"/>
  <c r="AF14" i="3"/>
  <c r="AE123" i="3"/>
  <c r="AE57" i="3"/>
  <c r="AE14" i="3"/>
  <c r="AE15" i="3"/>
  <c r="AE46" i="3"/>
  <c r="AE49" i="3"/>
  <c r="AE60" i="3"/>
  <c r="AE43" i="3"/>
  <c r="AE16" i="3"/>
  <c r="AE44" i="3"/>
  <c r="AE17" i="3"/>
  <c r="AE51" i="3"/>
  <c r="AE45" i="3"/>
  <c r="AF45" i="3"/>
  <c r="AF46" i="3"/>
  <c r="AF60" i="3"/>
  <c r="AF49" i="3"/>
  <c r="AF43" i="3"/>
  <c r="AF16" i="3"/>
  <c r="AF44" i="3"/>
  <c r="AF17" i="3"/>
  <c r="AF51" i="3"/>
  <c r="AG51" i="3"/>
  <c r="AG45" i="3"/>
  <c r="AG46" i="3"/>
  <c r="AG44" i="3"/>
  <c r="AG49" i="3"/>
  <c r="AG43" i="3"/>
  <c r="AG16" i="3"/>
  <c r="AG60" i="3"/>
  <c r="AG17" i="3"/>
  <c r="AE22" i="3"/>
  <c r="AE98" i="3"/>
  <c r="AE91" i="3"/>
  <c r="AE21" i="3"/>
  <c r="AE84" i="3"/>
  <c r="AE130" i="3"/>
  <c r="AE93" i="3"/>
  <c r="AE86" i="3"/>
  <c r="AE53" i="3"/>
  <c r="AE82" i="3"/>
  <c r="AE89" i="3"/>
  <c r="AE55" i="3"/>
  <c r="AE59" i="3"/>
  <c r="AE62" i="3"/>
  <c r="AF22" i="3"/>
  <c r="AF21" i="3"/>
  <c r="AF130" i="3"/>
  <c r="AF53" i="3"/>
  <c r="AF98" i="3"/>
  <c r="AF84" i="3"/>
  <c r="AF91" i="3"/>
  <c r="AF86" i="3"/>
  <c r="AF89" i="3"/>
  <c r="AF55" i="3"/>
  <c r="AF93" i="3"/>
  <c r="AF82" i="3"/>
  <c r="AF59" i="3"/>
  <c r="AF62" i="3"/>
  <c r="AG22" i="3"/>
  <c r="AG130" i="3"/>
  <c r="AG89" i="3"/>
  <c r="AG84" i="3"/>
  <c r="AG91" i="3"/>
  <c r="AG86" i="3"/>
  <c r="AG53" i="3"/>
  <c r="AG55" i="3"/>
  <c r="AG82" i="3"/>
  <c r="AG59" i="3"/>
  <c r="AG98" i="3"/>
  <c r="AG21" i="3"/>
  <c r="AG93" i="3"/>
  <c r="AG62" i="3"/>
  <c r="AE8" i="3"/>
  <c r="AE119" i="3"/>
  <c r="AE26" i="3"/>
  <c r="AE136" i="3"/>
  <c r="AE7" i="3"/>
  <c r="AE167" i="3"/>
  <c r="AE132" i="3"/>
  <c r="AE118" i="3"/>
  <c r="AE133" i="3"/>
  <c r="AE25" i="3"/>
  <c r="AE135" i="3"/>
  <c r="AE134" i="3"/>
  <c r="AE24" i="3"/>
  <c r="AE141" i="3"/>
  <c r="AE146" i="3"/>
  <c r="AE144" i="3"/>
  <c r="AE155" i="3"/>
  <c r="AE157" i="3"/>
  <c r="AE158" i="3"/>
  <c r="AE11" i="3"/>
  <c r="AE120" i="3"/>
  <c r="AE121" i="3"/>
  <c r="AE10" i="3"/>
  <c r="AE69" i="3"/>
  <c r="AE9" i="3"/>
  <c r="AE31" i="3"/>
  <c r="AE67" i="3"/>
  <c r="AE29" i="3"/>
  <c r="AE66" i="3"/>
  <c r="AE151" i="3"/>
  <c r="AE117" i="3"/>
  <c r="AE148" i="3"/>
  <c r="AF7" i="3"/>
  <c r="AF8" i="3"/>
  <c r="AF119" i="3"/>
  <c r="AF25" i="3"/>
  <c r="AF136" i="3"/>
  <c r="AF118" i="3"/>
  <c r="AF132" i="3"/>
  <c r="AF167" i="3"/>
  <c r="AF26" i="3"/>
  <c r="AF133" i="3"/>
  <c r="AF134" i="3"/>
  <c r="AF158" i="3"/>
  <c r="AF135" i="3"/>
  <c r="AF146" i="3"/>
  <c r="AF24" i="3"/>
  <c r="AF157" i="3"/>
  <c r="AF144" i="3"/>
  <c r="AF155" i="3"/>
  <c r="AF141" i="3"/>
  <c r="AF11" i="3"/>
  <c r="AF121" i="3"/>
  <c r="AF10" i="3"/>
  <c r="AF69" i="3"/>
  <c r="AF120" i="3"/>
  <c r="AF9" i="3"/>
  <c r="AF117" i="3"/>
  <c r="AF67" i="3"/>
  <c r="AF29" i="3"/>
  <c r="AF66" i="3"/>
  <c r="AF148" i="3"/>
  <c r="AF151" i="3"/>
  <c r="AF31" i="3"/>
  <c r="AG7" i="3"/>
  <c r="AG118" i="3"/>
  <c r="AG26" i="3"/>
  <c r="AG25" i="3"/>
  <c r="AG136" i="3"/>
  <c r="AG8" i="3"/>
  <c r="AG119" i="3"/>
  <c r="AG133" i="3"/>
  <c r="AG167" i="3"/>
  <c r="AG132" i="3"/>
  <c r="AG146" i="3"/>
  <c r="AG155" i="3"/>
  <c r="AG134" i="3"/>
  <c r="AG158" i="3"/>
  <c r="AG135" i="3"/>
  <c r="AG157" i="3"/>
  <c r="AG141" i="3"/>
  <c r="AG24" i="3"/>
  <c r="AG144" i="3"/>
  <c r="AG10" i="3"/>
  <c r="AG120" i="3"/>
  <c r="AG11" i="3"/>
  <c r="AG121" i="3"/>
  <c r="AG69" i="3"/>
  <c r="AG9" i="3"/>
  <c r="AG117" i="3"/>
  <c r="AG31" i="3"/>
  <c r="AG148" i="3"/>
  <c r="AG67" i="3"/>
  <c r="AG29" i="3"/>
  <c r="AG66" i="3"/>
  <c r="AG151" i="3"/>
  <c r="AE6" i="3"/>
  <c r="AE5" i="3"/>
  <c r="AE4" i="3"/>
  <c r="AE30" i="3"/>
  <c r="AE39" i="3"/>
  <c r="AE54" i="3"/>
  <c r="AE70" i="3"/>
  <c r="AE78" i="3"/>
  <c r="AE90" i="3"/>
  <c r="AE101" i="3"/>
  <c r="AE109" i="3"/>
  <c r="AE142" i="3"/>
  <c r="AE154" i="3"/>
  <c r="AE165" i="3"/>
  <c r="AE179" i="3"/>
  <c r="AE32" i="3"/>
  <c r="AE40" i="3"/>
  <c r="AE56" i="3"/>
  <c r="AE71" i="3"/>
  <c r="AE79" i="3"/>
  <c r="AE92" i="3"/>
  <c r="AE102" i="3"/>
  <c r="AE110" i="3"/>
  <c r="AE143" i="3"/>
  <c r="AE156" i="3"/>
  <c r="AE166" i="3"/>
  <c r="AE180" i="3"/>
  <c r="AE33" i="3"/>
  <c r="AE41" i="3"/>
  <c r="AE58" i="3"/>
  <c r="AE72" i="3"/>
  <c r="AE80" i="3"/>
  <c r="AE94" i="3"/>
  <c r="AE103" i="3"/>
  <c r="AE111" i="3"/>
  <c r="AE145" i="3"/>
  <c r="AE159" i="3"/>
  <c r="AE173" i="3"/>
  <c r="AE181" i="3"/>
  <c r="AE34" i="3"/>
  <c r="AE42" i="3"/>
  <c r="AE61" i="3"/>
  <c r="AE73" i="3"/>
  <c r="AE81" i="3"/>
  <c r="AE95" i="3"/>
  <c r="AE104" i="3"/>
  <c r="AE112" i="3"/>
  <c r="AE147" i="3"/>
  <c r="AE160" i="3"/>
  <c r="AE174" i="3"/>
  <c r="AE182" i="3"/>
  <c r="AE35" i="3"/>
  <c r="AE47" i="3"/>
  <c r="AE63" i="3"/>
  <c r="AE74" i="3"/>
  <c r="AE83" i="3"/>
  <c r="AE96" i="3"/>
  <c r="AE105" i="3"/>
  <c r="AE113" i="3"/>
  <c r="AE137" i="3"/>
  <c r="AE149" i="3"/>
  <c r="AE161" i="3"/>
  <c r="AE175" i="3"/>
  <c r="AE36" i="3"/>
  <c r="AE48" i="3"/>
  <c r="AE64" i="3"/>
  <c r="AE75" i="3"/>
  <c r="AE85" i="3"/>
  <c r="AE97" i="3"/>
  <c r="AE106" i="3"/>
  <c r="AE114" i="3"/>
  <c r="AE138" i="3"/>
  <c r="AE150" i="3"/>
  <c r="AE162" i="3"/>
  <c r="AE176" i="3"/>
  <c r="AE27" i="3"/>
  <c r="AE37" i="3"/>
  <c r="AE50" i="3"/>
  <c r="AE65" i="3"/>
  <c r="AE76" i="3"/>
  <c r="AE87" i="3"/>
  <c r="AE99" i="3"/>
  <c r="AE107" i="3"/>
  <c r="AE116" i="3"/>
  <c r="AE139" i="3"/>
  <c r="AE152" i="3"/>
  <c r="AE163" i="3"/>
  <c r="AE177" i="3"/>
  <c r="AE28" i="3"/>
  <c r="AE38" i="3"/>
  <c r="AE52" i="3"/>
  <c r="AE68" i="3"/>
  <c r="AE77" i="3"/>
  <c r="AE88" i="3"/>
  <c r="AE100" i="3"/>
  <c r="AE108" i="3"/>
  <c r="AE140" i="3"/>
  <c r="AE153" i="3"/>
  <c r="AE164" i="3"/>
  <c r="AE178" i="3"/>
  <c r="AF5" i="3"/>
  <c r="AF6" i="3"/>
  <c r="AF4" i="3"/>
  <c r="AF30" i="3"/>
  <c r="AF39" i="3"/>
  <c r="AF54" i="3"/>
  <c r="AF70" i="3"/>
  <c r="AF78" i="3"/>
  <c r="AF90" i="3"/>
  <c r="AF101" i="3"/>
  <c r="AF109" i="3"/>
  <c r="AF142" i="3"/>
  <c r="AF154" i="3"/>
  <c r="AF165" i="3"/>
  <c r="AF179" i="3"/>
  <c r="AF32" i="3"/>
  <c r="AF40" i="3"/>
  <c r="AF56" i="3"/>
  <c r="AF79" i="3"/>
  <c r="AF92" i="3"/>
  <c r="AF102" i="3"/>
  <c r="AF110" i="3"/>
  <c r="AF143" i="3"/>
  <c r="AF156" i="3"/>
  <c r="AF180" i="3"/>
  <c r="AF112" i="3"/>
  <c r="AF160" i="3"/>
  <c r="AF174" i="3"/>
  <c r="AF83" i="3"/>
  <c r="AF137" i="3"/>
  <c r="AF71" i="3"/>
  <c r="AF166" i="3"/>
  <c r="AF147" i="3"/>
  <c r="AF35" i="3"/>
  <c r="AF105" i="3"/>
  <c r="AF175" i="3"/>
  <c r="AF33" i="3"/>
  <c r="AF41" i="3"/>
  <c r="AF58" i="3"/>
  <c r="AF72" i="3"/>
  <c r="AF80" i="3"/>
  <c r="AF94" i="3"/>
  <c r="AF103" i="3"/>
  <c r="AF111" i="3"/>
  <c r="AF145" i="3"/>
  <c r="AF159" i="3"/>
  <c r="AF173" i="3"/>
  <c r="AF181" i="3"/>
  <c r="AF34" i="3"/>
  <c r="AF42" i="3"/>
  <c r="AF61" i="3"/>
  <c r="AF73" i="3"/>
  <c r="AF81" i="3"/>
  <c r="AF95" i="3"/>
  <c r="AF104" i="3"/>
  <c r="AF182" i="3"/>
  <c r="AF74" i="3"/>
  <c r="AF113" i="3"/>
  <c r="AF36" i="3"/>
  <c r="AF48" i="3"/>
  <c r="AF64" i="3"/>
  <c r="AF75" i="3"/>
  <c r="AF85" i="3"/>
  <c r="AF97" i="3"/>
  <c r="AF106" i="3"/>
  <c r="AF114" i="3"/>
  <c r="AF138" i="3"/>
  <c r="AF150" i="3"/>
  <c r="AF162" i="3"/>
  <c r="AF176" i="3"/>
  <c r="AF50" i="3"/>
  <c r="AF99" i="3"/>
  <c r="AF116" i="3"/>
  <c r="AF152" i="3"/>
  <c r="AF177" i="3"/>
  <c r="AF28" i="3"/>
  <c r="AF52" i="3"/>
  <c r="AF88" i="3"/>
  <c r="AF108" i="3"/>
  <c r="AF140" i="3"/>
  <c r="AF164" i="3"/>
  <c r="AF47" i="3"/>
  <c r="AF96" i="3"/>
  <c r="AF149" i="3"/>
  <c r="AF27" i="3"/>
  <c r="AF37" i="3"/>
  <c r="AF65" i="3"/>
  <c r="AF76" i="3"/>
  <c r="AF87" i="3"/>
  <c r="AF107" i="3"/>
  <c r="AF139" i="3"/>
  <c r="AF163" i="3"/>
  <c r="AF38" i="3"/>
  <c r="AF68" i="3"/>
  <c r="AF77" i="3"/>
  <c r="AF100" i="3"/>
  <c r="AF153" i="3"/>
  <c r="AF178" i="3"/>
  <c r="AF63" i="3"/>
  <c r="AF161" i="3"/>
  <c r="AG6" i="3"/>
  <c r="AG5" i="3"/>
  <c r="AG4" i="3"/>
  <c r="AG30" i="3"/>
  <c r="AG39" i="3"/>
  <c r="AG54" i="3"/>
  <c r="AG70" i="3"/>
  <c r="AG78" i="3"/>
  <c r="AG90" i="3"/>
  <c r="AG101" i="3"/>
  <c r="AG109" i="3"/>
  <c r="AG142" i="3"/>
  <c r="AG154" i="3"/>
  <c r="AG165" i="3"/>
  <c r="AG179" i="3"/>
  <c r="AG47" i="3"/>
  <c r="AG96" i="3"/>
  <c r="AG149" i="3"/>
  <c r="AG32" i="3"/>
  <c r="AG40" i="3"/>
  <c r="AG56" i="3"/>
  <c r="AG71" i="3"/>
  <c r="AG79" i="3"/>
  <c r="AG92" i="3"/>
  <c r="AG102" i="3"/>
  <c r="AG110" i="3"/>
  <c r="AG143" i="3"/>
  <c r="AG156" i="3"/>
  <c r="AG166" i="3"/>
  <c r="AG180" i="3"/>
  <c r="AG35" i="3"/>
  <c r="AG74" i="3"/>
  <c r="AG113" i="3"/>
  <c r="AG175" i="3"/>
  <c r="AG178" i="3"/>
  <c r="AG33" i="3"/>
  <c r="AG41" i="3"/>
  <c r="AG58" i="3"/>
  <c r="AG72" i="3"/>
  <c r="AG80" i="3"/>
  <c r="AG94" i="3"/>
  <c r="AG103" i="3"/>
  <c r="AG111" i="3"/>
  <c r="AG145" i="3"/>
  <c r="AG159" i="3"/>
  <c r="AG173" i="3"/>
  <c r="AG181" i="3"/>
  <c r="AG63" i="3"/>
  <c r="AG105" i="3"/>
  <c r="AG161" i="3"/>
  <c r="AG34" i="3"/>
  <c r="AG42" i="3"/>
  <c r="AG61" i="3"/>
  <c r="AG73" i="3"/>
  <c r="AG81" i="3"/>
  <c r="AG95" i="3"/>
  <c r="AG104" i="3"/>
  <c r="AG112" i="3"/>
  <c r="AG147" i="3"/>
  <c r="AG160" i="3"/>
  <c r="AG174" i="3"/>
  <c r="AG182" i="3"/>
  <c r="AG83" i="3"/>
  <c r="AG137" i="3"/>
  <c r="AG164" i="3"/>
  <c r="AG36" i="3"/>
  <c r="AG48" i="3"/>
  <c r="AG64" i="3"/>
  <c r="AG75" i="3"/>
  <c r="AG85" i="3"/>
  <c r="AG97" i="3"/>
  <c r="AG106" i="3"/>
  <c r="AG114" i="3"/>
  <c r="AG138" i="3"/>
  <c r="AG150" i="3"/>
  <c r="AG162" i="3"/>
  <c r="AG176" i="3"/>
  <c r="AG27" i="3"/>
  <c r="AG37" i="3"/>
  <c r="AG50" i="3"/>
  <c r="AG65" i="3"/>
  <c r="AG76" i="3"/>
  <c r="AG87" i="3"/>
  <c r="AG99" i="3"/>
  <c r="AG107" i="3"/>
  <c r="AG116" i="3"/>
  <c r="AG139" i="3"/>
  <c r="AG152" i="3"/>
  <c r="AG163" i="3"/>
  <c r="AG177" i="3"/>
  <c r="AG28" i="3"/>
  <c r="AG38" i="3"/>
  <c r="AG52" i="3"/>
  <c r="AG68" i="3"/>
  <c r="AG77" i="3"/>
  <c r="AG88" i="3"/>
  <c r="AG100" i="3"/>
  <c r="AG108" i="3"/>
  <c r="AG140" i="3"/>
  <c r="AG153" i="3"/>
  <c r="A227" i="8"/>
  <c r="A228" i="8"/>
  <c r="A229" i="8"/>
  <c r="B227" i="8"/>
  <c r="B228" i="8"/>
  <c r="B229" i="8"/>
  <c r="D227" i="8"/>
  <c r="D228" i="8"/>
  <c r="D229" i="8"/>
  <c r="E227" i="8"/>
  <c r="E228" i="8"/>
  <c r="E229" i="8"/>
  <c r="E235" i="8" l="1"/>
  <c r="D235" i="8"/>
  <c r="B235" i="8"/>
  <c r="A235" i="8"/>
  <c r="E234" i="8"/>
  <c r="D234" i="8"/>
  <c r="B234" i="8"/>
  <c r="A234" i="8"/>
  <c r="E233" i="8"/>
  <c r="D233" i="8"/>
  <c r="B233" i="8"/>
  <c r="A233" i="8"/>
  <c r="E232" i="8"/>
  <c r="D232" i="8"/>
  <c r="B232" i="8"/>
  <c r="A232" i="8"/>
  <c r="A212" i="8"/>
  <c r="A213" i="8"/>
  <c r="A214" i="8"/>
  <c r="A215" i="8"/>
  <c r="A219" i="8"/>
  <c r="B212" i="8"/>
  <c r="B213" i="8"/>
  <c r="B214" i="8"/>
  <c r="B215" i="8"/>
  <c r="B219" i="8"/>
  <c r="D212" i="8"/>
  <c r="D213" i="8"/>
  <c r="D214" i="8"/>
  <c r="D215" i="8"/>
  <c r="D219" i="8"/>
  <c r="E212" i="8"/>
  <c r="E213" i="8"/>
  <c r="E214" i="8"/>
  <c r="E215" i="8"/>
  <c r="E219" i="8"/>
  <c r="X169" i="3" l="1"/>
  <c r="X168" i="3"/>
  <c r="X12" i="3"/>
  <c r="X13" i="3"/>
  <c r="X171" i="3"/>
  <c r="X172" i="3"/>
  <c r="X170" i="3"/>
  <c r="X124" i="3"/>
  <c r="X20" i="3"/>
  <c r="X127" i="3"/>
  <c r="X125" i="3"/>
  <c r="X19" i="3"/>
  <c r="X126" i="3"/>
  <c r="X18" i="3"/>
  <c r="X128" i="3"/>
  <c r="X129" i="3"/>
  <c r="X131" i="3"/>
  <c r="X23" i="3"/>
  <c r="X115" i="3"/>
  <c r="X123" i="3"/>
  <c r="X57" i="3"/>
  <c r="X15" i="3"/>
  <c r="X14" i="3"/>
  <c r="X49" i="3"/>
  <c r="X43" i="3"/>
  <c r="X16" i="3"/>
  <c r="X44" i="3"/>
  <c r="X17" i="3"/>
  <c r="X51" i="3"/>
  <c r="X45" i="3"/>
  <c r="X60" i="3"/>
  <c r="X46" i="3"/>
  <c r="X22" i="3"/>
  <c r="X93" i="3"/>
  <c r="X62" i="3"/>
  <c r="X82" i="3"/>
  <c r="X98" i="3"/>
  <c r="X21" i="3"/>
  <c r="X130" i="3"/>
  <c r="X84" i="3"/>
  <c r="X91" i="3"/>
  <c r="X89" i="3"/>
  <c r="X59" i="3"/>
  <c r="X86" i="3"/>
  <c r="X53" i="3"/>
  <c r="X55" i="3"/>
  <c r="X132" i="3"/>
  <c r="X118" i="3"/>
  <c r="X25" i="3"/>
  <c r="X133" i="3"/>
  <c r="X167" i="3"/>
  <c r="X7" i="3"/>
  <c r="X136" i="3"/>
  <c r="X8" i="3"/>
  <c r="X26" i="3"/>
  <c r="X119" i="3"/>
  <c r="X24" i="3"/>
  <c r="X134" i="3"/>
  <c r="X144" i="3"/>
  <c r="X155" i="3"/>
  <c r="X157" i="3"/>
  <c r="X158" i="3"/>
  <c r="X135" i="3"/>
  <c r="X141" i="3"/>
  <c r="X146" i="3"/>
  <c r="X10" i="3"/>
  <c r="X69" i="3"/>
  <c r="X120" i="3"/>
  <c r="X11" i="3"/>
  <c r="X121" i="3"/>
  <c r="X9" i="3"/>
  <c r="X117" i="3"/>
  <c r="X148" i="3"/>
  <c r="X67" i="3"/>
  <c r="X29" i="3"/>
  <c r="X66" i="3"/>
  <c r="X151" i="3"/>
  <c r="X31" i="3"/>
  <c r="X6" i="3"/>
  <c r="X5" i="3"/>
  <c r="X34" i="3"/>
  <c r="X42" i="3"/>
  <c r="X61" i="3"/>
  <c r="X73" i="3"/>
  <c r="X81" i="3"/>
  <c r="X95" i="3"/>
  <c r="X104" i="3"/>
  <c r="X112" i="3"/>
  <c r="X145" i="3"/>
  <c r="X159" i="3"/>
  <c r="X173" i="3"/>
  <c r="X181" i="3"/>
  <c r="X79" i="3"/>
  <c r="X154" i="3"/>
  <c r="X72" i="3"/>
  <c r="X143" i="3"/>
  <c r="X35" i="3"/>
  <c r="X47" i="3"/>
  <c r="X63" i="3"/>
  <c r="X74" i="3"/>
  <c r="X83" i="3"/>
  <c r="X96" i="3"/>
  <c r="X105" i="3"/>
  <c r="X113" i="3"/>
  <c r="X147" i="3"/>
  <c r="X160" i="3"/>
  <c r="X174" i="3"/>
  <c r="X182" i="3"/>
  <c r="X71" i="3"/>
  <c r="X36" i="3"/>
  <c r="X48" i="3"/>
  <c r="X64" i="3"/>
  <c r="X75" i="3"/>
  <c r="X85" i="3"/>
  <c r="X97" i="3"/>
  <c r="X106" i="3"/>
  <c r="X114" i="3"/>
  <c r="X137" i="3"/>
  <c r="X149" i="3"/>
  <c r="X161" i="3"/>
  <c r="X175" i="3"/>
  <c r="X40" i="3"/>
  <c r="X92" i="3"/>
  <c r="X142" i="3"/>
  <c r="X41" i="3"/>
  <c r="X103" i="3"/>
  <c r="X166" i="3"/>
  <c r="X27" i="3"/>
  <c r="X37" i="3"/>
  <c r="X50" i="3"/>
  <c r="X65" i="3"/>
  <c r="X76" i="3"/>
  <c r="X87" i="3"/>
  <c r="X99" i="3"/>
  <c r="X107" i="3"/>
  <c r="X116" i="3"/>
  <c r="X138" i="3"/>
  <c r="X150" i="3"/>
  <c r="X162" i="3"/>
  <c r="X176" i="3"/>
  <c r="X80" i="3"/>
  <c r="X28" i="3"/>
  <c r="X38" i="3"/>
  <c r="X52" i="3"/>
  <c r="X68" i="3"/>
  <c r="X77" i="3"/>
  <c r="X88" i="3"/>
  <c r="X100" i="3"/>
  <c r="X108" i="3"/>
  <c r="X139" i="3"/>
  <c r="X152" i="3"/>
  <c r="X163" i="3"/>
  <c r="X177" i="3"/>
  <c r="X56" i="3"/>
  <c r="X110" i="3"/>
  <c r="X179" i="3"/>
  <c r="X33" i="3"/>
  <c r="X94" i="3"/>
  <c r="X156" i="3"/>
  <c r="X4" i="3"/>
  <c r="X30" i="3"/>
  <c r="X39" i="3"/>
  <c r="X54" i="3"/>
  <c r="X70" i="3"/>
  <c r="X78" i="3"/>
  <c r="X90" i="3"/>
  <c r="X101" i="3"/>
  <c r="X109" i="3"/>
  <c r="X140" i="3"/>
  <c r="X153" i="3"/>
  <c r="X164" i="3"/>
  <c r="X178" i="3"/>
  <c r="X32" i="3"/>
  <c r="X102" i="3"/>
  <c r="X165" i="3"/>
  <c r="X58" i="3"/>
  <c r="X111" i="3"/>
  <c r="X180" i="3"/>
  <c r="E226" i="8"/>
  <c r="D226" i="8"/>
  <c r="B226" i="8"/>
  <c r="A226" i="8"/>
  <c r="E225" i="8"/>
  <c r="D225" i="8"/>
  <c r="B225" i="8"/>
  <c r="A225" i="8"/>
  <c r="E224" i="8"/>
  <c r="D224" i="8"/>
  <c r="B224" i="8"/>
  <c r="A224" i="8"/>
  <c r="E223" i="8"/>
  <c r="D223" i="8"/>
  <c r="B223" i="8"/>
  <c r="A223" i="8"/>
  <c r="E222" i="8"/>
  <c r="D222" i="8"/>
  <c r="B222" i="8"/>
  <c r="A222" i="8"/>
  <c r="E211" i="8"/>
  <c r="D211" i="8"/>
  <c r="B211" i="8"/>
  <c r="A211" i="8"/>
  <c r="E210" i="8"/>
  <c r="D210" i="8"/>
  <c r="B210" i="8"/>
  <c r="A210" i="8"/>
  <c r="E209" i="8"/>
  <c r="D209" i="8"/>
  <c r="B209" i="8"/>
  <c r="A209" i="8"/>
  <c r="E208" i="8"/>
  <c r="D208" i="8"/>
  <c r="B208" i="8"/>
  <c r="A208" i="8"/>
  <c r="E207" i="8"/>
  <c r="D207" i="8"/>
  <c r="B207" i="8"/>
  <c r="V169" i="3" l="1"/>
  <c r="V168" i="3"/>
  <c r="V12" i="3"/>
  <c r="V13" i="3"/>
  <c r="V171" i="3"/>
  <c r="V172" i="3"/>
  <c r="V170" i="3"/>
  <c r="V124" i="3"/>
  <c r="V20" i="3"/>
  <c r="V127" i="3"/>
  <c r="W169" i="3"/>
  <c r="W168" i="3"/>
  <c r="W12" i="3"/>
  <c r="W13" i="3"/>
  <c r="W171" i="3"/>
  <c r="W172" i="3"/>
  <c r="W170" i="3"/>
  <c r="W124" i="3"/>
  <c r="W20" i="3"/>
  <c r="W127" i="3"/>
  <c r="W125" i="3"/>
  <c r="W19" i="3"/>
  <c r="W126" i="3"/>
  <c r="W128" i="3"/>
  <c r="W18" i="3"/>
  <c r="W129" i="3"/>
  <c r="W131" i="3"/>
  <c r="W23" i="3"/>
  <c r="W115" i="3"/>
  <c r="W57" i="3"/>
  <c r="W123" i="3"/>
  <c r="V14" i="3"/>
  <c r="V131" i="3"/>
  <c r="V115" i="3"/>
  <c r="V123" i="3"/>
  <c r="V15" i="3"/>
  <c r="V23" i="3"/>
  <c r="V128" i="3"/>
  <c r="V19" i="3"/>
  <c r="V126" i="3"/>
  <c r="V57" i="3"/>
  <c r="V125" i="3"/>
  <c r="V18" i="3"/>
  <c r="V129" i="3"/>
  <c r="W15" i="3"/>
  <c r="W14" i="3"/>
  <c r="W43" i="3"/>
  <c r="W16" i="3"/>
  <c r="W44" i="3"/>
  <c r="W17" i="3"/>
  <c r="W60" i="3"/>
  <c r="W45" i="3"/>
  <c r="W51" i="3"/>
  <c r="W49" i="3"/>
  <c r="W46" i="3"/>
  <c r="V49" i="3"/>
  <c r="V43" i="3"/>
  <c r="V16" i="3"/>
  <c r="V51" i="3"/>
  <c r="V44" i="3"/>
  <c r="V17" i="3"/>
  <c r="V45" i="3"/>
  <c r="V60" i="3"/>
  <c r="V46" i="3"/>
  <c r="V22" i="3"/>
  <c r="V89" i="3"/>
  <c r="V55" i="3"/>
  <c r="V98" i="3"/>
  <c r="V82" i="3"/>
  <c r="V59" i="3"/>
  <c r="V93" i="3"/>
  <c r="V62" i="3"/>
  <c r="V86" i="3"/>
  <c r="V21" i="3"/>
  <c r="V91" i="3"/>
  <c r="V53" i="3"/>
  <c r="V130" i="3"/>
  <c r="V84" i="3"/>
  <c r="W22" i="3"/>
  <c r="W82" i="3"/>
  <c r="W59" i="3"/>
  <c r="W93" i="3"/>
  <c r="W62" i="3"/>
  <c r="W21" i="3"/>
  <c r="W55" i="3"/>
  <c r="W98" i="3"/>
  <c r="W130" i="3"/>
  <c r="W86" i="3"/>
  <c r="W84" i="3"/>
  <c r="W91" i="3"/>
  <c r="W53" i="3"/>
  <c r="W89" i="3"/>
  <c r="W132" i="3"/>
  <c r="W26" i="3"/>
  <c r="W167" i="3"/>
  <c r="W136" i="3"/>
  <c r="W133" i="3"/>
  <c r="W8" i="3"/>
  <c r="W25" i="3"/>
  <c r="W7" i="3"/>
  <c r="W118" i="3"/>
  <c r="W119" i="3"/>
  <c r="W144" i="3"/>
  <c r="W134" i="3"/>
  <c r="W155" i="3"/>
  <c r="W157" i="3"/>
  <c r="W135" i="3"/>
  <c r="W24" i="3"/>
  <c r="W141" i="3"/>
  <c r="W158" i="3"/>
  <c r="W146" i="3"/>
  <c r="W69" i="3"/>
  <c r="W121" i="3"/>
  <c r="W120" i="3"/>
  <c r="W11" i="3"/>
  <c r="W10" i="3"/>
  <c r="W9" i="3"/>
  <c r="W31" i="3"/>
  <c r="W67" i="3"/>
  <c r="W66" i="3"/>
  <c r="W148" i="3"/>
  <c r="W29" i="3"/>
  <c r="W151" i="3"/>
  <c r="W117" i="3"/>
  <c r="V133" i="3"/>
  <c r="V25" i="3"/>
  <c r="V132" i="3"/>
  <c r="V7" i="3"/>
  <c r="V118" i="3"/>
  <c r="V167" i="3"/>
  <c r="V8" i="3"/>
  <c r="V26" i="3"/>
  <c r="V119" i="3"/>
  <c r="V136" i="3"/>
  <c r="V155" i="3"/>
  <c r="V157" i="3"/>
  <c r="V24" i="3"/>
  <c r="V144" i="3"/>
  <c r="V141" i="3"/>
  <c r="V135" i="3"/>
  <c r="V146" i="3"/>
  <c r="V134" i="3"/>
  <c r="V158" i="3"/>
  <c r="V120" i="3"/>
  <c r="V11" i="3"/>
  <c r="V121" i="3"/>
  <c r="V10" i="3"/>
  <c r="V69" i="3"/>
  <c r="V9" i="3"/>
  <c r="V117" i="3"/>
  <c r="V67" i="3"/>
  <c r="V66" i="3"/>
  <c r="V29" i="3"/>
  <c r="V151" i="3"/>
  <c r="V31" i="3"/>
  <c r="V148" i="3"/>
  <c r="V6" i="3"/>
  <c r="V5" i="3"/>
  <c r="V4" i="3"/>
  <c r="V27" i="3"/>
  <c r="V28" i="3"/>
  <c r="V30" i="3"/>
  <c r="V32" i="3"/>
  <c r="V33" i="3"/>
  <c r="V34" i="3"/>
  <c r="V35" i="3"/>
  <c r="V36" i="3"/>
  <c r="V37" i="3"/>
  <c r="V38" i="3"/>
  <c r="V39" i="3"/>
  <c r="V40" i="3"/>
  <c r="V41" i="3"/>
  <c r="V42" i="3"/>
  <c r="V47" i="3"/>
  <c r="V48" i="3"/>
  <c r="V50" i="3"/>
  <c r="V52" i="3"/>
  <c r="V54" i="3"/>
  <c r="V56" i="3"/>
  <c r="V58" i="3"/>
  <c r="V61" i="3"/>
  <c r="V63" i="3"/>
  <c r="V64" i="3"/>
  <c r="V65" i="3"/>
  <c r="V68" i="3"/>
  <c r="V70" i="3"/>
  <c r="V71" i="3"/>
  <c r="V72" i="3"/>
  <c r="V73" i="3"/>
  <c r="V74" i="3"/>
  <c r="V75" i="3"/>
  <c r="V76" i="3"/>
  <c r="V77" i="3"/>
  <c r="V78" i="3"/>
  <c r="V79" i="3"/>
  <c r="V80" i="3"/>
  <c r="V81" i="3"/>
  <c r="V83" i="3"/>
  <c r="V85" i="3"/>
  <c r="V87" i="3"/>
  <c r="V88" i="3"/>
  <c r="V90" i="3"/>
  <c r="V92" i="3"/>
  <c r="V94" i="3"/>
  <c r="V95" i="3"/>
  <c r="V96" i="3"/>
  <c r="V97" i="3"/>
  <c r="V99" i="3"/>
  <c r="V100" i="3"/>
  <c r="V101" i="3"/>
  <c r="V102" i="3"/>
  <c r="V103" i="3"/>
  <c r="V104" i="3"/>
  <c r="V105" i="3"/>
  <c r="V106" i="3"/>
  <c r="V107" i="3"/>
  <c r="V108" i="3"/>
  <c r="V109" i="3"/>
  <c r="V110" i="3"/>
  <c r="V111" i="3"/>
  <c r="V112" i="3"/>
  <c r="V113" i="3"/>
  <c r="V114" i="3"/>
  <c r="V116" i="3"/>
  <c r="V137" i="3"/>
  <c r="V138" i="3"/>
  <c r="V139" i="3"/>
  <c r="V140" i="3"/>
  <c r="V142" i="3"/>
  <c r="V143" i="3"/>
  <c r="V145" i="3"/>
  <c r="V147" i="3"/>
  <c r="V149" i="3"/>
  <c r="V150" i="3"/>
  <c r="V152" i="3"/>
  <c r="V153" i="3"/>
  <c r="V154" i="3"/>
  <c r="V156" i="3"/>
  <c r="V159" i="3"/>
  <c r="V160" i="3"/>
  <c r="V161" i="3"/>
  <c r="V162" i="3"/>
  <c r="V163" i="3"/>
  <c r="V164" i="3"/>
  <c r="V165" i="3"/>
  <c r="V166" i="3"/>
  <c r="V173" i="3"/>
  <c r="V174" i="3"/>
  <c r="V175" i="3"/>
  <c r="V176" i="3"/>
  <c r="V177" i="3"/>
  <c r="V178" i="3"/>
  <c r="V179" i="3"/>
  <c r="V180" i="3"/>
  <c r="V181" i="3"/>
  <c r="V182" i="3"/>
  <c r="W6" i="3"/>
  <c r="W5" i="3"/>
  <c r="W4" i="3"/>
  <c r="W27" i="3"/>
  <c r="W28" i="3"/>
  <c r="W30" i="3"/>
  <c r="W32" i="3"/>
  <c r="W33" i="3"/>
  <c r="W34" i="3"/>
  <c r="W35" i="3"/>
  <c r="W36" i="3"/>
  <c r="W37" i="3"/>
  <c r="W38" i="3"/>
  <c r="W39" i="3"/>
  <c r="W40" i="3"/>
  <c r="W41" i="3"/>
  <c r="W42" i="3"/>
  <c r="W47" i="3"/>
  <c r="W48" i="3"/>
  <c r="W50" i="3"/>
  <c r="W52" i="3"/>
  <c r="W54" i="3"/>
  <c r="W56" i="3"/>
  <c r="W58" i="3"/>
  <c r="W61" i="3"/>
  <c r="W63" i="3"/>
  <c r="W64" i="3"/>
  <c r="W65" i="3"/>
  <c r="W68" i="3"/>
  <c r="W70" i="3"/>
  <c r="W71" i="3"/>
  <c r="W72" i="3"/>
  <c r="W73" i="3"/>
  <c r="W74" i="3"/>
  <c r="W75" i="3"/>
  <c r="W76" i="3"/>
  <c r="W77" i="3"/>
  <c r="W78" i="3"/>
  <c r="W79" i="3"/>
  <c r="W80" i="3"/>
  <c r="W81" i="3"/>
  <c r="W83" i="3"/>
  <c r="W85" i="3"/>
  <c r="W87" i="3"/>
  <c r="W88" i="3"/>
  <c r="W90" i="3"/>
  <c r="W92" i="3"/>
  <c r="W94" i="3"/>
  <c r="W95" i="3"/>
  <c r="W96" i="3"/>
  <c r="W97" i="3"/>
  <c r="W99" i="3"/>
  <c r="W100" i="3"/>
  <c r="W101" i="3"/>
  <c r="W102" i="3"/>
  <c r="W103" i="3"/>
  <c r="W104" i="3"/>
  <c r="W105" i="3"/>
  <c r="W106" i="3"/>
  <c r="W107" i="3"/>
  <c r="W108" i="3"/>
  <c r="W109" i="3"/>
  <c r="W110" i="3"/>
  <c r="W111" i="3"/>
  <c r="W112" i="3"/>
  <c r="W113" i="3"/>
  <c r="W114" i="3"/>
  <c r="W116" i="3"/>
  <c r="W137" i="3"/>
  <c r="W138" i="3"/>
  <c r="W139" i="3"/>
  <c r="W140" i="3"/>
  <c r="W142" i="3"/>
  <c r="W143" i="3"/>
  <c r="W145" i="3"/>
  <c r="W147" i="3"/>
  <c r="W149" i="3"/>
  <c r="W150" i="3"/>
  <c r="W152" i="3"/>
  <c r="W153" i="3"/>
  <c r="W154" i="3"/>
  <c r="W156" i="3"/>
  <c r="W159" i="3"/>
  <c r="W160" i="3"/>
  <c r="W161" i="3"/>
  <c r="W162" i="3"/>
  <c r="W163" i="3"/>
  <c r="W164" i="3"/>
  <c r="W165" i="3"/>
  <c r="W166" i="3"/>
  <c r="W173" i="3"/>
  <c r="W174" i="3"/>
  <c r="W175" i="3"/>
  <c r="W176" i="3"/>
  <c r="W177" i="3"/>
  <c r="W178" i="3"/>
  <c r="W179" i="3"/>
  <c r="W180" i="3"/>
  <c r="W181" i="3"/>
  <c r="W182" i="3"/>
  <c r="E192" i="8"/>
  <c r="D192" i="8"/>
  <c r="B192" i="8"/>
  <c r="A192" i="8"/>
  <c r="E191" i="8"/>
  <c r="D191" i="8"/>
  <c r="B191" i="8"/>
  <c r="A191" i="8"/>
  <c r="E190" i="8"/>
  <c r="D190" i="8"/>
  <c r="B190" i="8"/>
  <c r="A190" i="8"/>
  <c r="E189" i="8"/>
  <c r="D189" i="8"/>
  <c r="B189" i="8"/>
  <c r="A189" i="8"/>
  <c r="E188" i="8"/>
  <c r="D188" i="8"/>
  <c r="B188" i="8"/>
  <c r="A188" i="8"/>
  <c r="A176" i="8"/>
  <c r="A177" i="8"/>
  <c r="A178" i="8"/>
  <c r="B176" i="8"/>
  <c r="B177" i="8"/>
  <c r="B178" i="8"/>
  <c r="D176" i="8"/>
  <c r="D177" i="8"/>
  <c r="D178" i="8"/>
  <c r="E176" i="8"/>
  <c r="E177" i="8"/>
  <c r="E178" i="8"/>
  <c r="U169" i="3" l="1"/>
  <c r="U168" i="3"/>
  <c r="U12" i="3"/>
  <c r="U13" i="3"/>
  <c r="U171" i="3"/>
  <c r="U172" i="3"/>
  <c r="U170" i="3"/>
  <c r="U124" i="3"/>
  <c r="U20" i="3"/>
  <c r="U127" i="3"/>
  <c r="U126" i="3"/>
  <c r="U19" i="3"/>
  <c r="U125" i="3"/>
  <c r="U128" i="3"/>
  <c r="U129" i="3"/>
  <c r="U18" i="3"/>
  <c r="U131" i="3"/>
  <c r="U23" i="3"/>
  <c r="U115" i="3"/>
  <c r="U123" i="3"/>
  <c r="U57" i="3"/>
  <c r="U14" i="3"/>
  <c r="U15" i="3"/>
  <c r="U44" i="3"/>
  <c r="U17" i="3"/>
  <c r="U49" i="3"/>
  <c r="U46" i="3"/>
  <c r="U60" i="3"/>
  <c r="U51" i="3"/>
  <c r="U45" i="3"/>
  <c r="U43" i="3"/>
  <c r="U16" i="3"/>
  <c r="U22" i="3"/>
  <c r="U89" i="3"/>
  <c r="U55" i="3"/>
  <c r="U82" i="3"/>
  <c r="U59" i="3"/>
  <c r="U84" i="3"/>
  <c r="U93" i="3"/>
  <c r="U62" i="3"/>
  <c r="U98" i="3"/>
  <c r="U21" i="3"/>
  <c r="U91" i="3"/>
  <c r="U130" i="3"/>
  <c r="U86" i="3"/>
  <c r="U53" i="3"/>
  <c r="U133" i="3"/>
  <c r="U26" i="3"/>
  <c r="U136" i="3"/>
  <c r="U7" i="3"/>
  <c r="U118" i="3"/>
  <c r="U25" i="3"/>
  <c r="U167" i="3"/>
  <c r="U8" i="3"/>
  <c r="U119" i="3"/>
  <c r="U132" i="3"/>
  <c r="U157" i="3"/>
  <c r="U141" i="3"/>
  <c r="U24" i="3"/>
  <c r="U146" i="3"/>
  <c r="U134" i="3"/>
  <c r="U158" i="3"/>
  <c r="U135" i="3"/>
  <c r="U144" i="3"/>
  <c r="U155" i="3"/>
  <c r="U10" i="3"/>
  <c r="U69" i="3"/>
  <c r="U120" i="3"/>
  <c r="U11" i="3"/>
  <c r="U121" i="3"/>
  <c r="U9" i="3"/>
  <c r="U117" i="3"/>
  <c r="U31" i="3"/>
  <c r="U67" i="3"/>
  <c r="U66" i="3"/>
  <c r="U148" i="3"/>
  <c r="U29" i="3"/>
  <c r="U151" i="3"/>
  <c r="U6" i="3"/>
  <c r="U5" i="3"/>
  <c r="U4" i="3"/>
  <c r="U27" i="3"/>
  <c r="U28" i="3"/>
  <c r="U30" i="3"/>
  <c r="U32" i="3"/>
  <c r="U33" i="3"/>
  <c r="U34" i="3"/>
  <c r="U35" i="3"/>
  <c r="U36" i="3"/>
  <c r="U37" i="3"/>
  <c r="U38" i="3"/>
  <c r="U39" i="3"/>
  <c r="U40" i="3"/>
  <c r="U41" i="3"/>
  <c r="U42" i="3"/>
  <c r="U47" i="3"/>
  <c r="U48" i="3"/>
  <c r="U50" i="3"/>
  <c r="U52" i="3"/>
  <c r="U54" i="3"/>
  <c r="U56" i="3"/>
  <c r="U58" i="3"/>
  <c r="U61" i="3"/>
  <c r="U63" i="3"/>
  <c r="U64" i="3"/>
  <c r="U65" i="3"/>
  <c r="U68" i="3"/>
  <c r="U70" i="3"/>
  <c r="U71" i="3"/>
  <c r="U72" i="3"/>
  <c r="U73" i="3"/>
  <c r="U74" i="3"/>
  <c r="U75" i="3"/>
  <c r="U76" i="3"/>
  <c r="U77" i="3"/>
  <c r="U78" i="3"/>
  <c r="U79" i="3"/>
  <c r="U80" i="3"/>
  <c r="U81" i="3"/>
  <c r="U83" i="3"/>
  <c r="U85" i="3"/>
  <c r="U87" i="3"/>
  <c r="U88" i="3"/>
  <c r="U90" i="3"/>
  <c r="U92" i="3"/>
  <c r="U94" i="3"/>
  <c r="U95" i="3"/>
  <c r="U96" i="3"/>
  <c r="U97" i="3"/>
  <c r="U99" i="3"/>
  <c r="U100" i="3"/>
  <c r="U101" i="3"/>
  <c r="U102" i="3"/>
  <c r="U103" i="3"/>
  <c r="U104" i="3"/>
  <c r="U105" i="3"/>
  <c r="U106" i="3"/>
  <c r="U107" i="3"/>
  <c r="U108" i="3"/>
  <c r="U109" i="3"/>
  <c r="U110" i="3"/>
  <c r="U111" i="3"/>
  <c r="U112" i="3"/>
  <c r="U113" i="3"/>
  <c r="U114" i="3"/>
  <c r="U116" i="3"/>
  <c r="U137" i="3"/>
  <c r="U138" i="3"/>
  <c r="U139" i="3"/>
  <c r="U140" i="3"/>
  <c r="U142" i="3"/>
  <c r="U143" i="3"/>
  <c r="U145" i="3"/>
  <c r="U147" i="3"/>
  <c r="U149" i="3"/>
  <c r="U150" i="3"/>
  <c r="U152" i="3"/>
  <c r="U153" i="3"/>
  <c r="U154" i="3"/>
  <c r="U156" i="3"/>
  <c r="U159" i="3"/>
  <c r="U160" i="3"/>
  <c r="U161" i="3"/>
  <c r="U162" i="3"/>
  <c r="U163" i="3"/>
  <c r="U164" i="3"/>
  <c r="U165" i="3"/>
  <c r="U166" i="3"/>
  <c r="U173" i="3"/>
  <c r="U174" i="3"/>
  <c r="U175" i="3"/>
  <c r="U176" i="3"/>
  <c r="U177" i="3"/>
  <c r="U178" i="3"/>
  <c r="U179" i="3"/>
  <c r="U180" i="3"/>
  <c r="U181" i="3"/>
  <c r="U182" i="3"/>
  <c r="E184" i="8"/>
  <c r="D184" i="8"/>
  <c r="B184" i="8"/>
  <c r="A184" i="8"/>
  <c r="E183" i="8"/>
  <c r="D183" i="8"/>
  <c r="B183" i="8"/>
  <c r="A183" i="8"/>
  <c r="E182" i="8"/>
  <c r="D182" i="8"/>
  <c r="B182" i="8"/>
  <c r="A182" i="8"/>
  <c r="E181" i="8"/>
  <c r="D181" i="8"/>
  <c r="B181" i="8"/>
  <c r="A181" i="8"/>
  <c r="A164" i="8"/>
  <c r="A165" i="8"/>
  <c r="A166" i="8"/>
  <c r="A167" i="8"/>
  <c r="A168" i="8"/>
  <c r="B164" i="8"/>
  <c r="B165" i="8"/>
  <c r="B166" i="8"/>
  <c r="B167" i="8"/>
  <c r="B168" i="8"/>
  <c r="D164" i="8"/>
  <c r="D165" i="8"/>
  <c r="D166" i="8"/>
  <c r="D167" i="8"/>
  <c r="D168" i="8"/>
  <c r="E164" i="8"/>
  <c r="E165" i="8"/>
  <c r="E166" i="8"/>
  <c r="E167" i="8"/>
  <c r="E168" i="8"/>
  <c r="T169" i="3" l="1"/>
  <c r="T168" i="3"/>
  <c r="T12" i="3"/>
  <c r="T13" i="3"/>
  <c r="T171" i="3"/>
  <c r="T172" i="3"/>
  <c r="T170" i="3"/>
  <c r="T124" i="3"/>
  <c r="T20" i="3"/>
  <c r="T127" i="3"/>
  <c r="T19" i="3"/>
  <c r="T125" i="3"/>
  <c r="T126" i="3"/>
  <c r="T129" i="3"/>
  <c r="T18" i="3"/>
  <c r="T128" i="3"/>
  <c r="T131" i="3"/>
  <c r="T23" i="3"/>
  <c r="T115" i="3"/>
  <c r="T123" i="3"/>
  <c r="T57" i="3"/>
  <c r="T14" i="3"/>
  <c r="T15" i="3"/>
  <c r="T60" i="3"/>
  <c r="T43" i="3"/>
  <c r="T51" i="3"/>
  <c r="T45" i="3"/>
  <c r="T16" i="3"/>
  <c r="T46" i="3"/>
  <c r="T49" i="3"/>
  <c r="T44" i="3"/>
  <c r="T17" i="3"/>
  <c r="T22" i="3"/>
  <c r="T93" i="3"/>
  <c r="T53" i="3"/>
  <c r="T130" i="3"/>
  <c r="T55" i="3"/>
  <c r="T91" i="3"/>
  <c r="T84" i="3"/>
  <c r="T59" i="3"/>
  <c r="T86" i="3"/>
  <c r="T98" i="3"/>
  <c r="T62" i="3"/>
  <c r="T82" i="3"/>
  <c r="T89" i="3"/>
  <c r="T21" i="3"/>
  <c r="T7" i="3"/>
  <c r="T118" i="3"/>
  <c r="T136" i="3"/>
  <c r="T25" i="3"/>
  <c r="T132" i="3"/>
  <c r="T133" i="3"/>
  <c r="T8" i="3"/>
  <c r="T119" i="3"/>
  <c r="T167" i="3"/>
  <c r="T26" i="3"/>
  <c r="T141" i="3"/>
  <c r="T157" i="3"/>
  <c r="T146" i="3"/>
  <c r="T134" i="3"/>
  <c r="T158" i="3"/>
  <c r="T135" i="3"/>
  <c r="T155" i="3"/>
  <c r="T24" i="3"/>
  <c r="T144" i="3"/>
  <c r="T121" i="3"/>
  <c r="T69" i="3"/>
  <c r="T10" i="3"/>
  <c r="T120" i="3"/>
  <c r="T11" i="3"/>
  <c r="T9" i="3"/>
  <c r="T117" i="3"/>
  <c r="T67" i="3"/>
  <c r="T29" i="3"/>
  <c r="T66" i="3"/>
  <c r="T151" i="3"/>
  <c r="T31" i="3"/>
  <c r="T148" i="3"/>
  <c r="T6" i="3"/>
  <c r="T5" i="3"/>
  <c r="T4" i="3"/>
  <c r="T27" i="3"/>
  <c r="T28" i="3"/>
  <c r="T30" i="3"/>
  <c r="T32" i="3"/>
  <c r="T33" i="3"/>
  <c r="T34" i="3"/>
  <c r="T35" i="3"/>
  <c r="T36" i="3"/>
  <c r="T37" i="3"/>
  <c r="T38" i="3"/>
  <c r="T39" i="3"/>
  <c r="T40" i="3"/>
  <c r="T41" i="3"/>
  <c r="T42" i="3"/>
  <c r="T47" i="3"/>
  <c r="T48" i="3"/>
  <c r="T50" i="3"/>
  <c r="T52" i="3"/>
  <c r="T54" i="3"/>
  <c r="T56" i="3"/>
  <c r="T58" i="3"/>
  <c r="T61" i="3"/>
  <c r="T63" i="3"/>
  <c r="T64" i="3"/>
  <c r="T65" i="3"/>
  <c r="T68" i="3"/>
  <c r="T70" i="3"/>
  <c r="T71" i="3"/>
  <c r="T72" i="3"/>
  <c r="T73" i="3"/>
  <c r="T74" i="3"/>
  <c r="T75" i="3"/>
  <c r="T76" i="3"/>
  <c r="T77" i="3"/>
  <c r="T78" i="3"/>
  <c r="T79" i="3"/>
  <c r="T80" i="3"/>
  <c r="T81" i="3"/>
  <c r="T83" i="3"/>
  <c r="T85" i="3"/>
  <c r="T87" i="3"/>
  <c r="T88" i="3"/>
  <c r="T90" i="3"/>
  <c r="T92" i="3"/>
  <c r="T94" i="3"/>
  <c r="T95" i="3"/>
  <c r="T96" i="3"/>
  <c r="T97" i="3"/>
  <c r="T99" i="3"/>
  <c r="T100" i="3"/>
  <c r="T101" i="3"/>
  <c r="T102" i="3"/>
  <c r="T103" i="3"/>
  <c r="T104" i="3"/>
  <c r="T105" i="3"/>
  <c r="T106" i="3"/>
  <c r="T107" i="3"/>
  <c r="T108" i="3"/>
  <c r="T109" i="3"/>
  <c r="T110" i="3"/>
  <c r="T111" i="3"/>
  <c r="T112" i="3"/>
  <c r="T113" i="3"/>
  <c r="T114" i="3"/>
  <c r="T116" i="3"/>
  <c r="T137" i="3"/>
  <c r="T138" i="3"/>
  <c r="T139" i="3"/>
  <c r="T140" i="3"/>
  <c r="T142" i="3"/>
  <c r="T143" i="3"/>
  <c r="T145" i="3"/>
  <c r="T147" i="3"/>
  <c r="T149" i="3"/>
  <c r="T150" i="3"/>
  <c r="T152" i="3"/>
  <c r="T153" i="3"/>
  <c r="T154" i="3"/>
  <c r="T156" i="3"/>
  <c r="T159" i="3"/>
  <c r="T160" i="3"/>
  <c r="T161" i="3"/>
  <c r="T162" i="3"/>
  <c r="T163" i="3"/>
  <c r="T164" i="3"/>
  <c r="T165" i="3"/>
  <c r="T166" i="3"/>
  <c r="T173" i="3"/>
  <c r="T174" i="3"/>
  <c r="T175" i="3"/>
  <c r="T176" i="3"/>
  <c r="T177" i="3"/>
  <c r="T178" i="3"/>
  <c r="T179" i="3"/>
  <c r="T180" i="3"/>
  <c r="T181" i="3"/>
  <c r="T182" i="3"/>
  <c r="A163" i="8"/>
  <c r="B163" i="8"/>
  <c r="D163" i="8"/>
  <c r="E163" i="8"/>
  <c r="A157" i="8"/>
  <c r="A158" i="8"/>
  <c r="A159" i="8"/>
  <c r="A160" i="8"/>
  <c r="A161" i="8"/>
  <c r="A162" i="8"/>
  <c r="B157" i="8"/>
  <c r="B158" i="8"/>
  <c r="B159" i="8"/>
  <c r="B160" i="8"/>
  <c r="B161" i="8"/>
  <c r="B162" i="8"/>
  <c r="D157" i="8"/>
  <c r="D158" i="8"/>
  <c r="D159" i="8"/>
  <c r="D160" i="8"/>
  <c r="D161" i="8"/>
  <c r="D162" i="8"/>
  <c r="E157" i="8"/>
  <c r="E158" i="8"/>
  <c r="E159" i="8"/>
  <c r="E160" i="8"/>
  <c r="E161" i="8"/>
  <c r="E162" i="8"/>
  <c r="E175" i="8" l="1"/>
  <c r="D175" i="8"/>
  <c r="B175" i="8"/>
  <c r="A175" i="8"/>
  <c r="E174" i="8"/>
  <c r="D174" i="8"/>
  <c r="B174" i="8"/>
  <c r="A174" i="8"/>
  <c r="E173" i="8"/>
  <c r="D173" i="8"/>
  <c r="B173" i="8"/>
  <c r="A173" i="8"/>
  <c r="E172" i="8"/>
  <c r="D172" i="8"/>
  <c r="B172" i="8"/>
  <c r="A172" i="8"/>
  <c r="E171" i="8"/>
  <c r="D171" i="8"/>
  <c r="B171" i="8"/>
  <c r="A171" i="8"/>
  <c r="A140" i="8"/>
  <c r="A141" i="8"/>
  <c r="A142" i="8"/>
  <c r="A143" i="8"/>
  <c r="A144" i="8"/>
  <c r="B140" i="8"/>
  <c r="B141" i="8"/>
  <c r="B142" i="8"/>
  <c r="B143" i="8"/>
  <c r="B144" i="8"/>
  <c r="D140" i="8"/>
  <c r="D141" i="8"/>
  <c r="D142" i="8"/>
  <c r="D143" i="8"/>
  <c r="D144" i="8"/>
  <c r="E140" i="8"/>
  <c r="E141" i="8"/>
  <c r="E142" i="8"/>
  <c r="E143" i="8"/>
  <c r="E144" i="8"/>
  <c r="S169" i="3" l="1"/>
  <c r="S168" i="3"/>
  <c r="S12" i="3"/>
  <c r="S13" i="3"/>
  <c r="S171" i="3"/>
  <c r="S172" i="3"/>
  <c r="S170" i="3"/>
  <c r="S124" i="3"/>
  <c r="S20" i="3"/>
  <c r="S127" i="3"/>
  <c r="S126" i="3"/>
  <c r="S125" i="3"/>
  <c r="S19" i="3"/>
  <c r="S18" i="3"/>
  <c r="S128" i="3"/>
  <c r="S129" i="3"/>
  <c r="S131" i="3"/>
  <c r="S115" i="3"/>
  <c r="S23" i="3"/>
  <c r="S57" i="3"/>
  <c r="S123" i="3"/>
  <c r="S14" i="3"/>
  <c r="S15" i="3"/>
  <c r="S60" i="3"/>
  <c r="S43" i="3"/>
  <c r="S51" i="3"/>
  <c r="S45" i="3"/>
  <c r="S44" i="3"/>
  <c r="S46" i="3"/>
  <c r="S16" i="3"/>
  <c r="S49" i="3"/>
  <c r="S17" i="3"/>
  <c r="S22" i="3"/>
  <c r="S93" i="3"/>
  <c r="S53" i="3"/>
  <c r="S21" i="3"/>
  <c r="S82" i="3"/>
  <c r="S55" i="3"/>
  <c r="S130" i="3"/>
  <c r="S84" i="3"/>
  <c r="S59" i="3"/>
  <c r="S62" i="3"/>
  <c r="S89" i="3"/>
  <c r="S91" i="3"/>
  <c r="S86" i="3"/>
  <c r="S98" i="3"/>
  <c r="S7" i="3"/>
  <c r="S118" i="3"/>
  <c r="S26" i="3"/>
  <c r="S136" i="3"/>
  <c r="S25" i="3"/>
  <c r="S8" i="3"/>
  <c r="S119" i="3"/>
  <c r="S133" i="3"/>
  <c r="S167" i="3"/>
  <c r="S132" i="3"/>
  <c r="S146" i="3"/>
  <c r="S157" i="3"/>
  <c r="S134" i="3"/>
  <c r="S158" i="3"/>
  <c r="S135" i="3"/>
  <c r="S24" i="3"/>
  <c r="S155" i="3"/>
  <c r="S141" i="3"/>
  <c r="S144" i="3"/>
  <c r="S10" i="3"/>
  <c r="S120" i="3"/>
  <c r="S11" i="3"/>
  <c r="S121" i="3"/>
  <c r="S69" i="3"/>
  <c r="S9" i="3"/>
  <c r="S117" i="3"/>
  <c r="S31" i="3"/>
  <c r="S148" i="3"/>
  <c r="S67" i="3"/>
  <c r="S66" i="3"/>
  <c r="S29" i="3"/>
  <c r="S151" i="3"/>
  <c r="S6" i="3"/>
  <c r="S5" i="3"/>
  <c r="S4" i="3"/>
  <c r="S27" i="3"/>
  <c r="S28" i="3"/>
  <c r="S30" i="3"/>
  <c r="S32" i="3"/>
  <c r="S33" i="3"/>
  <c r="S34" i="3"/>
  <c r="S35" i="3"/>
  <c r="S36" i="3"/>
  <c r="S37" i="3"/>
  <c r="S38" i="3"/>
  <c r="S39" i="3"/>
  <c r="S40" i="3"/>
  <c r="S41" i="3"/>
  <c r="S42" i="3"/>
  <c r="S47" i="3"/>
  <c r="S48" i="3"/>
  <c r="S50" i="3"/>
  <c r="S52" i="3"/>
  <c r="S54" i="3"/>
  <c r="S56" i="3"/>
  <c r="S58" i="3"/>
  <c r="S61" i="3"/>
  <c r="S63" i="3"/>
  <c r="S64" i="3"/>
  <c r="S65" i="3"/>
  <c r="S68" i="3"/>
  <c r="S70" i="3"/>
  <c r="S71" i="3"/>
  <c r="S72" i="3"/>
  <c r="S73" i="3"/>
  <c r="S74" i="3"/>
  <c r="S75" i="3"/>
  <c r="S76" i="3"/>
  <c r="S77" i="3"/>
  <c r="S78" i="3"/>
  <c r="S79" i="3"/>
  <c r="S80" i="3"/>
  <c r="S81" i="3"/>
  <c r="S83" i="3"/>
  <c r="S85" i="3"/>
  <c r="S87" i="3"/>
  <c r="S88" i="3"/>
  <c r="S90" i="3"/>
  <c r="S92" i="3"/>
  <c r="S94" i="3"/>
  <c r="S95" i="3"/>
  <c r="S96" i="3"/>
  <c r="S97" i="3"/>
  <c r="S99" i="3"/>
  <c r="S100" i="3"/>
  <c r="S101" i="3"/>
  <c r="S102" i="3"/>
  <c r="S103" i="3"/>
  <c r="S104" i="3"/>
  <c r="S105" i="3"/>
  <c r="S106" i="3"/>
  <c r="S107" i="3"/>
  <c r="S108" i="3"/>
  <c r="S109" i="3"/>
  <c r="S110" i="3"/>
  <c r="S111" i="3"/>
  <c r="S112" i="3"/>
  <c r="S113" i="3"/>
  <c r="S114" i="3"/>
  <c r="S116" i="3"/>
  <c r="S137" i="3"/>
  <c r="S138" i="3"/>
  <c r="S139" i="3"/>
  <c r="S140" i="3"/>
  <c r="S142" i="3"/>
  <c r="S143" i="3"/>
  <c r="S145" i="3"/>
  <c r="S147" i="3"/>
  <c r="S149" i="3"/>
  <c r="S150" i="3"/>
  <c r="S152" i="3"/>
  <c r="S153" i="3"/>
  <c r="S154" i="3"/>
  <c r="S156" i="3"/>
  <c r="S159" i="3"/>
  <c r="S160" i="3"/>
  <c r="S161" i="3"/>
  <c r="S162" i="3"/>
  <c r="S163" i="3"/>
  <c r="S164" i="3"/>
  <c r="S165" i="3"/>
  <c r="S166" i="3"/>
  <c r="S173" i="3"/>
  <c r="S174" i="3"/>
  <c r="S175" i="3"/>
  <c r="S176" i="3"/>
  <c r="S177" i="3"/>
  <c r="S178" i="3"/>
  <c r="S179" i="3"/>
  <c r="S180" i="3"/>
  <c r="S181" i="3"/>
  <c r="S182" i="3"/>
  <c r="A139" i="8"/>
  <c r="B139" i="8"/>
  <c r="D139" i="8"/>
  <c r="E139" i="8"/>
  <c r="A132" i="8"/>
  <c r="A133" i="8"/>
  <c r="A134" i="8"/>
  <c r="A135" i="8"/>
  <c r="A136" i="8"/>
  <c r="A137" i="8"/>
  <c r="A138" i="8"/>
  <c r="B132" i="8"/>
  <c r="B133" i="8"/>
  <c r="B134" i="8"/>
  <c r="B135" i="8"/>
  <c r="B136" i="8"/>
  <c r="B137" i="8"/>
  <c r="B138" i="8"/>
  <c r="D132" i="8"/>
  <c r="D133" i="8"/>
  <c r="D134" i="8"/>
  <c r="D135" i="8"/>
  <c r="D136" i="8"/>
  <c r="D137" i="8"/>
  <c r="D138" i="8"/>
  <c r="E132" i="8"/>
  <c r="E133" i="8"/>
  <c r="E134" i="8"/>
  <c r="E135" i="8"/>
  <c r="E136" i="8"/>
  <c r="E137" i="8"/>
  <c r="E138" i="8"/>
  <c r="E156" i="8" l="1"/>
  <c r="D156" i="8"/>
  <c r="B156" i="8"/>
  <c r="A156" i="8"/>
  <c r="E155" i="8"/>
  <c r="D155" i="8"/>
  <c r="B155" i="8"/>
  <c r="A155" i="8"/>
  <c r="E154" i="8"/>
  <c r="D154" i="8"/>
  <c r="B154" i="8"/>
  <c r="A154" i="8"/>
  <c r="E153" i="8"/>
  <c r="D153" i="8"/>
  <c r="B153" i="8"/>
  <c r="A153" i="8"/>
  <c r="E152" i="8"/>
  <c r="D152" i="8"/>
  <c r="B152" i="8"/>
  <c r="A152" i="8"/>
  <c r="E131" i="8"/>
  <c r="D131" i="8"/>
  <c r="B131" i="8"/>
  <c r="A131" i="8"/>
  <c r="E130" i="8"/>
  <c r="D130" i="8"/>
  <c r="B130" i="8"/>
  <c r="A130" i="8"/>
  <c r="E129" i="8"/>
  <c r="D129" i="8"/>
  <c r="B129" i="8"/>
  <c r="A129" i="8"/>
  <c r="E128" i="8"/>
  <c r="D128" i="8"/>
  <c r="B128" i="8"/>
  <c r="A128" i="8"/>
  <c r="E127" i="8"/>
  <c r="D127" i="8"/>
  <c r="B127" i="8"/>
  <c r="A127" i="8"/>
  <c r="Q169" i="3" l="1"/>
  <c r="Q168" i="3"/>
  <c r="Q12" i="3"/>
  <c r="Q13" i="3"/>
  <c r="Q171" i="3"/>
  <c r="Q172" i="3"/>
  <c r="Q170" i="3"/>
  <c r="Q124" i="3"/>
  <c r="Q20" i="3"/>
  <c r="Q127" i="3"/>
  <c r="R169" i="3"/>
  <c r="R168" i="3"/>
  <c r="R12" i="3"/>
  <c r="R13" i="3"/>
  <c r="R171" i="3"/>
  <c r="R172" i="3"/>
  <c r="R170" i="3"/>
  <c r="R124" i="3"/>
  <c r="R20" i="3"/>
  <c r="R127" i="3"/>
  <c r="Q126" i="3"/>
  <c r="Q125" i="3"/>
  <c r="Q19" i="3"/>
  <c r="Q18" i="3"/>
  <c r="Q128" i="3"/>
  <c r="Q129" i="3"/>
  <c r="Q131" i="3"/>
  <c r="Q23" i="3"/>
  <c r="Q115" i="3"/>
  <c r="Q123" i="3"/>
  <c r="Q57" i="3"/>
  <c r="Q14" i="3"/>
  <c r="Q15" i="3"/>
  <c r="R126" i="3"/>
  <c r="R125" i="3"/>
  <c r="R19" i="3"/>
  <c r="R129" i="3"/>
  <c r="R18" i="3"/>
  <c r="R128" i="3"/>
  <c r="R131" i="3"/>
  <c r="R23" i="3"/>
  <c r="R115" i="3"/>
  <c r="R123" i="3"/>
  <c r="R57" i="3"/>
  <c r="R15" i="3"/>
  <c r="R14" i="3"/>
  <c r="Q45" i="3"/>
  <c r="Q46" i="3"/>
  <c r="Q60" i="3"/>
  <c r="Q49" i="3"/>
  <c r="Q43" i="3"/>
  <c r="Q16" i="3"/>
  <c r="Q44" i="3"/>
  <c r="Q17" i="3"/>
  <c r="Q51" i="3"/>
  <c r="R51" i="3"/>
  <c r="R45" i="3"/>
  <c r="R17" i="3"/>
  <c r="R46" i="3"/>
  <c r="R44" i="3"/>
  <c r="R49" i="3"/>
  <c r="R43" i="3"/>
  <c r="R16" i="3"/>
  <c r="R60" i="3"/>
  <c r="R22" i="3"/>
  <c r="Q55" i="3"/>
  <c r="Q59" i="3"/>
  <c r="Q53" i="3"/>
  <c r="Q91" i="3"/>
  <c r="Q130" i="3"/>
  <c r="Q22" i="3"/>
  <c r="Q86" i="3"/>
  <c r="Q84" i="3"/>
  <c r="Q89" i="3"/>
  <c r="Q93" i="3"/>
  <c r="Q82" i="3"/>
  <c r="Q98" i="3"/>
  <c r="Q21" i="3"/>
  <c r="Q62" i="3"/>
  <c r="Q4" i="3"/>
  <c r="R130" i="3"/>
  <c r="R93" i="3"/>
  <c r="R53" i="3"/>
  <c r="R55" i="3"/>
  <c r="R62" i="3"/>
  <c r="R91" i="3"/>
  <c r="R84" i="3"/>
  <c r="R59" i="3"/>
  <c r="R86" i="3"/>
  <c r="R98" i="3"/>
  <c r="R82" i="3"/>
  <c r="R89" i="3"/>
  <c r="R21" i="3"/>
  <c r="R8" i="3"/>
  <c r="R119" i="3"/>
  <c r="R133" i="3"/>
  <c r="R7" i="3"/>
  <c r="R25" i="3"/>
  <c r="R132" i="3"/>
  <c r="R167" i="3"/>
  <c r="R136" i="3"/>
  <c r="R118" i="3"/>
  <c r="R26" i="3"/>
  <c r="R134" i="3"/>
  <c r="R158" i="3"/>
  <c r="R157" i="3"/>
  <c r="R135" i="3"/>
  <c r="R24" i="3"/>
  <c r="R141" i="3"/>
  <c r="R146" i="3"/>
  <c r="R144" i="3"/>
  <c r="R155" i="3"/>
  <c r="R11" i="3"/>
  <c r="R121" i="3"/>
  <c r="R10" i="3"/>
  <c r="R69" i="3"/>
  <c r="R120" i="3"/>
  <c r="R9" i="3"/>
  <c r="R117" i="3"/>
  <c r="R67" i="3"/>
  <c r="R66" i="3"/>
  <c r="R29" i="3"/>
  <c r="R151" i="3"/>
  <c r="R31" i="3"/>
  <c r="R148" i="3"/>
  <c r="Q7" i="3"/>
  <c r="Q25" i="3"/>
  <c r="Q8" i="3"/>
  <c r="Q167" i="3"/>
  <c r="Q26" i="3"/>
  <c r="Q133" i="3"/>
  <c r="Q136" i="3"/>
  <c r="Q118" i="3"/>
  <c r="Q119" i="3"/>
  <c r="Q132" i="3"/>
  <c r="Q134" i="3"/>
  <c r="Q158" i="3"/>
  <c r="Q135" i="3"/>
  <c r="Q24" i="3"/>
  <c r="Q155" i="3"/>
  <c r="Q144" i="3"/>
  <c r="Q146" i="3"/>
  <c r="Q157" i="3"/>
  <c r="Q141" i="3"/>
  <c r="Q10" i="3"/>
  <c r="Q120" i="3"/>
  <c r="Q121" i="3"/>
  <c r="Q69" i="3"/>
  <c r="Q11" i="3"/>
  <c r="Q9" i="3"/>
  <c r="Q151" i="3"/>
  <c r="Q117" i="3"/>
  <c r="Q31" i="3"/>
  <c r="Q148" i="3"/>
  <c r="Q67" i="3"/>
  <c r="Q29" i="3"/>
  <c r="Q66" i="3"/>
  <c r="Q83" i="3"/>
  <c r="Q85" i="3"/>
  <c r="Q87" i="3"/>
  <c r="Q88" i="3"/>
  <c r="Q90" i="3"/>
  <c r="Q94" i="3"/>
  <c r="Q95" i="3"/>
  <c r="Q96" i="3"/>
  <c r="Q97" i="3"/>
  <c r="Q99" i="3"/>
  <c r="Q6" i="3"/>
  <c r="Q5" i="3"/>
  <c r="Q33" i="3"/>
  <c r="Q41" i="3"/>
  <c r="Q58" i="3"/>
  <c r="Q72" i="3"/>
  <c r="Q80" i="3"/>
  <c r="Q103" i="3"/>
  <c r="Q111" i="3"/>
  <c r="Q143" i="3"/>
  <c r="Q156" i="3"/>
  <c r="Q166" i="3"/>
  <c r="Q180" i="3"/>
  <c r="Q34" i="3"/>
  <c r="Q42" i="3"/>
  <c r="Q61" i="3"/>
  <c r="Q73" i="3"/>
  <c r="Q81" i="3"/>
  <c r="Q104" i="3"/>
  <c r="Q112" i="3"/>
  <c r="Q145" i="3"/>
  <c r="Q159" i="3"/>
  <c r="Q173" i="3"/>
  <c r="Q181" i="3"/>
  <c r="Q35" i="3"/>
  <c r="Q47" i="3"/>
  <c r="Q63" i="3"/>
  <c r="Q74" i="3"/>
  <c r="Q105" i="3"/>
  <c r="Q113" i="3"/>
  <c r="Q147" i="3"/>
  <c r="Q160" i="3"/>
  <c r="Q174" i="3"/>
  <c r="Q182" i="3"/>
  <c r="Q36" i="3"/>
  <c r="Q48" i="3"/>
  <c r="Q64" i="3"/>
  <c r="Q75" i="3"/>
  <c r="Q106" i="3"/>
  <c r="Q114" i="3"/>
  <c r="Q137" i="3"/>
  <c r="Q149" i="3"/>
  <c r="Q161" i="3"/>
  <c r="Q175" i="3"/>
  <c r="Q27" i="3"/>
  <c r="Q37" i="3"/>
  <c r="Q50" i="3"/>
  <c r="Q65" i="3"/>
  <c r="Q76" i="3"/>
  <c r="Q107" i="3"/>
  <c r="Q116" i="3"/>
  <c r="Q138" i="3"/>
  <c r="Q150" i="3"/>
  <c r="Q162" i="3"/>
  <c r="Q176" i="3"/>
  <c r="Q28" i="3"/>
  <c r="Q38" i="3"/>
  <c r="Q52" i="3"/>
  <c r="Q68" i="3"/>
  <c r="Q77" i="3"/>
  <c r="Q100" i="3"/>
  <c r="Q108" i="3"/>
  <c r="Q139" i="3"/>
  <c r="Q152" i="3"/>
  <c r="Q163" i="3"/>
  <c r="Q177" i="3"/>
  <c r="Q30" i="3"/>
  <c r="Q39" i="3"/>
  <c r="Q54" i="3"/>
  <c r="Q70" i="3"/>
  <c r="Q78" i="3"/>
  <c r="Q101" i="3"/>
  <c r="Q109" i="3"/>
  <c r="Q140" i="3"/>
  <c r="Q153" i="3"/>
  <c r="Q164" i="3"/>
  <c r="Q178" i="3"/>
  <c r="Q32" i="3"/>
  <c r="Q40" i="3"/>
  <c r="Q56" i="3"/>
  <c r="Q71" i="3"/>
  <c r="Q79" i="3"/>
  <c r="Q92" i="3"/>
  <c r="Q102" i="3"/>
  <c r="Q110" i="3"/>
  <c r="Q142" i="3"/>
  <c r="Q154" i="3"/>
  <c r="Q165" i="3"/>
  <c r="Q179" i="3"/>
  <c r="R83" i="3"/>
  <c r="R85" i="3"/>
  <c r="R87" i="3"/>
  <c r="R88" i="3"/>
  <c r="R90" i="3"/>
  <c r="R94" i="3"/>
  <c r="R95" i="3"/>
  <c r="R96" i="3"/>
  <c r="R97" i="3"/>
  <c r="R99" i="3"/>
  <c r="R6" i="3"/>
  <c r="R5" i="3"/>
  <c r="R34" i="3"/>
  <c r="R42" i="3"/>
  <c r="R61" i="3"/>
  <c r="R73" i="3"/>
  <c r="R81" i="3"/>
  <c r="R104" i="3"/>
  <c r="R112" i="3"/>
  <c r="R145" i="3"/>
  <c r="R159" i="3"/>
  <c r="R173" i="3"/>
  <c r="R181" i="3"/>
  <c r="R35" i="3"/>
  <c r="R47" i="3"/>
  <c r="R63" i="3"/>
  <c r="R74" i="3"/>
  <c r="R105" i="3"/>
  <c r="R113" i="3"/>
  <c r="R147" i="3"/>
  <c r="R160" i="3"/>
  <c r="R174" i="3"/>
  <c r="R182" i="3"/>
  <c r="R162" i="3"/>
  <c r="R58" i="3"/>
  <c r="R156" i="3"/>
  <c r="R36" i="3"/>
  <c r="R48" i="3"/>
  <c r="R64" i="3"/>
  <c r="R75" i="3"/>
  <c r="R106" i="3"/>
  <c r="R114" i="3"/>
  <c r="R137" i="3"/>
  <c r="R149" i="3"/>
  <c r="R161" i="3"/>
  <c r="R175" i="3"/>
  <c r="R103" i="3"/>
  <c r="R27" i="3"/>
  <c r="R37" i="3"/>
  <c r="R50" i="3"/>
  <c r="R65" i="3"/>
  <c r="R76" i="3"/>
  <c r="R107" i="3"/>
  <c r="R116" i="3"/>
  <c r="R138" i="3"/>
  <c r="R150" i="3"/>
  <c r="R176" i="3"/>
  <c r="R28" i="3"/>
  <c r="R38" i="3"/>
  <c r="R52" i="3"/>
  <c r="R68" i="3"/>
  <c r="R77" i="3"/>
  <c r="R100" i="3"/>
  <c r="R108" i="3"/>
  <c r="R139" i="3"/>
  <c r="R152" i="3"/>
  <c r="R163" i="3"/>
  <c r="R177" i="3"/>
  <c r="R80" i="3"/>
  <c r="R143" i="3"/>
  <c r="R4" i="3"/>
  <c r="R30" i="3"/>
  <c r="R39" i="3"/>
  <c r="R54" i="3"/>
  <c r="R70" i="3"/>
  <c r="R78" i="3"/>
  <c r="R101" i="3"/>
  <c r="R109" i="3"/>
  <c r="R140" i="3"/>
  <c r="R153" i="3"/>
  <c r="R164" i="3"/>
  <c r="R178" i="3"/>
  <c r="R33" i="3"/>
  <c r="R72" i="3"/>
  <c r="R180" i="3"/>
  <c r="R32" i="3"/>
  <c r="R40" i="3"/>
  <c r="R56" i="3"/>
  <c r="R71" i="3"/>
  <c r="R79" i="3"/>
  <c r="R92" i="3"/>
  <c r="R102" i="3"/>
  <c r="R110" i="3"/>
  <c r="R142" i="3"/>
  <c r="R154" i="3"/>
  <c r="R165" i="3"/>
  <c r="R179" i="3"/>
  <c r="R41" i="3"/>
  <c r="R111" i="3"/>
  <c r="R166" i="3"/>
  <c r="L30" i="5"/>
  <c r="A42" i="5" s="1"/>
  <c r="J42" i="5" s="1"/>
  <c r="L6" i="5"/>
  <c r="A10" i="5" s="1"/>
  <c r="E10" i="5" s="1"/>
  <c r="K10" i="5" l="1"/>
  <c r="H10" i="5"/>
  <c r="H42" i="5"/>
  <c r="K42" i="5"/>
  <c r="I10" i="5"/>
  <c r="I42" i="5"/>
  <c r="J10" i="5"/>
  <c r="G6" i="5"/>
  <c r="G5" i="5"/>
  <c r="A61" i="5" l="1"/>
  <c r="A35" i="5"/>
  <c r="A36" i="5"/>
  <c r="A38" i="5"/>
  <c r="A33" i="5"/>
  <c r="A37" i="5"/>
  <c r="A32" i="5"/>
  <c r="A34" i="5"/>
  <c r="A46" i="5"/>
  <c r="A62" i="5"/>
  <c r="A47" i="5"/>
  <c r="A55" i="5"/>
  <c r="A63" i="5"/>
  <c r="A54" i="5"/>
  <c r="A48" i="5"/>
  <c r="A56" i="5"/>
  <c r="A64" i="5"/>
  <c r="A49" i="5"/>
  <c r="A57" i="5"/>
  <c r="A50" i="5"/>
  <c r="A58" i="5"/>
  <c r="A43" i="5"/>
  <c r="A51" i="5"/>
  <c r="A59" i="5"/>
  <c r="A44" i="5"/>
  <c r="A52" i="5"/>
  <c r="A60" i="5"/>
  <c r="A45" i="5"/>
  <c r="A53" i="5"/>
  <c r="J48" i="5" l="1"/>
  <c r="I48" i="5"/>
  <c r="H48" i="5"/>
  <c r="K48" i="5"/>
  <c r="D37" i="5"/>
  <c r="K37" i="5"/>
  <c r="J37" i="5"/>
  <c r="H37" i="5"/>
  <c r="I37" i="5"/>
  <c r="J50" i="5"/>
  <c r="I50" i="5"/>
  <c r="H50" i="5"/>
  <c r="K50" i="5"/>
  <c r="J52" i="5"/>
  <c r="I52" i="5"/>
  <c r="H52" i="5"/>
  <c r="K52" i="5"/>
  <c r="K57" i="5"/>
  <c r="J57" i="5"/>
  <c r="H57" i="5"/>
  <c r="I57" i="5"/>
  <c r="K47" i="5"/>
  <c r="J47" i="5"/>
  <c r="H47" i="5"/>
  <c r="I47" i="5"/>
  <c r="J36" i="5"/>
  <c r="I36" i="5"/>
  <c r="H36" i="5"/>
  <c r="K36" i="5"/>
  <c r="J32" i="5"/>
  <c r="I32" i="5"/>
  <c r="H32" i="5"/>
  <c r="K32" i="5"/>
  <c r="J54" i="5"/>
  <c r="I54" i="5"/>
  <c r="H54" i="5"/>
  <c r="K54" i="5"/>
  <c r="K33" i="5"/>
  <c r="J33" i="5"/>
  <c r="H33" i="5"/>
  <c r="I33" i="5"/>
  <c r="K55" i="5"/>
  <c r="J55" i="5"/>
  <c r="H55" i="5"/>
  <c r="I55" i="5"/>
  <c r="J44" i="5"/>
  <c r="I44" i="5"/>
  <c r="H44" i="5"/>
  <c r="K44" i="5"/>
  <c r="K49" i="5"/>
  <c r="J49" i="5"/>
  <c r="H49" i="5"/>
  <c r="I49" i="5"/>
  <c r="J62" i="5"/>
  <c r="I62" i="5"/>
  <c r="H62" i="5"/>
  <c r="K62" i="5"/>
  <c r="K43" i="5"/>
  <c r="J43" i="5"/>
  <c r="H43" i="5"/>
  <c r="I43" i="5"/>
  <c r="K53" i="5"/>
  <c r="J53" i="5"/>
  <c r="H53" i="5"/>
  <c r="I53" i="5"/>
  <c r="K45" i="5"/>
  <c r="J45" i="5"/>
  <c r="H45" i="5"/>
  <c r="I45" i="5"/>
  <c r="J60" i="5"/>
  <c r="I60" i="5"/>
  <c r="H60" i="5"/>
  <c r="K60" i="5"/>
  <c r="J38" i="5"/>
  <c r="I38" i="5"/>
  <c r="H38" i="5"/>
  <c r="K38" i="5"/>
  <c r="K59" i="5"/>
  <c r="J59" i="5"/>
  <c r="H59" i="5"/>
  <c r="I59" i="5"/>
  <c r="J64" i="5"/>
  <c r="I64" i="5"/>
  <c r="H64" i="5"/>
  <c r="K64" i="5"/>
  <c r="J46" i="5"/>
  <c r="I46" i="5"/>
  <c r="K46" i="5"/>
  <c r="H46" i="5"/>
  <c r="K35" i="5"/>
  <c r="J35" i="5"/>
  <c r="H35" i="5"/>
  <c r="I35" i="5"/>
  <c r="J58" i="5"/>
  <c r="I58" i="5"/>
  <c r="H58" i="5"/>
  <c r="K58" i="5"/>
  <c r="K63" i="5"/>
  <c r="J63" i="5"/>
  <c r="H63" i="5"/>
  <c r="I63" i="5"/>
  <c r="K51" i="5"/>
  <c r="J51" i="5"/>
  <c r="H51" i="5"/>
  <c r="I51" i="5"/>
  <c r="J56" i="5"/>
  <c r="I56" i="5"/>
  <c r="H56" i="5"/>
  <c r="K56" i="5"/>
  <c r="J34" i="5"/>
  <c r="I34" i="5"/>
  <c r="K34" i="5"/>
  <c r="H34" i="5"/>
  <c r="K61" i="5"/>
  <c r="J61" i="5"/>
  <c r="H61" i="5"/>
  <c r="I61" i="5"/>
  <c r="G61" i="5"/>
  <c r="D61" i="5"/>
  <c r="F61" i="5"/>
  <c r="C61" i="5"/>
  <c r="B61" i="5"/>
  <c r="C35" i="5"/>
  <c r="G35" i="5"/>
  <c r="B35" i="5"/>
  <c r="D35" i="5"/>
  <c r="F35" i="5"/>
  <c r="D36" i="5"/>
  <c r="B36" i="5"/>
  <c r="C36" i="5"/>
  <c r="G36" i="5"/>
  <c r="F36" i="5"/>
  <c r="F34" i="5"/>
  <c r="D34" i="5"/>
  <c r="C34" i="5"/>
  <c r="B34" i="5"/>
  <c r="G34" i="5"/>
  <c r="C37" i="5"/>
  <c r="B37" i="5"/>
  <c r="G37" i="5"/>
  <c r="F37" i="5"/>
  <c r="G33" i="5"/>
  <c r="D33" i="5"/>
  <c r="C33" i="5"/>
  <c r="B33" i="5"/>
  <c r="F33" i="5"/>
  <c r="C38" i="5"/>
  <c r="G38" i="5"/>
  <c r="D38" i="5"/>
  <c r="B38" i="5"/>
  <c r="F38" i="5"/>
  <c r="G32" i="5"/>
  <c r="D32" i="5"/>
  <c r="F32" i="5"/>
  <c r="C32" i="5"/>
  <c r="B32" i="5"/>
  <c r="B52" i="5"/>
  <c r="G52" i="5"/>
  <c r="F52" i="5"/>
  <c r="D52" i="5"/>
  <c r="C52" i="5"/>
  <c r="B50" i="5"/>
  <c r="C50" i="5"/>
  <c r="G50" i="5"/>
  <c r="F50" i="5"/>
  <c r="D50" i="5"/>
  <c r="G54" i="5"/>
  <c r="F54" i="5"/>
  <c r="D54" i="5"/>
  <c r="B54" i="5"/>
  <c r="C54" i="5"/>
  <c r="G60" i="5"/>
  <c r="F60" i="5"/>
  <c r="D60" i="5"/>
  <c r="C60" i="5"/>
  <c r="B60" i="5"/>
  <c r="F63" i="5"/>
  <c r="D63" i="5"/>
  <c r="G63" i="5"/>
  <c r="C63" i="5"/>
  <c r="B63" i="5"/>
  <c r="G44" i="5"/>
  <c r="D44" i="5"/>
  <c r="F44" i="5"/>
  <c r="C44" i="5"/>
  <c r="B44" i="5"/>
  <c r="F55" i="5"/>
  <c r="D55" i="5"/>
  <c r="C55" i="5"/>
  <c r="G55" i="5"/>
  <c r="B55" i="5"/>
  <c r="B58" i="5"/>
  <c r="G58" i="5"/>
  <c r="D58" i="5"/>
  <c r="F58" i="5"/>
  <c r="C58" i="5"/>
  <c r="C57" i="5"/>
  <c r="B57" i="5"/>
  <c r="F57" i="5"/>
  <c r="D57" i="5"/>
  <c r="G57" i="5"/>
  <c r="F47" i="5"/>
  <c r="D47" i="5"/>
  <c r="C47" i="5"/>
  <c r="B47" i="5"/>
  <c r="G47" i="5"/>
  <c r="D48" i="5"/>
  <c r="C48" i="5"/>
  <c r="G48" i="5"/>
  <c r="B48" i="5"/>
  <c r="F48" i="5"/>
  <c r="C59" i="5"/>
  <c r="F59" i="5"/>
  <c r="B59" i="5"/>
  <c r="G59" i="5"/>
  <c r="D59" i="5"/>
  <c r="G53" i="5"/>
  <c r="F53" i="5"/>
  <c r="D53" i="5"/>
  <c r="C53" i="5"/>
  <c r="B53" i="5"/>
  <c r="F51" i="5"/>
  <c r="C51" i="5"/>
  <c r="G51" i="5"/>
  <c r="D51" i="5"/>
  <c r="B51" i="5"/>
  <c r="C49" i="5"/>
  <c r="B49" i="5"/>
  <c r="F49" i="5"/>
  <c r="D49" i="5"/>
  <c r="G49" i="5"/>
  <c r="G62" i="5"/>
  <c r="F62" i="5"/>
  <c r="D62" i="5"/>
  <c r="C62" i="5"/>
  <c r="B62" i="5"/>
  <c r="D56" i="5"/>
  <c r="C56" i="5"/>
  <c r="F56" i="5"/>
  <c r="B56" i="5"/>
  <c r="G56" i="5"/>
  <c r="G45" i="5"/>
  <c r="F45" i="5"/>
  <c r="D45" i="5"/>
  <c r="C45" i="5"/>
  <c r="B45" i="5"/>
  <c r="C43" i="5"/>
  <c r="B43" i="5"/>
  <c r="G43" i="5"/>
  <c r="F43" i="5"/>
  <c r="D43" i="5"/>
  <c r="D64" i="5"/>
  <c r="C64" i="5"/>
  <c r="B64" i="5"/>
  <c r="F64" i="5"/>
  <c r="G64" i="5"/>
  <c r="G46" i="5"/>
  <c r="F46" i="5"/>
  <c r="D46" i="5"/>
  <c r="C46" i="5"/>
  <c r="B46" i="5"/>
  <c r="A120" i="8"/>
  <c r="A121" i="8"/>
  <c r="A122" i="8"/>
  <c r="A123" i="8"/>
  <c r="B120" i="8"/>
  <c r="B121" i="8"/>
  <c r="B122" i="8"/>
  <c r="B123" i="8"/>
  <c r="D120" i="8"/>
  <c r="D121" i="8"/>
  <c r="D122" i="8"/>
  <c r="D123" i="8"/>
  <c r="E120" i="8"/>
  <c r="E121" i="8"/>
  <c r="E122" i="8"/>
  <c r="E123" i="8"/>
  <c r="A119" i="8" l="1"/>
  <c r="B119" i="8"/>
  <c r="D119" i="8"/>
  <c r="E119" i="8"/>
  <c r="A118" i="8"/>
  <c r="B118" i="8"/>
  <c r="D118" i="8"/>
  <c r="E118" i="8"/>
  <c r="A117" i="8" l="1"/>
  <c r="B117" i="8"/>
  <c r="D117" i="8"/>
  <c r="E117" i="8"/>
  <c r="A115" i="8"/>
  <c r="A116" i="8"/>
  <c r="B115" i="8"/>
  <c r="B116" i="8"/>
  <c r="D115" i="8"/>
  <c r="D116" i="8"/>
  <c r="E115" i="8"/>
  <c r="E116" i="8"/>
  <c r="A114" i="8" l="1"/>
  <c r="B114" i="8"/>
  <c r="D114" i="8"/>
  <c r="E114" i="8"/>
  <c r="A113" i="8"/>
  <c r="B113" i="8"/>
  <c r="D113" i="8"/>
  <c r="E113" i="8"/>
  <c r="A112" i="8"/>
  <c r="B112" i="8"/>
  <c r="D112" i="8"/>
  <c r="E112" i="8"/>
  <c r="A111" i="8"/>
  <c r="B111" i="8"/>
  <c r="D111" i="8"/>
  <c r="E111" i="8"/>
  <c r="A88" i="8" l="1"/>
  <c r="A89" i="8"/>
  <c r="A90" i="8"/>
  <c r="A91" i="8"/>
  <c r="A92" i="8"/>
  <c r="A93" i="8"/>
  <c r="A94" i="8"/>
  <c r="A95" i="8"/>
  <c r="A96" i="8"/>
  <c r="A97" i="8"/>
  <c r="B88" i="8"/>
  <c r="B89" i="8"/>
  <c r="B90" i="8"/>
  <c r="B91" i="8"/>
  <c r="B92" i="8"/>
  <c r="B93" i="8"/>
  <c r="B94" i="8"/>
  <c r="B95" i="8"/>
  <c r="B96" i="8"/>
  <c r="B97" i="8"/>
  <c r="D88" i="8"/>
  <c r="D89" i="8"/>
  <c r="D90" i="8"/>
  <c r="D91" i="8"/>
  <c r="D92" i="8"/>
  <c r="D93" i="8"/>
  <c r="D94" i="8"/>
  <c r="D95" i="8"/>
  <c r="D96" i="8"/>
  <c r="D97" i="8"/>
  <c r="E88" i="8"/>
  <c r="E89" i="8"/>
  <c r="E90" i="8"/>
  <c r="E91" i="8"/>
  <c r="E92" i="8"/>
  <c r="E93" i="8"/>
  <c r="E94" i="8"/>
  <c r="E95" i="8"/>
  <c r="E96" i="8"/>
  <c r="E97" i="8"/>
  <c r="A81" i="8" l="1"/>
  <c r="A82" i="8"/>
  <c r="A83" i="8"/>
  <c r="A84" i="8"/>
  <c r="A85" i="8"/>
  <c r="A86" i="8"/>
  <c r="A87" i="8"/>
  <c r="B81" i="8"/>
  <c r="B82" i="8"/>
  <c r="B83" i="8"/>
  <c r="B84" i="8"/>
  <c r="B85" i="8"/>
  <c r="B86" i="8"/>
  <c r="B87" i="8"/>
  <c r="D81" i="8"/>
  <c r="D82" i="8"/>
  <c r="D83" i="8"/>
  <c r="D84" i="8"/>
  <c r="D85" i="8"/>
  <c r="D86" i="8"/>
  <c r="D87" i="8"/>
  <c r="E81" i="8"/>
  <c r="E82" i="8"/>
  <c r="E83" i="8"/>
  <c r="E84" i="8"/>
  <c r="E85" i="8"/>
  <c r="E86" i="8"/>
  <c r="E87" i="8"/>
  <c r="A61" i="8" l="1"/>
  <c r="A62" i="8"/>
  <c r="A63" i="8"/>
  <c r="A64" i="8"/>
  <c r="A65" i="8"/>
  <c r="A66" i="8"/>
  <c r="A67" i="8"/>
  <c r="B61" i="8"/>
  <c r="B62" i="8"/>
  <c r="B63" i="8"/>
  <c r="B64" i="8"/>
  <c r="B65" i="8"/>
  <c r="B66" i="8"/>
  <c r="B67" i="8"/>
  <c r="D61" i="8"/>
  <c r="D62" i="8"/>
  <c r="D63" i="8"/>
  <c r="D64" i="8"/>
  <c r="D65" i="8"/>
  <c r="D66" i="8"/>
  <c r="D67" i="8"/>
  <c r="E61" i="8"/>
  <c r="E62" i="8"/>
  <c r="E63" i="8"/>
  <c r="E64" i="8"/>
  <c r="E65" i="8"/>
  <c r="E66" i="8"/>
  <c r="E67" i="8"/>
  <c r="A59" i="8" l="1"/>
  <c r="A60" i="8"/>
  <c r="B59" i="8"/>
  <c r="B60" i="8"/>
  <c r="D59" i="8"/>
  <c r="D60" i="8"/>
  <c r="E59" i="8"/>
  <c r="E60" i="8"/>
  <c r="A53" i="8" l="1"/>
  <c r="A54" i="8"/>
  <c r="B53" i="8"/>
  <c r="B54" i="8"/>
  <c r="D53" i="8"/>
  <c r="D54" i="8"/>
  <c r="E53" i="8"/>
  <c r="E54" i="8"/>
  <c r="A49" i="8" l="1"/>
  <c r="A50" i="8"/>
  <c r="B49" i="8"/>
  <c r="B50" i="8"/>
  <c r="D49" i="8"/>
  <c r="D50" i="8"/>
  <c r="E49" i="8"/>
  <c r="E50" i="8"/>
  <c r="A30" i="8" l="1"/>
  <c r="A31" i="8"/>
  <c r="A32" i="8"/>
  <c r="A33" i="8"/>
  <c r="A34" i="8"/>
  <c r="A35" i="8"/>
  <c r="A36" i="8"/>
  <c r="A37" i="8"/>
  <c r="A38" i="8"/>
  <c r="A39" i="8"/>
  <c r="A40" i="8"/>
  <c r="A41" i="8"/>
  <c r="B30" i="8"/>
  <c r="B31" i="8"/>
  <c r="B32" i="8"/>
  <c r="B33" i="8"/>
  <c r="B34" i="8"/>
  <c r="B35" i="8"/>
  <c r="B36" i="8"/>
  <c r="B37" i="8"/>
  <c r="B38" i="8"/>
  <c r="B39" i="8"/>
  <c r="B40" i="8"/>
  <c r="B41" i="8"/>
  <c r="D30" i="8"/>
  <c r="D31" i="8"/>
  <c r="D32" i="8"/>
  <c r="D33" i="8"/>
  <c r="D34" i="8"/>
  <c r="D35" i="8"/>
  <c r="D36" i="8"/>
  <c r="D37" i="8"/>
  <c r="D38" i="8"/>
  <c r="D39" i="8"/>
  <c r="D40" i="8"/>
  <c r="D41" i="8"/>
  <c r="E30" i="8"/>
  <c r="E31" i="8"/>
  <c r="E32" i="8"/>
  <c r="E33" i="8"/>
  <c r="E34" i="8"/>
  <c r="E35" i="8"/>
  <c r="E36" i="8"/>
  <c r="E37" i="8"/>
  <c r="E38" i="8"/>
  <c r="E39" i="8"/>
  <c r="E40" i="8"/>
  <c r="E41" i="8"/>
  <c r="A22" i="8" l="1"/>
  <c r="A23" i="8"/>
  <c r="A24" i="8"/>
  <c r="A25" i="8"/>
  <c r="A26" i="8"/>
  <c r="A27" i="8"/>
  <c r="A28" i="8"/>
  <c r="A29" i="8"/>
  <c r="B22" i="8"/>
  <c r="B23" i="8"/>
  <c r="B24" i="8"/>
  <c r="B25" i="8"/>
  <c r="B26" i="8"/>
  <c r="B27" i="8"/>
  <c r="B28" i="8"/>
  <c r="B29" i="8"/>
  <c r="D22" i="8"/>
  <c r="D23" i="8"/>
  <c r="D24" i="8"/>
  <c r="D25" i="8"/>
  <c r="D26" i="8"/>
  <c r="D27" i="8"/>
  <c r="D28" i="8"/>
  <c r="D29" i="8"/>
  <c r="E22" i="8"/>
  <c r="E23" i="8"/>
  <c r="E24" i="8"/>
  <c r="E25" i="8"/>
  <c r="E26" i="8"/>
  <c r="E27" i="8"/>
  <c r="E28" i="8"/>
  <c r="E29" i="8"/>
  <c r="E110" i="8" l="1"/>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E103" i="8"/>
  <c r="D103" i="8"/>
  <c r="B103" i="8"/>
  <c r="A103" i="8"/>
  <c r="E102" i="8"/>
  <c r="D102" i="8"/>
  <c r="B102" i="8"/>
  <c r="A102" i="8"/>
  <c r="E101" i="8"/>
  <c r="D101" i="8"/>
  <c r="B101" i="8"/>
  <c r="A101" i="8"/>
  <c r="E100" i="8"/>
  <c r="D100" i="8"/>
  <c r="B100" i="8"/>
  <c r="A100" i="8"/>
  <c r="E80" i="8"/>
  <c r="D80" i="8"/>
  <c r="B80" i="8"/>
  <c r="A80" i="8"/>
  <c r="E79" i="8"/>
  <c r="D79" i="8"/>
  <c r="B79" i="8"/>
  <c r="A79" i="8"/>
  <c r="E78" i="8"/>
  <c r="D78" i="8"/>
  <c r="B78" i="8"/>
  <c r="A78" i="8"/>
  <c r="E77" i="8"/>
  <c r="D77" i="8"/>
  <c r="B77" i="8"/>
  <c r="A77" i="8"/>
  <c r="E76" i="8"/>
  <c r="D76" i="8"/>
  <c r="B76" i="8"/>
  <c r="A76" i="8"/>
  <c r="E75" i="8"/>
  <c r="D75" i="8"/>
  <c r="B75" i="8"/>
  <c r="A75" i="8"/>
  <c r="E74" i="8"/>
  <c r="D74" i="8"/>
  <c r="B74" i="8"/>
  <c r="A74" i="8"/>
  <c r="E73" i="8"/>
  <c r="D73" i="8"/>
  <c r="B73" i="8"/>
  <c r="A73" i="8"/>
  <c r="E72" i="8"/>
  <c r="D72" i="8"/>
  <c r="B72" i="8"/>
  <c r="A72" i="8"/>
  <c r="E71" i="8"/>
  <c r="D71" i="8"/>
  <c r="B71" i="8"/>
  <c r="A71" i="8"/>
  <c r="E70" i="8"/>
  <c r="D70" i="8"/>
  <c r="B70" i="8"/>
  <c r="A6" i="8"/>
  <c r="A7" i="8"/>
  <c r="A8" i="8"/>
  <c r="B6" i="8"/>
  <c r="B7" i="8"/>
  <c r="B8" i="8"/>
  <c r="D6" i="8"/>
  <c r="D7" i="8"/>
  <c r="D8" i="8"/>
  <c r="E6" i="8"/>
  <c r="E7" i="8"/>
  <c r="E8" i="8"/>
  <c r="O169" i="3" l="1"/>
  <c r="O168" i="3"/>
  <c r="O12" i="3"/>
  <c r="O13" i="3"/>
  <c r="O171" i="3"/>
  <c r="O172" i="3"/>
  <c r="O170" i="3"/>
  <c r="O124" i="3"/>
  <c r="O20" i="3"/>
  <c r="O127" i="3"/>
  <c r="P169" i="3"/>
  <c r="P168" i="3"/>
  <c r="P12" i="3"/>
  <c r="P13" i="3"/>
  <c r="P171" i="3"/>
  <c r="P172" i="3"/>
  <c r="P170" i="3"/>
  <c r="P124" i="3"/>
  <c r="P20" i="3"/>
  <c r="P127" i="3"/>
  <c r="O19" i="3"/>
  <c r="O57" i="3"/>
  <c r="O126" i="3"/>
  <c r="O123" i="3"/>
  <c r="O125" i="3"/>
  <c r="O128" i="3"/>
  <c r="O14" i="3"/>
  <c r="O18" i="3"/>
  <c r="O15" i="3"/>
  <c r="O129" i="3"/>
  <c r="O131" i="3"/>
  <c r="O23" i="3"/>
  <c r="O115" i="3"/>
  <c r="P126" i="3"/>
  <c r="P125" i="3"/>
  <c r="P19" i="3"/>
  <c r="P18" i="3"/>
  <c r="P128" i="3"/>
  <c r="P129" i="3"/>
  <c r="P131" i="3"/>
  <c r="P23" i="3"/>
  <c r="P115" i="3"/>
  <c r="P123" i="3"/>
  <c r="P57" i="3"/>
  <c r="P14" i="3"/>
  <c r="P15" i="3"/>
  <c r="P46" i="3"/>
  <c r="P60" i="3"/>
  <c r="P49" i="3"/>
  <c r="P43" i="3"/>
  <c r="P16" i="3"/>
  <c r="P51" i="3"/>
  <c r="P44" i="3"/>
  <c r="P17" i="3"/>
  <c r="P45" i="3"/>
  <c r="O49" i="3"/>
  <c r="O51" i="3"/>
  <c r="O45" i="3"/>
  <c r="O43" i="3"/>
  <c r="O60" i="3"/>
  <c r="O16" i="3"/>
  <c r="O17" i="3"/>
  <c r="O46" i="3"/>
  <c r="O44" i="3"/>
  <c r="P22" i="3"/>
  <c r="P84" i="3"/>
  <c r="P91" i="3"/>
  <c r="P59" i="3"/>
  <c r="P86" i="3"/>
  <c r="P53" i="3"/>
  <c r="P130" i="3"/>
  <c r="P89" i="3"/>
  <c r="P55" i="3"/>
  <c r="P82" i="3"/>
  <c r="P93" i="3"/>
  <c r="P62" i="3"/>
  <c r="P98" i="3"/>
  <c r="P21" i="3"/>
  <c r="O22" i="3"/>
  <c r="O82" i="3"/>
  <c r="O130" i="3"/>
  <c r="O59" i="3"/>
  <c r="O89" i="3"/>
  <c r="O84" i="3"/>
  <c r="O21" i="3"/>
  <c r="O91" i="3"/>
  <c r="O93" i="3"/>
  <c r="O55" i="3"/>
  <c r="O62" i="3"/>
  <c r="O53" i="3"/>
  <c r="O86" i="3"/>
  <c r="O98" i="3"/>
  <c r="O119" i="3"/>
  <c r="O26" i="3"/>
  <c r="O157" i="3"/>
  <c r="O167" i="3"/>
  <c r="O132" i="3"/>
  <c r="O8" i="3"/>
  <c r="O146" i="3"/>
  <c r="O141" i="3"/>
  <c r="O25" i="3"/>
  <c r="O135" i="3"/>
  <c r="O158" i="3"/>
  <c r="O155" i="3"/>
  <c r="O7" i="3"/>
  <c r="O136" i="3"/>
  <c r="O24" i="3"/>
  <c r="O118" i="3"/>
  <c r="O133" i="3"/>
  <c r="O144" i="3"/>
  <c r="P8" i="3"/>
  <c r="P119" i="3"/>
  <c r="P26" i="3"/>
  <c r="P25" i="3"/>
  <c r="P136" i="3"/>
  <c r="P118" i="3"/>
  <c r="P132" i="3"/>
  <c r="P133" i="3"/>
  <c r="P7" i="3"/>
  <c r="P167" i="3"/>
  <c r="P158" i="3"/>
  <c r="P134" i="3"/>
  <c r="P144" i="3"/>
  <c r="P135" i="3"/>
  <c r="P24" i="3"/>
  <c r="P155" i="3"/>
  <c r="P141" i="3"/>
  <c r="P157" i="3"/>
  <c r="P146" i="3"/>
  <c r="P69" i="3"/>
  <c r="P121" i="3"/>
  <c r="P10" i="3"/>
  <c r="P120" i="3"/>
  <c r="P11" i="3"/>
  <c r="P29" i="3"/>
  <c r="P66" i="3"/>
  <c r="P148" i="3"/>
  <c r="P9" i="3"/>
  <c r="P151" i="3"/>
  <c r="P117" i="3"/>
  <c r="P31" i="3"/>
  <c r="P67" i="3"/>
  <c r="O121" i="3"/>
  <c r="O10" i="3"/>
  <c r="O120" i="3"/>
  <c r="O31" i="3"/>
  <c r="O11" i="3"/>
  <c r="O66" i="3"/>
  <c r="O148" i="3"/>
  <c r="O9" i="3"/>
  <c r="O117" i="3"/>
  <c r="O69" i="3"/>
  <c r="O151" i="3"/>
  <c r="O29" i="3"/>
  <c r="O67" i="3"/>
  <c r="O6" i="3"/>
  <c r="O5" i="3"/>
  <c r="P6" i="3"/>
  <c r="P5" i="3"/>
  <c r="P94" i="3"/>
  <c r="P61" i="3"/>
  <c r="P113" i="3"/>
  <c r="P73" i="3"/>
  <c r="P70" i="3"/>
  <c r="P87" i="3"/>
  <c r="P74" i="3"/>
  <c r="P97" i="3"/>
  <c r="P50" i="3"/>
  <c r="P85" i="3"/>
  <c r="P99" i="3"/>
  <c r="P52" i="3"/>
  <c r="P137" i="3"/>
  <c r="P75" i="3"/>
  <c r="P80" i="3"/>
  <c r="P83" i="3"/>
  <c r="P140" i="3"/>
  <c r="P95" i="3"/>
  <c r="P63" i="3"/>
  <c r="P107" i="3"/>
  <c r="P76" i="3"/>
  <c r="P56" i="3"/>
  <c r="P79" i="3"/>
  <c r="P90" i="3"/>
  <c r="P42" i="3"/>
  <c r="P64" i="3"/>
  <c r="P108" i="3"/>
  <c r="P77" i="3"/>
  <c r="P112" i="3"/>
  <c r="P96" i="3"/>
  <c r="P27" i="3"/>
  <c r="P65" i="3"/>
  <c r="P58" i="3"/>
  <c r="P110" i="3"/>
  <c r="P71" i="3"/>
  <c r="P78" i="3"/>
  <c r="P88" i="3"/>
  <c r="P92" i="3"/>
  <c r="P54" i="3"/>
  <c r="P111" i="3"/>
  <c r="P139" i="3"/>
  <c r="P138" i="3"/>
  <c r="P72" i="3"/>
  <c r="P116" i="3"/>
  <c r="O94" i="3"/>
  <c r="O61" i="3"/>
  <c r="O113" i="3"/>
  <c r="O73" i="3"/>
  <c r="O70" i="3"/>
  <c r="O54" i="3"/>
  <c r="O87" i="3"/>
  <c r="O97" i="3"/>
  <c r="O50" i="3"/>
  <c r="O116" i="3"/>
  <c r="O74" i="3"/>
  <c r="O79" i="3"/>
  <c r="O85" i="3"/>
  <c r="O99" i="3"/>
  <c r="O52" i="3"/>
  <c r="O137" i="3"/>
  <c r="O75" i="3"/>
  <c r="O80" i="3"/>
  <c r="O111" i="3"/>
  <c r="O95" i="3"/>
  <c r="O63" i="3"/>
  <c r="O107" i="3"/>
  <c r="O76" i="3"/>
  <c r="O90" i="3"/>
  <c r="O42" i="3"/>
  <c r="O64" i="3"/>
  <c r="O108" i="3"/>
  <c r="O77" i="3"/>
  <c r="O139" i="3"/>
  <c r="O96" i="3"/>
  <c r="O27" i="3"/>
  <c r="O65" i="3"/>
  <c r="O58" i="3"/>
  <c r="O110" i="3"/>
  <c r="O71" i="3"/>
  <c r="O78" i="3"/>
  <c r="O88" i="3"/>
  <c r="O138" i="3"/>
  <c r="O83" i="3"/>
  <c r="O56" i="3"/>
  <c r="O112" i="3"/>
  <c r="O72" i="3"/>
  <c r="O140" i="3"/>
  <c r="O92" i="3"/>
  <c r="O182" i="3"/>
  <c r="O4" i="3"/>
  <c r="P4" i="3"/>
  <c r="P182" i="3"/>
  <c r="O165" i="3"/>
  <c r="O114" i="3"/>
  <c r="O152" i="3"/>
  <c r="O173" i="3"/>
  <c r="O143" i="3"/>
  <c r="O39" i="3"/>
  <c r="O159" i="3"/>
  <c r="O164" i="3"/>
  <c r="O154" i="3"/>
  <c r="O175" i="3"/>
  <c r="O149" i="3"/>
  <c r="O32" i="3"/>
  <c r="O40" i="3"/>
  <c r="O33" i="3"/>
  <c r="O161" i="3"/>
  <c r="O162" i="3"/>
  <c r="O156" i="3"/>
  <c r="O177" i="3"/>
  <c r="O102" i="3"/>
  <c r="O101" i="3"/>
  <c r="O38" i="3"/>
  <c r="O166" i="3"/>
  <c r="O47" i="3"/>
  <c r="O109" i="3"/>
  <c r="O178" i="3"/>
  <c r="O30" i="3"/>
  <c r="O103" i="3"/>
  <c r="O34" i="3"/>
  <c r="O48" i="3"/>
  <c r="O142" i="3"/>
  <c r="O179" i="3"/>
  <c r="O68" i="3"/>
  <c r="O104" i="3"/>
  <c r="O35" i="3"/>
  <c r="O181" i="3"/>
  <c r="O106" i="3"/>
  <c r="O147" i="3"/>
  <c r="O174" i="3"/>
  <c r="O81" i="3"/>
  <c r="O100" i="3"/>
  <c r="O105" i="3"/>
  <c r="O36" i="3"/>
  <c r="O163" i="3"/>
  <c r="O145" i="3"/>
  <c r="O153" i="3"/>
  <c r="O176" i="3"/>
  <c r="O180" i="3"/>
  <c r="O28" i="3"/>
  <c r="O37" i="3"/>
  <c r="O160" i="3"/>
  <c r="O150" i="3"/>
  <c r="O41" i="3"/>
  <c r="P48" i="3"/>
  <c r="P142" i="3"/>
  <c r="P177" i="3"/>
  <c r="P149" i="3"/>
  <c r="P39" i="3"/>
  <c r="P38" i="3"/>
  <c r="P106" i="3"/>
  <c r="P147" i="3"/>
  <c r="P178" i="3"/>
  <c r="P32" i="3"/>
  <c r="P40" i="3"/>
  <c r="P163" i="3"/>
  <c r="P145" i="3"/>
  <c r="P153" i="3"/>
  <c r="P179" i="3"/>
  <c r="P30" i="3"/>
  <c r="P102" i="3"/>
  <c r="P101" i="3"/>
  <c r="P33" i="3"/>
  <c r="P160" i="3"/>
  <c r="P150" i="3"/>
  <c r="P174" i="3"/>
  <c r="P81" i="3"/>
  <c r="P68" i="3"/>
  <c r="P103" i="3"/>
  <c r="P34" i="3"/>
  <c r="P165" i="3"/>
  <c r="P114" i="3"/>
  <c r="P152" i="3"/>
  <c r="P176" i="3"/>
  <c r="P180" i="3"/>
  <c r="P100" i="3"/>
  <c r="P104" i="3"/>
  <c r="P35" i="3"/>
  <c r="P159" i="3"/>
  <c r="P164" i="3"/>
  <c r="P154" i="3"/>
  <c r="P181" i="3"/>
  <c r="P105" i="3"/>
  <c r="P36" i="3"/>
  <c r="P47" i="3"/>
  <c r="P175" i="3"/>
  <c r="P143" i="3"/>
  <c r="P161" i="3"/>
  <c r="P162" i="3"/>
  <c r="P156" i="3"/>
  <c r="P173" i="3"/>
  <c r="P41" i="3"/>
  <c r="P28" i="3"/>
  <c r="P37" i="3"/>
  <c r="P166" i="3"/>
  <c r="P109" i="3"/>
  <c r="A5" i="8"/>
  <c r="B5" i="8"/>
  <c r="D5" i="8"/>
  <c r="E5" i="8"/>
  <c r="E44" i="8" l="1"/>
  <c r="E45" i="8"/>
  <c r="E46" i="8"/>
  <c r="E47" i="8"/>
  <c r="E48" i="8"/>
  <c r="E51" i="8"/>
  <c r="E52" i="8"/>
  <c r="E55" i="8"/>
  <c r="E56" i="8"/>
  <c r="E57" i="8"/>
  <c r="E58" i="8"/>
  <c r="E11" i="8"/>
  <c r="E12" i="8"/>
  <c r="E13" i="8"/>
  <c r="E14" i="8"/>
  <c r="E15" i="8"/>
  <c r="E16" i="8"/>
  <c r="E19" i="8"/>
  <c r="E17" i="8"/>
  <c r="E18" i="8"/>
  <c r="E20" i="8"/>
  <c r="E21" i="8"/>
  <c r="E4" i="8"/>
  <c r="D44" i="8"/>
  <c r="D45" i="8"/>
  <c r="D46" i="8"/>
  <c r="D47" i="8"/>
  <c r="D48" i="8"/>
  <c r="D51" i="8"/>
  <c r="D52" i="8"/>
  <c r="D55" i="8"/>
  <c r="D56" i="8"/>
  <c r="D57" i="8"/>
  <c r="D58" i="8"/>
  <c r="D11" i="8"/>
  <c r="D12" i="8"/>
  <c r="D13" i="8"/>
  <c r="D14" i="8"/>
  <c r="D15" i="8"/>
  <c r="D16" i="8"/>
  <c r="D19" i="8"/>
  <c r="D17" i="8"/>
  <c r="D18" i="8"/>
  <c r="D20" i="8"/>
  <c r="D21" i="8"/>
  <c r="D4" i="8"/>
  <c r="B44" i="8"/>
  <c r="B45" i="8"/>
  <c r="B46" i="8"/>
  <c r="B47" i="8"/>
  <c r="B48" i="8"/>
  <c r="B51" i="8"/>
  <c r="B52" i="8"/>
  <c r="B55" i="8"/>
  <c r="B56" i="8"/>
  <c r="B57" i="8"/>
  <c r="B58" i="8"/>
  <c r="B11" i="8"/>
  <c r="B12" i="8"/>
  <c r="B13" i="8"/>
  <c r="B14" i="8"/>
  <c r="B15" i="8"/>
  <c r="B16" i="8"/>
  <c r="B19" i="8"/>
  <c r="B17" i="8"/>
  <c r="B18" i="8"/>
  <c r="B20" i="8"/>
  <c r="B21" i="8"/>
  <c r="B4" i="8"/>
  <c r="A44" i="8"/>
  <c r="A45" i="8"/>
  <c r="A46" i="8"/>
  <c r="A47" i="8"/>
  <c r="A48" i="8"/>
  <c r="A51" i="8"/>
  <c r="A52" i="8"/>
  <c r="A55" i="8"/>
  <c r="A56" i="8"/>
  <c r="A57" i="8"/>
  <c r="A58" i="8"/>
  <c r="A11" i="8"/>
  <c r="A12" i="8"/>
  <c r="A13" i="8"/>
  <c r="A14" i="8"/>
  <c r="A15" i="8"/>
  <c r="A16" i="8"/>
  <c r="A19" i="8"/>
  <c r="A17" i="8"/>
  <c r="A18" i="8"/>
  <c r="A20" i="8"/>
  <c r="A21" i="8"/>
  <c r="A4" i="8"/>
  <c r="L169" i="3" l="1"/>
  <c r="L168" i="3"/>
  <c r="L12" i="3"/>
  <c r="L13" i="3"/>
  <c r="L171" i="3"/>
  <c r="L172" i="3"/>
  <c r="L170" i="3"/>
  <c r="L124" i="3"/>
  <c r="L20" i="3"/>
  <c r="L127" i="3"/>
  <c r="M169" i="3"/>
  <c r="M168" i="3"/>
  <c r="M12" i="3"/>
  <c r="M13" i="3"/>
  <c r="M171" i="3"/>
  <c r="M172" i="3"/>
  <c r="M170" i="3"/>
  <c r="M124" i="3"/>
  <c r="M20" i="3"/>
  <c r="M127" i="3"/>
  <c r="N169" i="3"/>
  <c r="N168" i="3"/>
  <c r="N12" i="3"/>
  <c r="N13" i="3"/>
  <c r="N171" i="3"/>
  <c r="N172" i="3"/>
  <c r="N170" i="3"/>
  <c r="N124" i="3"/>
  <c r="N20" i="3"/>
  <c r="N127" i="3"/>
  <c r="N19" i="3"/>
  <c r="N126" i="3"/>
  <c r="N125" i="3"/>
  <c r="N18" i="3"/>
  <c r="N128" i="3"/>
  <c r="N129" i="3"/>
  <c r="N131" i="3"/>
  <c r="N23" i="3"/>
  <c r="N115" i="3"/>
  <c r="N123" i="3"/>
  <c r="N57" i="3"/>
  <c r="N14" i="3"/>
  <c r="N15" i="3"/>
  <c r="L126" i="3"/>
  <c r="L125" i="3"/>
  <c r="L19" i="3"/>
  <c r="L18" i="3"/>
  <c r="L128" i="3"/>
  <c r="L129" i="3"/>
  <c r="L131" i="3"/>
  <c r="L23" i="3"/>
  <c r="L115" i="3"/>
  <c r="L123" i="3"/>
  <c r="L57" i="3"/>
  <c r="L14" i="3"/>
  <c r="L15" i="3"/>
  <c r="M126" i="3"/>
  <c r="M125" i="3"/>
  <c r="M19" i="3"/>
  <c r="M128" i="3"/>
  <c r="M129" i="3"/>
  <c r="M18" i="3"/>
  <c r="M131" i="3"/>
  <c r="M23" i="3"/>
  <c r="M115" i="3"/>
  <c r="M123" i="3"/>
  <c r="M57" i="3"/>
  <c r="M14" i="3"/>
  <c r="M15" i="3"/>
  <c r="N43" i="3"/>
  <c r="N16" i="3"/>
  <c r="N44" i="3"/>
  <c r="N17" i="3"/>
  <c r="N60" i="3"/>
  <c r="N51" i="3"/>
  <c r="N45" i="3"/>
  <c r="N49" i="3"/>
  <c r="N46" i="3"/>
  <c r="L43" i="3"/>
  <c r="L60" i="3"/>
  <c r="L51" i="3"/>
  <c r="L49" i="3"/>
  <c r="L45" i="3"/>
  <c r="L16" i="3"/>
  <c r="L46" i="3"/>
  <c r="L44" i="3"/>
  <c r="L17" i="3"/>
  <c r="M44" i="3"/>
  <c r="M17" i="3"/>
  <c r="M60" i="3"/>
  <c r="M51" i="3"/>
  <c r="M46" i="3"/>
  <c r="M45" i="3"/>
  <c r="M49" i="3"/>
  <c r="M43" i="3"/>
  <c r="M16" i="3"/>
  <c r="L22" i="3"/>
  <c r="L93" i="3"/>
  <c r="L62" i="3"/>
  <c r="L130" i="3"/>
  <c r="L98" i="3"/>
  <c r="L59" i="3"/>
  <c r="L21" i="3"/>
  <c r="L84" i="3"/>
  <c r="L91" i="3"/>
  <c r="L89" i="3"/>
  <c r="L55" i="3"/>
  <c r="L82" i="3"/>
  <c r="L86" i="3"/>
  <c r="L53" i="3"/>
  <c r="N22" i="3"/>
  <c r="N21" i="3"/>
  <c r="N53" i="3"/>
  <c r="N130" i="3"/>
  <c r="N86" i="3"/>
  <c r="N98" i="3"/>
  <c r="N84" i="3"/>
  <c r="N91" i="3"/>
  <c r="N89" i="3"/>
  <c r="N55" i="3"/>
  <c r="N62" i="3"/>
  <c r="N82" i="3"/>
  <c r="N59" i="3"/>
  <c r="N93" i="3"/>
  <c r="M22" i="3"/>
  <c r="M98" i="3"/>
  <c r="M91" i="3"/>
  <c r="M93" i="3"/>
  <c r="M21" i="3"/>
  <c r="M130" i="3"/>
  <c r="M84" i="3"/>
  <c r="M86" i="3"/>
  <c r="M53" i="3"/>
  <c r="M59" i="3"/>
  <c r="M62" i="3"/>
  <c r="M89" i="3"/>
  <c r="M55" i="3"/>
  <c r="M82" i="3"/>
  <c r="N132" i="3"/>
  <c r="N26" i="3"/>
  <c r="N167" i="3"/>
  <c r="N136" i="3"/>
  <c r="N133" i="3"/>
  <c r="N8" i="3"/>
  <c r="N119" i="3"/>
  <c r="N7" i="3"/>
  <c r="N118" i="3"/>
  <c r="N25" i="3"/>
  <c r="N24" i="3"/>
  <c r="N134" i="3"/>
  <c r="N144" i="3"/>
  <c r="N146" i="3"/>
  <c r="N135" i="3"/>
  <c r="N155" i="3"/>
  <c r="N157" i="3"/>
  <c r="N158" i="3"/>
  <c r="N141" i="3"/>
  <c r="N11" i="3"/>
  <c r="N121" i="3"/>
  <c r="N10" i="3"/>
  <c r="N120" i="3"/>
  <c r="N69" i="3"/>
  <c r="L133" i="3"/>
  <c r="L26" i="3"/>
  <c r="L136" i="3"/>
  <c r="L132" i="3"/>
  <c r="L167" i="3"/>
  <c r="L7" i="3"/>
  <c r="L118" i="3"/>
  <c r="L25" i="3"/>
  <c r="L8" i="3"/>
  <c r="L119" i="3"/>
  <c r="L155" i="3"/>
  <c r="L135" i="3"/>
  <c r="L157" i="3"/>
  <c r="L141" i="3"/>
  <c r="L24" i="3"/>
  <c r="L144" i="3"/>
  <c r="L146" i="3"/>
  <c r="L134" i="3"/>
  <c r="L158" i="3"/>
  <c r="L69" i="3"/>
  <c r="L121" i="3"/>
  <c r="L120" i="3"/>
  <c r="L11" i="3"/>
  <c r="L10" i="3"/>
  <c r="L9" i="3"/>
  <c r="L148" i="3"/>
  <c r="L117" i="3"/>
  <c r="L67" i="3"/>
  <c r="L66" i="3"/>
  <c r="L29" i="3"/>
  <c r="L151" i="3"/>
  <c r="L31" i="3"/>
  <c r="M133" i="3"/>
  <c r="M119" i="3"/>
  <c r="M25" i="3"/>
  <c r="M7" i="3"/>
  <c r="M118" i="3"/>
  <c r="M167" i="3"/>
  <c r="M132" i="3"/>
  <c r="M26" i="3"/>
  <c r="M8" i="3"/>
  <c r="M136" i="3"/>
  <c r="M144" i="3"/>
  <c r="M155" i="3"/>
  <c r="M135" i="3"/>
  <c r="M157" i="3"/>
  <c r="M141" i="3"/>
  <c r="M134" i="3"/>
  <c r="M24" i="3"/>
  <c r="M146" i="3"/>
  <c r="M158" i="3"/>
  <c r="M10" i="3"/>
  <c r="M69" i="3"/>
  <c r="M120" i="3"/>
  <c r="M11" i="3"/>
  <c r="M121" i="3"/>
  <c r="M9" i="3"/>
  <c r="M31" i="3"/>
  <c r="M117" i="3"/>
  <c r="M67" i="3"/>
  <c r="M66" i="3"/>
  <c r="M148" i="3"/>
  <c r="M29" i="3"/>
  <c r="M151" i="3"/>
  <c r="N29" i="3"/>
  <c r="N151" i="3"/>
  <c r="N66" i="3"/>
  <c r="N148" i="3"/>
  <c r="N9" i="3"/>
  <c r="N67" i="3"/>
  <c r="N117" i="3"/>
  <c r="N31" i="3"/>
  <c r="L6" i="3"/>
  <c r="L5" i="3"/>
  <c r="L87" i="3"/>
  <c r="L85" i="3"/>
  <c r="L95" i="3"/>
  <c r="L90" i="3"/>
  <c r="L96" i="3"/>
  <c r="L88" i="3"/>
  <c r="L83" i="3"/>
  <c r="L94" i="3"/>
  <c r="L97" i="3"/>
  <c r="L99" i="3"/>
  <c r="L42" i="3"/>
  <c r="L27" i="3"/>
  <c r="L92" i="3"/>
  <c r="L61" i="3"/>
  <c r="L50" i="3"/>
  <c r="L52" i="3"/>
  <c r="L63" i="3"/>
  <c r="L64" i="3"/>
  <c r="L65" i="3"/>
  <c r="L54" i="3"/>
  <c r="L56" i="3"/>
  <c r="L58" i="3"/>
  <c r="L107" i="3"/>
  <c r="L108" i="3"/>
  <c r="L110" i="3"/>
  <c r="L111" i="3"/>
  <c r="L112" i="3"/>
  <c r="L113" i="3"/>
  <c r="L116" i="3"/>
  <c r="L137" i="3"/>
  <c r="L71" i="3"/>
  <c r="L139" i="3"/>
  <c r="L72" i="3"/>
  <c r="L73" i="3"/>
  <c r="L74" i="3"/>
  <c r="L75" i="3"/>
  <c r="L76" i="3"/>
  <c r="L77" i="3"/>
  <c r="L78" i="3"/>
  <c r="L138" i="3"/>
  <c r="L140" i="3"/>
  <c r="L70" i="3"/>
  <c r="L79" i="3"/>
  <c r="L80" i="3"/>
  <c r="M6" i="3"/>
  <c r="M5" i="3"/>
  <c r="N6" i="3"/>
  <c r="N5" i="3"/>
  <c r="N94" i="3"/>
  <c r="N113" i="3"/>
  <c r="N73" i="3"/>
  <c r="N79" i="3"/>
  <c r="N87" i="3"/>
  <c r="N97" i="3"/>
  <c r="N50" i="3"/>
  <c r="N85" i="3"/>
  <c r="N99" i="3"/>
  <c r="N52" i="3"/>
  <c r="N137" i="3"/>
  <c r="N75" i="3"/>
  <c r="N80" i="3"/>
  <c r="N139" i="3"/>
  <c r="N95" i="3"/>
  <c r="N63" i="3"/>
  <c r="N107" i="3"/>
  <c r="N76" i="3"/>
  <c r="N111" i="3"/>
  <c r="N90" i="3"/>
  <c r="N42" i="3"/>
  <c r="N64" i="3"/>
  <c r="N108" i="3"/>
  <c r="N77" i="3"/>
  <c r="N92" i="3"/>
  <c r="N54" i="3"/>
  <c r="N96" i="3"/>
  <c r="N27" i="3"/>
  <c r="N65" i="3"/>
  <c r="N58" i="3"/>
  <c r="N110" i="3"/>
  <c r="N71" i="3"/>
  <c r="N78" i="3"/>
  <c r="N88" i="3"/>
  <c r="N138" i="3"/>
  <c r="N83" i="3"/>
  <c r="N56" i="3"/>
  <c r="N112" i="3"/>
  <c r="N72" i="3"/>
  <c r="N140" i="3"/>
  <c r="N61" i="3"/>
  <c r="N70" i="3"/>
  <c r="N116" i="3"/>
  <c r="N74" i="3"/>
  <c r="M94" i="3"/>
  <c r="M61" i="3"/>
  <c r="M113" i="3"/>
  <c r="M73" i="3"/>
  <c r="M70" i="3"/>
  <c r="M139" i="3"/>
  <c r="M87" i="3"/>
  <c r="M97" i="3"/>
  <c r="M50" i="3"/>
  <c r="M116" i="3"/>
  <c r="M74" i="3"/>
  <c r="M79" i="3"/>
  <c r="M54" i="3"/>
  <c r="M85" i="3"/>
  <c r="M99" i="3"/>
  <c r="M52" i="3"/>
  <c r="M137" i="3"/>
  <c r="M75" i="3"/>
  <c r="M80" i="3"/>
  <c r="M88" i="3"/>
  <c r="M95" i="3"/>
  <c r="M63" i="3"/>
  <c r="M107" i="3"/>
  <c r="M76" i="3"/>
  <c r="M90" i="3"/>
  <c r="M42" i="3"/>
  <c r="M64" i="3"/>
  <c r="M108" i="3"/>
  <c r="M77" i="3"/>
  <c r="M111" i="3"/>
  <c r="M96" i="3"/>
  <c r="M27" i="3"/>
  <c r="M65" i="3"/>
  <c r="M58" i="3"/>
  <c r="M110" i="3"/>
  <c r="M71" i="3"/>
  <c r="M78" i="3"/>
  <c r="M92" i="3"/>
  <c r="M83" i="3"/>
  <c r="M56" i="3"/>
  <c r="M112" i="3"/>
  <c r="M72" i="3"/>
  <c r="M140" i="3"/>
  <c r="M138" i="3"/>
  <c r="N182" i="3"/>
  <c r="N4" i="3"/>
  <c r="L182" i="3"/>
  <c r="L4" i="3"/>
  <c r="M28" i="3"/>
  <c r="M182" i="3"/>
  <c r="M4" i="3"/>
  <c r="L165" i="3"/>
  <c r="L114" i="3"/>
  <c r="L152" i="3"/>
  <c r="L179" i="3"/>
  <c r="L33" i="3"/>
  <c r="L38" i="3"/>
  <c r="L178" i="3"/>
  <c r="L37" i="3"/>
  <c r="L159" i="3"/>
  <c r="L164" i="3"/>
  <c r="L154" i="3"/>
  <c r="L174" i="3"/>
  <c r="L81" i="3"/>
  <c r="L41" i="3"/>
  <c r="L39" i="3"/>
  <c r="L161" i="3"/>
  <c r="L162" i="3"/>
  <c r="L156" i="3"/>
  <c r="L176" i="3"/>
  <c r="L180" i="3"/>
  <c r="L143" i="3"/>
  <c r="L32" i="3"/>
  <c r="L40" i="3"/>
  <c r="L166" i="3"/>
  <c r="L47" i="3"/>
  <c r="L109" i="3"/>
  <c r="L181" i="3"/>
  <c r="L149" i="3"/>
  <c r="L102" i="3"/>
  <c r="L101" i="3"/>
  <c r="L48" i="3"/>
  <c r="L142" i="3"/>
  <c r="L173" i="3"/>
  <c r="L103" i="3"/>
  <c r="L34" i="3"/>
  <c r="L28" i="3"/>
  <c r="L106" i="3"/>
  <c r="L147" i="3"/>
  <c r="L175" i="3"/>
  <c r="L30" i="3"/>
  <c r="L104" i="3"/>
  <c r="L35" i="3"/>
  <c r="L163" i="3"/>
  <c r="L145" i="3"/>
  <c r="L153" i="3"/>
  <c r="L177" i="3"/>
  <c r="L68" i="3"/>
  <c r="L105" i="3"/>
  <c r="L36" i="3"/>
  <c r="L160" i="3"/>
  <c r="L150" i="3"/>
  <c r="L100" i="3"/>
  <c r="N48" i="3"/>
  <c r="N142" i="3"/>
  <c r="N176" i="3"/>
  <c r="N180" i="3"/>
  <c r="N41" i="3"/>
  <c r="N39" i="3"/>
  <c r="N38" i="3"/>
  <c r="N106" i="3"/>
  <c r="N147" i="3"/>
  <c r="N181" i="3"/>
  <c r="N143" i="3"/>
  <c r="N32" i="3"/>
  <c r="N40" i="3"/>
  <c r="N163" i="3"/>
  <c r="N145" i="3"/>
  <c r="N153" i="3"/>
  <c r="N173" i="3"/>
  <c r="N149" i="3"/>
  <c r="N102" i="3"/>
  <c r="N101" i="3"/>
  <c r="N160" i="3"/>
  <c r="N150" i="3"/>
  <c r="N175" i="3"/>
  <c r="N103" i="3"/>
  <c r="N34" i="3"/>
  <c r="N47" i="3"/>
  <c r="N165" i="3"/>
  <c r="N114" i="3"/>
  <c r="N152" i="3"/>
  <c r="N177" i="3"/>
  <c r="N30" i="3"/>
  <c r="N104" i="3"/>
  <c r="N35" i="3"/>
  <c r="N174" i="3"/>
  <c r="N81" i="3"/>
  <c r="N159" i="3"/>
  <c r="N164" i="3"/>
  <c r="N154" i="3"/>
  <c r="N178" i="3"/>
  <c r="N68" i="3"/>
  <c r="N105" i="3"/>
  <c r="N36" i="3"/>
  <c r="N166" i="3"/>
  <c r="N109" i="3"/>
  <c r="N161" i="3"/>
  <c r="N162" i="3"/>
  <c r="N156" i="3"/>
  <c r="N179" i="3"/>
  <c r="N100" i="3"/>
  <c r="N28" i="3"/>
  <c r="N37" i="3"/>
  <c r="N33" i="3"/>
  <c r="M166" i="3"/>
  <c r="M150" i="3"/>
  <c r="M174" i="3"/>
  <c r="M81" i="3"/>
  <c r="M143" i="3"/>
  <c r="M104" i="3"/>
  <c r="M101" i="3"/>
  <c r="M105" i="3"/>
  <c r="M34" i="3"/>
  <c r="M106" i="3"/>
  <c r="M152" i="3"/>
  <c r="M176" i="3"/>
  <c r="M180" i="3"/>
  <c r="M149" i="3"/>
  <c r="M159" i="3"/>
  <c r="M178" i="3"/>
  <c r="M39" i="3"/>
  <c r="M103" i="3"/>
  <c r="M154" i="3"/>
  <c r="M181" i="3"/>
  <c r="M35" i="3"/>
  <c r="M177" i="3"/>
  <c r="M164" i="3"/>
  <c r="M32" i="3"/>
  <c r="M163" i="3"/>
  <c r="M156" i="3"/>
  <c r="M173" i="3"/>
  <c r="M30" i="3"/>
  <c r="M36" i="3"/>
  <c r="M142" i="3"/>
  <c r="M100" i="3"/>
  <c r="M102" i="3"/>
  <c r="M160" i="3"/>
  <c r="M47" i="3"/>
  <c r="M109" i="3"/>
  <c r="M175" i="3"/>
  <c r="M68" i="3"/>
  <c r="M33" i="3"/>
  <c r="M37" i="3"/>
  <c r="M114" i="3"/>
  <c r="M48" i="3"/>
  <c r="M38" i="3"/>
  <c r="M147" i="3"/>
  <c r="M40" i="3"/>
  <c r="M165" i="3"/>
  <c r="M161" i="3"/>
  <c r="M162" i="3"/>
  <c r="M145" i="3"/>
  <c r="M153" i="3"/>
  <c r="M179" i="3"/>
  <c r="M41" i="3"/>
  <c r="G7" i="5"/>
  <c r="A22" i="5" l="1"/>
  <c r="A27" i="5"/>
  <c r="A26" i="5"/>
  <c r="A21" i="5"/>
  <c r="A25" i="5"/>
  <c r="A23" i="5"/>
  <c r="A28" i="5"/>
  <c r="A20" i="5"/>
  <c r="A18" i="5"/>
  <c r="A11" i="5"/>
  <c r="A17" i="5"/>
  <c r="A12" i="5"/>
  <c r="A16" i="5"/>
  <c r="A13" i="5"/>
  <c r="A15" i="5"/>
  <c r="E15" i="5" l="1"/>
  <c r="J15" i="5"/>
  <c r="I15" i="5"/>
  <c r="H15" i="5"/>
  <c r="K15" i="5"/>
  <c r="K28" i="5"/>
  <c r="J28" i="5"/>
  <c r="H28" i="5"/>
  <c r="I28" i="5"/>
  <c r="K13" i="5"/>
  <c r="J13" i="5"/>
  <c r="H13" i="5"/>
  <c r="I13" i="5"/>
  <c r="K23" i="5"/>
  <c r="J23" i="5"/>
  <c r="H23" i="5"/>
  <c r="I23" i="5"/>
  <c r="E20" i="5"/>
  <c r="E21" i="5" s="1"/>
  <c r="E22" i="5" s="1"/>
  <c r="E23" i="5" s="1"/>
  <c r="J20" i="5"/>
  <c r="I20" i="5"/>
  <c r="H20" i="5"/>
  <c r="K20" i="5"/>
  <c r="K16" i="5"/>
  <c r="J16" i="5"/>
  <c r="H16" i="5"/>
  <c r="I16" i="5"/>
  <c r="K21" i="5"/>
  <c r="J21" i="5"/>
  <c r="H21" i="5"/>
  <c r="I21" i="5"/>
  <c r="J17" i="5"/>
  <c r="I17" i="5"/>
  <c r="K17" i="5"/>
  <c r="H17" i="5"/>
  <c r="K26" i="5"/>
  <c r="J26" i="5"/>
  <c r="H26" i="5"/>
  <c r="I26" i="5"/>
  <c r="E25" i="5"/>
  <c r="E26" i="5" s="1"/>
  <c r="E27" i="5" s="1"/>
  <c r="E28" i="5" s="1"/>
  <c r="J25" i="5"/>
  <c r="I25" i="5"/>
  <c r="K25" i="5"/>
  <c r="H25" i="5"/>
  <c r="J12" i="5"/>
  <c r="I12" i="5"/>
  <c r="K12" i="5"/>
  <c r="H12" i="5"/>
  <c r="E11" i="5"/>
  <c r="E12" i="5" s="1"/>
  <c r="E13" i="5" s="1"/>
  <c r="K11" i="5"/>
  <c r="J11" i="5"/>
  <c r="H11" i="5"/>
  <c r="I11" i="5"/>
  <c r="J27" i="5"/>
  <c r="I27" i="5"/>
  <c r="K27" i="5"/>
  <c r="H27" i="5"/>
  <c r="K18" i="5"/>
  <c r="J18" i="5"/>
  <c r="H18" i="5"/>
  <c r="I18" i="5"/>
  <c r="J22" i="5"/>
  <c r="I22" i="5"/>
  <c r="H22" i="5"/>
  <c r="K22" i="5"/>
  <c r="E16" i="5"/>
  <c r="E17" i="5" s="1"/>
  <c r="E18" i="5" s="1"/>
  <c r="F22" i="5"/>
  <c r="C22" i="5"/>
  <c r="G22" i="5"/>
  <c r="D22" i="5"/>
  <c r="B22" i="5"/>
  <c r="G15" i="5"/>
  <c r="F15" i="5"/>
  <c r="D15" i="5"/>
  <c r="C15" i="5"/>
  <c r="B15" i="5"/>
  <c r="G20" i="5"/>
  <c r="F20" i="5"/>
  <c r="D20" i="5"/>
  <c r="C20" i="5"/>
  <c r="B20" i="5"/>
  <c r="G13" i="5"/>
  <c r="F13" i="5"/>
  <c r="D13" i="5"/>
  <c r="C13" i="5"/>
  <c r="B13" i="5"/>
  <c r="G28" i="5"/>
  <c r="F28" i="5"/>
  <c r="D28" i="5"/>
  <c r="C28" i="5"/>
  <c r="B28" i="5"/>
  <c r="G16" i="5"/>
  <c r="F16" i="5"/>
  <c r="D16" i="5"/>
  <c r="C16" i="5"/>
  <c r="B16" i="5"/>
  <c r="G10" i="5"/>
  <c r="F10" i="5"/>
  <c r="D10" i="5"/>
  <c r="C10" i="5"/>
  <c r="B10" i="5"/>
  <c r="F12" i="5"/>
  <c r="B12" i="5"/>
  <c r="C12" i="5"/>
  <c r="G12" i="5"/>
  <c r="D12" i="5"/>
  <c r="G17" i="5"/>
  <c r="F17" i="5"/>
  <c r="D17" i="5"/>
  <c r="C17" i="5"/>
  <c r="B17" i="5"/>
  <c r="F21" i="5"/>
  <c r="C21" i="5"/>
  <c r="G21" i="5"/>
  <c r="D21" i="5"/>
  <c r="B21" i="5"/>
  <c r="F23" i="5"/>
  <c r="G23" i="5"/>
  <c r="D23" i="5"/>
  <c r="C23" i="5"/>
  <c r="B23" i="5"/>
  <c r="G25" i="5"/>
  <c r="F25" i="5"/>
  <c r="D25" i="5"/>
  <c r="C25" i="5"/>
  <c r="B25" i="5"/>
  <c r="B11" i="5"/>
  <c r="C11" i="5"/>
  <c r="G11" i="5"/>
  <c r="D11" i="5"/>
  <c r="F11" i="5"/>
  <c r="G26" i="5"/>
  <c r="F26" i="5"/>
  <c r="D26" i="5"/>
  <c r="C26" i="5"/>
  <c r="B26" i="5"/>
  <c r="G27" i="5"/>
  <c r="F27" i="5"/>
  <c r="D27" i="5"/>
  <c r="C27" i="5"/>
  <c r="B27" i="5"/>
  <c r="G18" i="5"/>
  <c r="F18" i="5"/>
  <c r="D18" i="5"/>
  <c r="C18" i="5"/>
  <c r="B18" i="5"/>
  <c r="F42" i="5"/>
  <c r="B42" i="5"/>
  <c r="G42" i="5"/>
  <c r="C42" i="5"/>
  <c r="D42" i="5"/>
</calcChain>
</file>

<file path=xl/sharedStrings.xml><?xml version="1.0" encoding="utf-8"?>
<sst xmlns="http://schemas.openxmlformats.org/spreadsheetml/2006/main" count="4946" uniqueCount="654">
  <si>
    <t>UDC</t>
  </si>
  <si>
    <t>Ver</t>
  </si>
  <si>
    <t>OUA Cd</t>
  </si>
  <si>
    <t>Unit Title</t>
  </si>
  <si>
    <t>Pre-reqs</t>
  </si>
  <si>
    <t>Credits</t>
  </si>
  <si>
    <t>Availabilities</t>
  </si>
  <si>
    <t>Progress Notes</t>
  </si>
  <si>
    <r>
      <t>Curtin University</t>
    </r>
    <r>
      <rPr>
        <sz val="11"/>
        <color theme="0"/>
        <rFont val="Arial"/>
        <family val="2"/>
      </rPr>
      <t xml:space="preserve">
School of Media, Creative Arts and Social</t>
    </r>
  </si>
  <si>
    <t>2024 Full-Time Enrolment Planner</t>
  </si>
  <si>
    <t>Course:</t>
  </si>
  <si>
    <t>Master of Arts</t>
  </si>
  <si>
    <t xml:space="preserve">Course Version: </t>
  </si>
  <si>
    <t>Major:</t>
  </si>
  <si>
    <t>Screen Arts Major (MArts)</t>
  </si>
  <si>
    <t>Major Version:</t>
  </si>
  <si>
    <t>Commencing:</t>
  </si>
  <si>
    <t>Semester 2 (July -  November)</t>
  </si>
  <si>
    <t>Credits to Complete:</t>
  </si>
  <si>
    <t>2024 Availabilities</t>
  </si>
  <si>
    <t>Year 1</t>
  </si>
  <si>
    <t>Study Period</t>
  </si>
  <si>
    <t>Pre Requisites</t>
  </si>
  <si>
    <t>CP</t>
  </si>
  <si>
    <t>Sem1 BEN</t>
  </si>
  <si>
    <t>Sem1 FO</t>
  </si>
  <si>
    <t>Sem2 BEN</t>
  </si>
  <si>
    <t>Sem2 FO</t>
  </si>
  <si>
    <t>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</si>
  <si>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</si>
  <si>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</si>
  <si>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</si>
  <si>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</si>
  <si>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</si>
  <si>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Post Graduate MCASI (not LARIS)</t>
  </si>
  <si>
    <t>TableCourses</t>
  </si>
  <si>
    <t>RangeMARTSUnitsets</t>
  </si>
  <si>
    <t>MJRP-CWRITSem1</t>
  </si>
  <si>
    <t>MJRP-CWRITSem2</t>
  </si>
  <si>
    <t>MJRP-FINARSem1</t>
  </si>
  <si>
    <t>MJRP-FINARSem2</t>
  </si>
  <si>
    <t>MJRP-PWRITSem1</t>
  </si>
  <si>
    <t>MJRP-PWRITSem2</t>
  </si>
  <si>
    <t>MJRP-SCRARSem1</t>
  </si>
  <si>
    <t>MJRP-SCRARSem2</t>
  </si>
  <si>
    <t>Choose your Course</t>
  </si>
  <si>
    <t>Version</t>
  </si>
  <si>
    <t>Credit Points</t>
  </si>
  <si>
    <t>Effective Date</t>
  </si>
  <si>
    <t>Akari Update</t>
  </si>
  <si>
    <t>Y1Sem1</t>
  </si>
  <si>
    <t>COMS5003</t>
  </si>
  <si>
    <t>Y1Sem2</t>
  </si>
  <si>
    <t>SCWR5000</t>
  </si>
  <si>
    <t>SPRO5000</t>
  </si>
  <si>
    <t>MC-ARTS</t>
  </si>
  <si>
    <t>v.3</t>
  </si>
  <si>
    <t>400 credit points required</t>
  </si>
  <si>
    <t>INT - Sem1; Sem2</t>
  </si>
  <si>
    <t>Opt-CWRIT</t>
  </si>
  <si>
    <t>AC-FINAR1</t>
  </si>
  <si>
    <t>Opt-PWRITY1</t>
  </si>
  <si>
    <t>Graduate Certificate in Multimedia Journalism</t>
  </si>
  <si>
    <t>GC-MMJRN</t>
  </si>
  <si>
    <t>v.2</t>
  </si>
  <si>
    <t>100 credit points required</t>
  </si>
  <si>
    <t>INT - Sem1</t>
  </si>
  <si>
    <t>Opt-FINARY1</t>
  </si>
  <si>
    <t>SPRO5005</t>
  </si>
  <si>
    <t>Graduate Diploma in Multimedia Journalism</t>
  </si>
  <si>
    <t>GD-MMJRN</t>
  </si>
  <si>
    <t>200 credit points required</t>
  </si>
  <si>
    <t>EXIT AWARD ONLY; No 2024 Availabilities</t>
  </si>
  <si>
    <t>SCST5008</t>
  </si>
  <si>
    <t>Master of Multimedia Journalism</t>
  </si>
  <si>
    <t>MC-MMJRN</t>
  </si>
  <si>
    <t>300 credit points required</t>
  </si>
  <si>
    <t>COMS6005</t>
  </si>
  <si>
    <t>Master of Multimedia Journalism (Extended)</t>
  </si>
  <si>
    <t>MC-MMJRX</t>
  </si>
  <si>
    <t>v.1</t>
  </si>
  <si>
    <t>Deactivated</t>
  </si>
  <si>
    <t>N/A</t>
  </si>
  <si>
    <t>SPRO5006</t>
  </si>
  <si>
    <t>Master of Multimedia Journalism (Global)</t>
  </si>
  <si>
    <t>MC-MMJRG</t>
  </si>
  <si>
    <t>Graduate Certificate in Human Rights</t>
  </si>
  <si>
    <t>GC-HRIGHT</t>
  </si>
  <si>
    <t>INT &amp; FO - Sem1; Sem2</t>
  </si>
  <si>
    <t>AC-SCRAR1</t>
  </si>
  <si>
    <t>Graduate Diploma in Human Rights</t>
  </si>
  <si>
    <t>GD-HRIGHT</t>
  </si>
  <si>
    <t>Y2Sem1</t>
  </si>
  <si>
    <t>Y2Sem2</t>
  </si>
  <si>
    <t>Opt-FINARY2</t>
  </si>
  <si>
    <t>Opt-PWRITY2</t>
  </si>
  <si>
    <t>SPRO5008</t>
  </si>
  <si>
    <t>Opt-SCRAR</t>
  </si>
  <si>
    <t>Master of Human Rights</t>
  </si>
  <si>
    <t>MC-HRIGHT</t>
  </si>
  <si>
    <t>Master of Human Rights and Global Engagement</t>
  </si>
  <si>
    <t>MC-HRIGLO</t>
  </si>
  <si>
    <t>Graduate Certificate in Digital and Social Media</t>
  </si>
  <si>
    <t>GC-NETSCM</t>
  </si>
  <si>
    <t>Graduate Diploma in Digital and Social Media</t>
  </si>
  <si>
    <t>GD-NETSCM</t>
  </si>
  <si>
    <t>AC-CWRIT</t>
  </si>
  <si>
    <t>AC-FINAR2</t>
  </si>
  <si>
    <t>AC-PWRIT</t>
  </si>
  <si>
    <t>AC-SCRAR2</t>
  </si>
  <si>
    <t>Master of Digital and Social Media</t>
  </si>
  <si>
    <t>MC-NETSCM</t>
  </si>
  <si>
    <t>-</t>
  </si>
  <si>
    <t>Graduate Certificate in International Relations and National Security</t>
  </si>
  <si>
    <t>GC-INTRNS</t>
  </si>
  <si>
    <t>Graduate Diploma in International Relations and National Security</t>
  </si>
  <si>
    <t>GD-INTRNS</t>
  </si>
  <si>
    <t>Master of International Relations and National Security</t>
  </si>
  <si>
    <t>MC-INTRNS</t>
  </si>
  <si>
    <t>50CP Unit</t>
  </si>
  <si>
    <t>Graduate Certificate in Global Engagement</t>
  </si>
  <si>
    <t>GC-GLOBL</t>
  </si>
  <si>
    <t>INT &amp; FO - Sem1 only</t>
  </si>
  <si>
    <t>AltCore Check</t>
  </si>
  <si>
    <t>Master of Global Engagement (HRIGT Stream)</t>
  </si>
  <si>
    <t>MC-GLOBL(HR)</t>
  </si>
  <si>
    <t>S1 - VISA5008</t>
  </si>
  <si>
    <t>S2 - VISA5011</t>
  </si>
  <si>
    <t>Master of Global Engagement (INTRN Stream)</t>
  </si>
  <si>
    <t>MC-GLOBL(IR)</t>
  </si>
  <si>
    <t>Master of Global Engagement (Advanced)</t>
  </si>
  <si>
    <t>MC-GLOBL2</t>
  </si>
  <si>
    <t>RangeMARTSAltCore</t>
  </si>
  <si>
    <t>MJRP-CWRIT</t>
  </si>
  <si>
    <t>MJRP-FINAR</t>
  </si>
  <si>
    <t>MJRP-PWRIT</t>
  </si>
  <si>
    <t>MJRP-SCRAR</t>
  </si>
  <si>
    <t>TableMajors</t>
  </si>
  <si>
    <t>Choose your Major (drop-down list)</t>
  </si>
  <si>
    <t>COMS6004</t>
  </si>
  <si>
    <t>VISA5008</t>
  </si>
  <si>
    <t>CWRI6000</t>
  </si>
  <si>
    <t>Creative Writing Major (MArts)</t>
  </si>
  <si>
    <t>Also another 2024 update - options</t>
  </si>
  <si>
    <t>HUMN6003</t>
  </si>
  <si>
    <t>VISA5011</t>
  </si>
  <si>
    <t>NETS5010</t>
  </si>
  <si>
    <t>Fine Art Major (MArts)</t>
  </si>
  <si>
    <t xml:space="preserve"> </t>
  </si>
  <si>
    <t>Professional Writing and Publishing Major (MArts)</t>
  </si>
  <si>
    <t>Also 2025 update! v.4</t>
  </si>
  <si>
    <t>TableStreamsGLOBL</t>
  </si>
  <si>
    <t>Choose your Global Engagement Stream (drop-down list)</t>
  </si>
  <si>
    <t>RangeMARTSOptions</t>
  </si>
  <si>
    <t>Human Rights Stream (M Global Engagement)</t>
  </si>
  <si>
    <t>STRP-HRIGT</t>
  </si>
  <si>
    <t>50CP</t>
  </si>
  <si>
    <t>Opt-FINAR1</t>
  </si>
  <si>
    <t>Opt-PWRIT1</t>
  </si>
  <si>
    <t>International Relations and National Security Stream (M Global Engagement)</t>
  </si>
  <si>
    <t>STRP-INTRN</t>
  </si>
  <si>
    <t>COMS6002</t>
  </si>
  <si>
    <t>INDS6004</t>
  </si>
  <si>
    <t>Global Engagement Stream (M Global Engagement)</t>
  </si>
  <si>
    <t>STRP-GLOBL</t>
  </si>
  <si>
    <t>HUMN6001</t>
  </si>
  <si>
    <t>VISA5009</t>
  </si>
  <si>
    <t>NETS5000</t>
  </si>
  <si>
    <t>VISA5012</t>
  </si>
  <si>
    <t>PWRP5003</t>
  </si>
  <si>
    <t>25CP</t>
  </si>
  <si>
    <t>VISA5013</t>
  </si>
  <si>
    <t>PWRP5019</t>
  </si>
  <si>
    <t>TableStudyPeriods</t>
  </si>
  <si>
    <t>CWRI5000</t>
  </si>
  <si>
    <t>VISA5014</t>
  </si>
  <si>
    <t>PWRP5021</t>
  </si>
  <si>
    <t>Choose your commencing study period (drop-down list)</t>
  </si>
  <si>
    <t>START</t>
  </si>
  <si>
    <t>Next</t>
  </si>
  <si>
    <t>CWRI5003</t>
  </si>
  <si>
    <t>PWRP5022</t>
  </si>
  <si>
    <t>INDS6001</t>
  </si>
  <si>
    <t>Semester 1 (February - June)</t>
  </si>
  <si>
    <t>Sem1</t>
  </si>
  <si>
    <t>Sem2</t>
  </si>
  <si>
    <t>CWRI5014</t>
  </si>
  <si>
    <t>Opt-FINAR2</t>
  </si>
  <si>
    <t>PWRP5023</t>
  </si>
  <si>
    <t>ISYS5001</t>
  </si>
  <si>
    <t>CWRI5015</t>
  </si>
  <si>
    <t>CWRI5016</t>
  </si>
  <si>
    <t>Opt-PWRIT2</t>
  </si>
  <si>
    <t>SPRO5001</t>
  </si>
  <si>
    <t>CWRI5017</t>
  </si>
  <si>
    <t>SPRO5004</t>
  </si>
  <si>
    <t>CWRI5018</t>
  </si>
  <si>
    <t>PWRP5015</t>
  </si>
  <si>
    <t>VISA6008</t>
  </si>
  <si>
    <t>VISA6011</t>
  </si>
  <si>
    <t>VISA6012</t>
  </si>
  <si>
    <t>NEED TO ADD MASTER OF GLOBAL ENGAGEMENT</t>
  </si>
  <si>
    <t>NETS5004</t>
  </si>
  <si>
    <t>PWRP5000</t>
  </si>
  <si>
    <t>PWRP5006</t>
  </si>
  <si>
    <t>PWRP5024</t>
  </si>
  <si>
    <t>GRDE5000</t>
  </si>
  <si>
    <t>GRDE5003</t>
  </si>
  <si>
    <t>Notes / Progress</t>
  </si>
  <si>
    <t>Alternate Core &amp; Option Units</t>
  </si>
  <si>
    <t>Alternate Core / Option Units</t>
  </si>
  <si>
    <t>Choose your Digital and Social Media Course (drop-down list)</t>
  </si>
  <si>
    <t>Alternate Core &amp; Option Lists</t>
  </si>
  <si>
    <t>Choose your Int. Relations and National Sec. Course (drop-down list)</t>
  </si>
  <si>
    <t xml:space="preserve">Credits to Complete: </t>
  </si>
  <si>
    <t>Choose your Human Rights Course (drop-down list)</t>
  </si>
  <si>
    <t>RangeHRIGHTUnitsets</t>
  </si>
  <si>
    <t>GC-HRIGHTSem1</t>
  </si>
  <si>
    <t>GC-HRIGHTSem2</t>
  </si>
  <si>
    <t>GD-HRIGHTSem1</t>
  </si>
  <si>
    <t>GD-HRIGHTSem2</t>
  </si>
  <si>
    <t>MC-HRIGHTSem1</t>
  </si>
  <si>
    <t>MC-HRIGHTSem2</t>
  </si>
  <si>
    <t>MC-HRIGLOSem1</t>
  </si>
  <si>
    <t>MC-HRIGLOSem2</t>
  </si>
  <si>
    <t>---</t>
  </si>
  <si>
    <t>HRIG5000</t>
  </si>
  <si>
    <t>Exit Award Only</t>
  </si>
  <si>
    <t>HRIG5013</t>
  </si>
  <si>
    <t>HRIG5014</t>
  </si>
  <si>
    <t>HRIG5002</t>
  </si>
  <si>
    <t>HRIG5001</t>
  </si>
  <si>
    <t>HRIG5003</t>
  </si>
  <si>
    <t>AC-HRIGHT1</t>
  </si>
  <si>
    <t>GLBL5000</t>
  </si>
  <si>
    <t>Elective</t>
  </si>
  <si>
    <t>GLBL5001</t>
  </si>
  <si>
    <t>GLBL5002</t>
  </si>
  <si>
    <t>GLBL5003</t>
  </si>
  <si>
    <t>AC-HRIGHT2</t>
  </si>
  <si>
    <t>AC-HRIGLO1</t>
  </si>
  <si>
    <t>AC-HRIGLO2</t>
  </si>
  <si>
    <t>Only P-T Available</t>
  </si>
  <si>
    <t>SM Structure Query</t>
  </si>
  <si>
    <t>RangeHRIGHTOptions</t>
  </si>
  <si>
    <t>--</t>
  </si>
  <si>
    <t>HRIG5004</t>
  </si>
  <si>
    <t>Choose your Multimedia Journalism Course (drop-down list)</t>
  </si>
  <si>
    <t>RangeMMJRNUnitsets</t>
  </si>
  <si>
    <t>GC-MMJRNSem1</t>
  </si>
  <si>
    <t>GC-MMJRNSem2</t>
  </si>
  <si>
    <t>GD-MMJRNSem1</t>
  </si>
  <si>
    <t>GD-MMJRNSem2</t>
  </si>
  <si>
    <t>MC-MMJRNSem1</t>
  </si>
  <si>
    <t>MC-MMJRNSem2</t>
  </si>
  <si>
    <t>MC-MMJRGSem1</t>
  </si>
  <si>
    <t>MC-MMJRGSem2</t>
  </si>
  <si>
    <t>JOUR5003</t>
  </si>
  <si>
    <t>JOUR5002</t>
  </si>
  <si>
    <t>JOUR5000</t>
  </si>
  <si>
    <t>JOUR5004</t>
  </si>
  <si>
    <t>JOUR5012</t>
  </si>
  <si>
    <t>JOUR5005</t>
  </si>
  <si>
    <t>JOUR5010</t>
  </si>
  <si>
    <t>JOUR5016</t>
  </si>
  <si>
    <t>22/03/2024 - INTR5001 not available since 2019</t>
  </si>
  <si>
    <t>JOUR6004</t>
  </si>
  <si>
    <t>Opt-MMJRG</t>
  </si>
  <si>
    <t>AC-MMJRN</t>
  </si>
  <si>
    <t>AC-MMJRG</t>
  </si>
  <si>
    <t>RangeMMJRNOptions</t>
  </si>
  <si>
    <t>JOUR5006</t>
  </si>
  <si>
    <t>HRIG5005</t>
  </si>
  <si>
    <t>INTR5002</t>
  </si>
  <si>
    <t>No Availabilities since 2019</t>
  </si>
  <si>
    <t>INTR5006</t>
  </si>
  <si>
    <t>INTR5001</t>
  </si>
  <si>
    <t>POLS5000</t>
  </si>
  <si>
    <t>POLS5004</t>
  </si>
  <si>
    <t>RangeNETSCMUnitsets</t>
  </si>
  <si>
    <t>GC-NETSCMSem1</t>
  </si>
  <si>
    <t>GC-NETSCMSem2</t>
  </si>
  <si>
    <t>GD-NETSCMSem1</t>
  </si>
  <si>
    <t>GD-NETSCMSem2</t>
  </si>
  <si>
    <t>MC-NETSCMSem1</t>
  </si>
  <si>
    <t>MC-NETSCMSem2</t>
  </si>
  <si>
    <t>AC-NETSCM</t>
  </si>
  <si>
    <t>Opt-NETSCM</t>
  </si>
  <si>
    <t>22/03/2024 - MC-NETSCM only 4 of 8 Options available EACH Semester</t>
  </si>
  <si>
    <t>RangeNETSCMOptions</t>
  </si>
  <si>
    <t>NETS5001</t>
  </si>
  <si>
    <t>NETS5003</t>
  </si>
  <si>
    <t>NETS5005</t>
  </si>
  <si>
    <t>NETS5006</t>
  </si>
  <si>
    <t>NETS5007</t>
  </si>
  <si>
    <t>NETS5009</t>
  </si>
  <si>
    <t>NETS5011</t>
  </si>
  <si>
    <t>RangeINTRNSUnitsets</t>
  </si>
  <si>
    <t>GC-INTRNSSem1</t>
  </si>
  <si>
    <t>GC-INTRNSSem2</t>
  </si>
  <si>
    <t>GD-INTRNSSem1</t>
  </si>
  <si>
    <t>GD-INTRNSSem2</t>
  </si>
  <si>
    <t>MC-INTRNSSem1</t>
  </si>
  <si>
    <t>MC-INTRNSSem2</t>
  </si>
  <si>
    <t>POLS5003</t>
  </si>
  <si>
    <t>Opt-INTRNS</t>
  </si>
  <si>
    <t>22/02/2024 - Confirm Sequencing for all Courses</t>
  </si>
  <si>
    <t>22/02/2024 - INTR5001 not available since 2019</t>
  </si>
  <si>
    <t>22/03/2024 - Are the Reasearch Unit meant to be Alt Cores, if not</t>
  </si>
  <si>
    <t>RangeINTRNSOptions</t>
  </si>
  <si>
    <t>AC-INTRNSGC</t>
  </si>
  <si>
    <t>AC-INTRNS</t>
  </si>
  <si>
    <t>Opt-INTRNSY1</t>
  </si>
  <si>
    <t>INTR5003</t>
  </si>
  <si>
    <t>INTR5004</t>
  </si>
  <si>
    <t>INTR5005</t>
  </si>
  <si>
    <t>Opt-INTRNSY2</t>
  </si>
  <si>
    <t>INTR5008</t>
  </si>
  <si>
    <t>INTR5009</t>
  </si>
  <si>
    <t>POLS5002</t>
  </si>
  <si>
    <t>Opt-INTRNSB</t>
  </si>
  <si>
    <t>Choose your Global Engagement Course (drop-down list)</t>
  </si>
  <si>
    <t>RangeGLOBLUnitsets</t>
  </si>
  <si>
    <t>GC-GLOBLSem1</t>
  </si>
  <si>
    <t>GC-GLOBLSem2</t>
  </si>
  <si>
    <t>MC-GLOBL(HR)Sem1</t>
  </si>
  <si>
    <t>MC-GLOBL(HR)Sem2</t>
  </si>
  <si>
    <t>MC-GLOBL(IR)Sem1</t>
  </si>
  <si>
    <t>MC-GLOBL(IR)Sem2</t>
  </si>
  <si>
    <t>MC-GLOBL2Sem1</t>
  </si>
  <si>
    <t>MC-GLOBL2Sem2</t>
  </si>
  <si>
    <t>AC-INTRNSt</t>
  </si>
  <si>
    <t>MC-GLOBL</t>
  </si>
  <si>
    <t>Opt-INTRNSt</t>
  </si>
  <si>
    <t>AC-GLOBL1</t>
  </si>
  <si>
    <t>Option</t>
  </si>
  <si>
    <t>Opt-HRIGTSt</t>
  </si>
  <si>
    <t>AC-GLOBL2</t>
  </si>
  <si>
    <t>RangeGLOBLOptions</t>
  </si>
  <si>
    <t>Semester 1</t>
  </si>
  <si>
    <t>Semester 2</t>
  </si>
  <si>
    <t>Title</t>
  </si>
  <si>
    <t>S1INT</t>
  </si>
  <si>
    <t>S1FO</t>
  </si>
  <si>
    <t>S2INT</t>
  </si>
  <si>
    <t>S2FO</t>
  </si>
  <si>
    <t>Notes</t>
  </si>
  <si>
    <t>Please note this is a 50CP Unit</t>
  </si>
  <si>
    <t>Not applicable to this Course</t>
  </si>
  <si>
    <t>Not available for full-time study with commencement this Study Period</t>
  </si>
  <si>
    <t>Contact Course Coordinator</t>
  </si>
  <si>
    <t>25 Credit Point Units</t>
  </si>
  <si>
    <t>50 Credit Point Units</t>
  </si>
  <si>
    <t>Study either COMS6004 or HUMN6003 (see below)</t>
  </si>
  <si>
    <t>See below</t>
  </si>
  <si>
    <t>Study either VISA5008 or VISA5011 (see below)</t>
  </si>
  <si>
    <t>Study either COMS6004 or HUMN6001 (see below)</t>
  </si>
  <si>
    <t>Study either COMS6002 or HUMN6003 (see below)</t>
  </si>
  <si>
    <t>Study either INTR5001 or POLS5003 (see below)</t>
  </si>
  <si>
    <t>Study one of INTR5001 or POLS5000 or POLS5003 (see below)</t>
  </si>
  <si>
    <t>Study either JOUR5006 or NETS5004 (see below)</t>
  </si>
  <si>
    <t>Study either NETS5000 or NETS5001 (see below)</t>
  </si>
  <si>
    <t>Study either COMS6004 or HUMN6003</t>
  </si>
  <si>
    <t>Study either CWRI6000 or NETS5010</t>
  </si>
  <si>
    <t>COMS5002</t>
  </si>
  <si>
    <t>Study Tour (with Approval)</t>
  </si>
  <si>
    <t>See Handbook</t>
  </si>
  <si>
    <t>Approaches to Arts Research Projects</t>
  </si>
  <si>
    <t>None</t>
  </si>
  <si>
    <t>Masters Professional Experience</t>
  </si>
  <si>
    <t>Course specific - See Handbook</t>
  </si>
  <si>
    <t>New Version</t>
  </si>
  <si>
    <t>COMS6002.PO</t>
  </si>
  <si>
    <t>Professional or Creative Practice</t>
  </si>
  <si>
    <t>COMS6000 or COMS6005 or INFO5009</t>
  </si>
  <si>
    <t>Phasing Out</t>
  </si>
  <si>
    <t>Masters Professional or Creative Project</t>
  </si>
  <si>
    <t>COMS6004.PO</t>
  </si>
  <si>
    <t>Professional or Creative Project</t>
  </si>
  <si>
    <t>Planning an Arts Research Project</t>
  </si>
  <si>
    <t>Writing Long Fiction</t>
  </si>
  <si>
    <t>Writing for Children</t>
  </si>
  <si>
    <t>Writing Genre Fiction</t>
  </si>
  <si>
    <t>Travel Writing</t>
  </si>
  <si>
    <t>Writing Poetry</t>
  </si>
  <si>
    <t>Experimental Writing</t>
  </si>
  <si>
    <t>Writing Short Fiction</t>
  </si>
  <si>
    <t>Engaging Narrative</t>
  </si>
  <si>
    <t>Study a postgraduate level Elective unit</t>
  </si>
  <si>
    <t>Engaging Cultural Diversity</t>
  </si>
  <si>
    <t>Global Futures and Just Transformations</t>
  </si>
  <si>
    <t>Engaging Africa</t>
  </si>
  <si>
    <t>Engaging Asia</t>
  </si>
  <si>
    <t>Design Computing</t>
  </si>
  <si>
    <t>No availabilities since 2021</t>
  </si>
  <si>
    <t>Typography</t>
  </si>
  <si>
    <t>Human Rights Education in Practice</t>
  </si>
  <si>
    <t>HRIG5000.PO</t>
  </si>
  <si>
    <t>Community Education and Consciousness Raising</t>
  </si>
  <si>
    <t>Social Justice and Development</t>
  </si>
  <si>
    <t>HRIG5001.PO</t>
  </si>
  <si>
    <t>Human Rights and Development</t>
  </si>
  <si>
    <t>International Human Rights Law and Practice</t>
  </si>
  <si>
    <t>HRIG5002.PO</t>
  </si>
  <si>
    <t>Human Rights Instruments and Institutions</t>
  </si>
  <si>
    <t>Activism, Advocacy and Change</t>
  </si>
  <si>
    <t>HRIG5003.PO</t>
  </si>
  <si>
    <t>Human Rights Activism, Advocacy and Change</t>
  </si>
  <si>
    <t>Forced Migration and Refugee Rights</t>
  </si>
  <si>
    <t>HRIG5004.PO</t>
  </si>
  <si>
    <t>Refugee Rights</t>
  </si>
  <si>
    <t>Indigenous Rights</t>
  </si>
  <si>
    <t>Introduction to Human Rights and Social Justice</t>
  </si>
  <si>
    <t>HRIG5013.PO</t>
  </si>
  <si>
    <t>Human Rights Theory and Philosophy</t>
  </si>
  <si>
    <t>Dialogue across Cultures and Religions</t>
  </si>
  <si>
    <t>HRIG5014.PO</t>
  </si>
  <si>
    <t>Human Rights History Across Cultures and Religions</t>
  </si>
  <si>
    <t>HRIG6000.PO</t>
  </si>
  <si>
    <t>Human Rights Project Preparation</t>
  </si>
  <si>
    <t>Deactivated 31/12/2023</t>
  </si>
  <si>
    <t>HRIG6001.PO</t>
  </si>
  <si>
    <t>Human Rights Project</t>
  </si>
  <si>
    <t>HRIG6000*</t>
  </si>
  <si>
    <t>Masters Research Project 1 (* pre requisite to HUMN6003)</t>
  </si>
  <si>
    <t>Masters Research Project 2 (* must study HUMN6001 first)</t>
  </si>
  <si>
    <t>Australian Indigenous Literature Creative Perspectives</t>
  </si>
  <si>
    <t>Indigenous Australian Art and Design: Ancient and Contemporary</t>
  </si>
  <si>
    <t>INTR5000.PO</t>
  </si>
  <si>
    <t>Individual Project</t>
  </si>
  <si>
    <t>Contemporary Issues in International Relations</t>
  </si>
  <si>
    <t>No availabilities since 2019</t>
  </si>
  <si>
    <t>Asia Pacific Studies</t>
  </si>
  <si>
    <t>Strategic Geography</t>
  </si>
  <si>
    <t>Russian and Eurasian Studies</t>
  </si>
  <si>
    <t>Globalised Terrorism</t>
  </si>
  <si>
    <t>Intelligence and Analysis</t>
  </si>
  <si>
    <t>Cultures of Violence and Conflict</t>
  </si>
  <si>
    <t>Information Operations and Cyber Power</t>
  </si>
  <si>
    <t>INTR6000.PO</t>
  </si>
  <si>
    <t>Advanced Individual Project 1</t>
  </si>
  <si>
    <t>200CP + CWA of 70%</t>
  </si>
  <si>
    <t>INTR6001.PO</t>
  </si>
  <si>
    <t>Advanced Individual Project 2</t>
  </si>
  <si>
    <t>INTR6000*</t>
  </si>
  <si>
    <t>Business Project Management</t>
  </si>
  <si>
    <t>Ethical Frameworks and Media Law</t>
  </si>
  <si>
    <t>JOUR5000.PO</t>
  </si>
  <si>
    <t>Media Law and Ethics</t>
  </si>
  <si>
    <t>Audio &amp; Deadline Journalism</t>
  </si>
  <si>
    <t>JOUR5002.PO</t>
  </si>
  <si>
    <t>Radio News</t>
  </si>
  <si>
    <t>Online &amp; Text-based Journalism</t>
  </si>
  <si>
    <t>JOUR5003.PO</t>
  </si>
  <si>
    <t>News Writing and Reporting</t>
  </si>
  <si>
    <t>Long Form Journalism</t>
  </si>
  <si>
    <t>Pre Reqs - Akari has NO Pre Reqs (removed 2021), S1 still has JOUR5002 AND JOUR5003 AND JOUR5005, looks like missed update</t>
  </si>
  <si>
    <t>Video Journalism &amp; Storytelling</t>
  </si>
  <si>
    <t>JOUR5005.PO</t>
  </si>
  <si>
    <t>Video News</t>
  </si>
  <si>
    <t>News Internship</t>
  </si>
  <si>
    <t>JOUR5000 + JOUR5002 + JOUR5003</t>
  </si>
  <si>
    <t>New Version, new Pre Req(s)</t>
  </si>
  <si>
    <t>JOUR5006.PO</t>
  </si>
  <si>
    <t>Journalism Industry Placement</t>
  </si>
  <si>
    <t>Audio &amp; Visual News Presentation</t>
  </si>
  <si>
    <t>JOUR5010.PO</t>
  </si>
  <si>
    <t>Presentation for Broadcast</t>
  </si>
  <si>
    <t>Understanding Journalism</t>
  </si>
  <si>
    <t>Entrepreneurial Journalism</t>
  </si>
  <si>
    <t>JOUR6003.PO</t>
  </si>
  <si>
    <t>Journalism Masters Major Project</t>
  </si>
  <si>
    <t>News Day</t>
  </si>
  <si>
    <t>JOUR5002 + JOUR5003 + JOUR5005</t>
  </si>
  <si>
    <t>JOUR6004.PO</t>
  </si>
  <si>
    <t>Multimedia News Production</t>
  </si>
  <si>
    <t>MEDA6005.PO</t>
  </si>
  <si>
    <t>Advanced Discipline Project 1</t>
  </si>
  <si>
    <t>Refer to Handbook</t>
  </si>
  <si>
    <t>MEDA6006.PO</t>
  </si>
  <si>
    <t>Advanced Discipline Project 2</t>
  </si>
  <si>
    <t>MEDA6005</t>
  </si>
  <si>
    <t>Web Communications</t>
  </si>
  <si>
    <t>Digital Culture and Everyday Life</t>
  </si>
  <si>
    <t>Online Power and Resistance</t>
  </si>
  <si>
    <t>Social Media, Communities and Networks</t>
  </si>
  <si>
    <t>Writing on the Web</t>
  </si>
  <si>
    <t>The Digital Economy</t>
  </si>
  <si>
    <t>(Recommend NETS5000 / NETS5001)</t>
  </si>
  <si>
    <t>Internet Collaboration and Innovation</t>
  </si>
  <si>
    <t>Digital and Social Media Development Futures</t>
  </si>
  <si>
    <t>Web Media</t>
  </si>
  <si>
    <t>Online Games and Play</t>
  </si>
  <si>
    <t>NETS5011.PO</t>
  </si>
  <si>
    <t>Online Games, Play and Gamification</t>
  </si>
  <si>
    <t>Study a Creative Writing Option unit (see below)</t>
  </si>
  <si>
    <t>Year 1 Fine Arts Option units</t>
  </si>
  <si>
    <t>Heading for Option List - Keep</t>
  </si>
  <si>
    <t>Year 2 Fine Arts Option units</t>
  </si>
  <si>
    <t>Study a Year 1 Fine Arts Option unit (see below)</t>
  </si>
  <si>
    <t>Study a Year 2 Fine Arts Option unit (see below)</t>
  </si>
  <si>
    <t>Opt-HRIGHT</t>
  </si>
  <si>
    <t>Study an Option unit from the list below</t>
  </si>
  <si>
    <t>Study/selct Option units in either Year 1 or Year 2</t>
  </si>
  <si>
    <t>Study/select Option unit in Year 1 only</t>
  </si>
  <si>
    <t>Study/select Option units in Year 2 only</t>
  </si>
  <si>
    <t>Year 1 Professional Writing Option units</t>
  </si>
  <si>
    <t>Year 2 Professional Writing Option units</t>
  </si>
  <si>
    <t>Study a Year 1 Professional Writing Option unit (see below)</t>
  </si>
  <si>
    <t>Study a Year 2 Professional Writing Option unit (see below)</t>
  </si>
  <si>
    <t>Study a Screen Arts Option unit (see below)</t>
  </si>
  <si>
    <t>Foundations of International Security in the 21st Century</t>
  </si>
  <si>
    <t>Security and Conflict in the Indian Ocean and Persian Gulf</t>
  </si>
  <si>
    <t>National Security and Strategy</t>
  </si>
  <si>
    <t>Geo-Strategy and Energy Security</t>
  </si>
  <si>
    <t>Advanced Workplace Writing</t>
  </si>
  <si>
    <t>PWRP5023 (or PWRP5001)</t>
  </si>
  <si>
    <t>PWRP5000.PO</t>
  </si>
  <si>
    <t>Writing and Research for Professional Contexts</t>
  </si>
  <si>
    <t>PWRP5001</t>
  </si>
  <si>
    <t>Tricks of Truth and Authenticity</t>
  </si>
  <si>
    <t>Editing</t>
  </si>
  <si>
    <t>PWRP5003.PO</t>
  </si>
  <si>
    <t>Writing, Editing and Publishing</t>
  </si>
  <si>
    <t>Publishing</t>
  </si>
  <si>
    <t>PWRP5003*</t>
  </si>
  <si>
    <t>New Version, Pre Req changed to concurrent</t>
  </si>
  <si>
    <t>PWRP5006.PO</t>
  </si>
  <si>
    <t>Advanced Editing and Publishing</t>
  </si>
  <si>
    <t>Advanced Narrative Nonfiction</t>
  </si>
  <si>
    <t>PWRP5015.PO</t>
  </si>
  <si>
    <t>Writing Creative Non-Fiction</t>
  </si>
  <si>
    <t>PWRP5018</t>
  </si>
  <si>
    <t>Writing Feature Articles</t>
  </si>
  <si>
    <t>Narrative Nonfiction</t>
  </si>
  <si>
    <t>PWRP5019.PO</t>
  </si>
  <si>
    <t>Writing the Zeitgeist</t>
  </si>
  <si>
    <t>PWRP5020</t>
  </si>
  <si>
    <t>Portfolio Development for Writers</t>
  </si>
  <si>
    <t>Introduction to Creative and Professional Writing</t>
  </si>
  <si>
    <t>Skills in Professional Writing</t>
  </si>
  <si>
    <t>PWRP5022.PO</t>
  </si>
  <si>
    <t>Writing, Rhetoric and Persuasion</t>
  </si>
  <si>
    <t>Workplace Writing</t>
  </si>
  <si>
    <t>Publishing Studio</t>
  </si>
  <si>
    <t>Introduction to Screen Creativity</t>
  </si>
  <si>
    <t>Introduction to Screenwriting for Graduates</t>
  </si>
  <si>
    <t>Creative Documentary and Actualities</t>
  </si>
  <si>
    <t>Drama Narratives</t>
  </si>
  <si>
    <t>SPRO5002</t>
  </si>
  <si>
    <t>Advanced Studio Production</t>
  </si>
  <si>
    <t>AUVS5000 or SPRO5000 or SPRO5001 or SPRO5006</t>
  </si>
  <si>
    <t>Community Media Production</t>
  </si>
  <si>
    <t>Introduction to Screen Industries</t>
  </si>
  <si>
    <t>Studio Production</t>
  </si>
  <si>
    <t>SPRO5000 or SPRO5001 or SPRO5006</t>
  </si>
  <si>
    <t>Stream-GEStream</t>
  </si>
  <si>
    <t>Choose your Global Engagement Stream</t>
  </si>
  <si>
    <t>Stream-GLOBL</t>
  </si>
  <si>
    <t>Choose a Stream</t>
  </si>
  <si>
    <t>VISA5007</t>
  </si>
  <si>
    <t>Introduction to History of Art and Design</t>
  </si>
  <si>
    <t>Removed from structure; no availabilities</t>
  </si>
  <si>
    <t>Fine Art Studio Materials</t>
  </si>
  <si>
    <t>Drawing</t>
  </si>
  <si>
    <t>Fine Art Studio Methods</t>
  </si>
  <si>
    <t>Fine Art Project</t>
  </si>
  <si>
    <t>Fine Art Studio Extension</t>
  </si>
  <si>
    <t>Fine Art Studio Strategies</t>
  </si>
  <si>
    <t>Fine Art Concepts and Contexts</t>
  </si>
  <si>
    <t>Fine Art Studio Practice</t>
  </si>
  <si>
    <t>Fine Art Project Development</t>
  </si>
  <si>
    <t>Structures downloaded from S1 (check instructions before copy/pasting into tables)</t>
  </si>
  <si>
    <t>Effective:</t>
  </si>
  <si>
    <t>Downloaded:</t>
  </si>
  <si>
    <t>OUA Code</t>
  </si>
  <si>
    <t>CPs</t>
  </si>
  <si>
    <t>No.</t>
  </si>
  <si>
    <t>Component Type</t>
  </si>
  <si>
    <t>Year Level</t>
  </si>
  <si>
    <t>Study Package Code</t>
  </si>
  <si>
    <t>Structure Line</t>
  </si>
  <si>
    <t>Effective</t>
  </si>
  <si>
    <t>Discont.</t>
  </si>
  <si>
    <t>SPK</t>
  </si>
  <si>
    <t>Core</t>
  </si>
  <si>
    <t>NA</t>
  </si>
  <si>
    <t/>
  </si>
  <si>
    <t>Choose a Major</t>
  </si>
  <si>
    <t>OptCWY1</t>
  </si>
  <si>
    <t>AltCore</t>
  </si>
  <si>
    <t>Choose COMS6004 or HUMN6003</t>
  </si>
  <si>
    <t>Choose Options</t>
  </si>
  <si>
    <t>OptCWY2</t>
  </si>
  <si>
    <t>Masters Research Project 2</t>
  </si>
  <si>
    <t>AltCore1</t>
  </si>
  <si>
    <t>MEDA6006</t>
  </si>
  <si>
    <t>Masters Research Project 1</t>
  </si>
  <si>
    <t>OptFAY1</t>
  </si>
  <si>
    <t>Choose VISA5008 or VISA5011</t>
  </si>
  <si>
    <t>Choose Options for Year 1</t>
  </si>
  <si>
    <t>Choose HUMN6003 or COMS6004</t>
  </si>
  <si>
    <t>AltCore2</t>
  </si>
  <si>
    <t>Choose Options for Year 2</t>
  </si>
  <si>
    <t>OptFAY2</t>
  </si>
  <si>
    <t>OptPWY1</t>
  </si>
  <si>
    <t>OptPWY2</t>
  </si>
  <si>
    <t>Choose CWRI6000 or NETS5010</t>
  </si>
  <si>
    <t>OptSAY1S2</t>
  </si>
  <si>
    <t>OptSAY2S1</t>
  </si>
  <si>
    <t>OptSAY2S2</t>
  </si>
  <si>
    <t>Choose JOUR5006 or NETS5004</t>
  </si>
  <si>
    <t>Choose Options for Semester 2, Year 2</t>
  </si>
  <si>
    <t>JOUR6003</t>
  </si>
  <si>
    <t>OptMMJR</t>
  </si>
  <si>
    <t>Choose HUMN6001 or COMS6004</t>
  </si>
  <si>
    <t>Choose HUMN6003 or COMS6002</t>
  </si>
  <si>
    <t>Choose Electives</t>
  </si>
  <si>
    <t>HRIG6000</t>
  </si>
  <si>
    <t>Choose HUMN6001 or COMS6004. Choose HUMN6001 to enrol if want to complete HUMN6003, as it is the pre-requisite to HUMN6003. Alternatively, students may choose to complete the Alternate Cores COMS6004 and COMS6002.</t>
  </si>
  <si>
    <t>HRIG6001</t>
  </si>
  <si>
    <t>Choose HUMN6003 or COMS6002. HUMN6001 must be completed prior to enrolling into HUMN6003. Alternatively, students may choose to complete the Alternate Cores COMS6004 and COMS6002.</t>
  </si>
  <si>
    <t>Select postgraduate units to the total value of:</t>
  </si>
  <si>
    <t>OptHRIGHT</t>
  </si>
  <si>
    <t>Choose NETS5000 or NETS5001</t>
  </si>
  <si>
    <t>Select Options</t>
  </si>
  <si>
    <t>OptDaSM</t>
  </si>
  <si>
    <t>ACDaSM</t>
  </si>
  <si>
    <t>ACIRNS</t>
  </si>
  <si>
    <t>Choose INTR5001 or POLS5003</t>
  </si>
  <si>
    <t>OptIRNSY1</t>
  </si>
  <si>
    <t>OptIRNSY2</t>
  </si>
  <si>
    <t>INTR5000</t>
  </si>
  <si>
    <t>INTR6000</t>
  </si>
  <si>
    <t>INTR6001</t>
  </si>
  <si>
    <t>Choose INTR5001 or POLS5000 or POLS5003</t>
  </si>
  <si>
    <t>ACIRNSGC</t>
  </si>
  <si>
    <t>Select optional units (see Options List) to the value of:</t>
  </si>
  <si>
    <t>Master of Global Engagement</t>
  </si>
  <si>
    <t>GE Stream</t>
  </si>
  <si>
    <t>Choose Stream 1 - STRP-GLOBL Global Engagement Stream</t>
  </si>
  <si>
    <t>Choose Stream 2 - STRP-INTRN International Relations and National Security Stream</t>
  </si>
  <si>
    <t>Choose Stream 3 - STRP-HRIGT Human Rights Stream</t>
  </si>
  <si>
    <t>PivotTable copied from download of availabilities from S1 (check instructions before copy/pasting this table)</t>
  </si>
  <si>
    <t>2024 Downloaded:</t>
  </si>
  <si>
    <t>Row Labels</t>
  </si>
  <si>
    <t>Study 100CP of Option units from this list</t>
  </si>
  <si>
    <t>Study 75CP of Option units from this list</t>
  </si>
  <si>
    <t>Study an HRIGT or INTRN Option unit from the lists below</t>
  </si>
  <si>
    <t>Opt-GEADV</t>
  </si>
  <si>
    <t>Sem1 Internal</t>
  </si>
  <si>
    <t>Sem1 Online</t>
  </si>
  <si>
    <t>Sem2 Internal</t>
  </si>
  <si>
    <t>Sem2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</si>
</sst>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sz val="6"/>
      <color theme="1"/>
      <name val="Arial"/>
      <family val="2"/>
    </font>
    <font>
      <sz val="9"/>
      <name val="Segoe UI"/>
      <family val="2"/>
    </font>
    <font>
      <b/>
      <sz val="9"/>
      <color theme="0"/>
      <name val="Segoe UI"/>
      <family val="2"/>
    </font>
    <font>
      <b/>
      <sz val="12"/>
      <color rgb="FF000000"/>
      <name val="Calibri"/>
      <family val="2"/>
      <scheme val="minor"/>
    </font>
    <font>
      <b/>
      <sz val="11"/>
      <color theme="0"/>
      <name val="Arial"/>
      <family val="2"/>
    </font>
    <font>
      <sz val="11"/>
      <color theme="0"/>
      <name val="Arial"/>
      <family val="2"/>
    </font>
    <font>
      <b/>
      <sz val="11"/>
      <color theme="0"/>
      <name val="Segoe UI"/>
      <family val="2"/>
    </font>
    <font>
      <i/>
      <sz val="8"/>
      <name val="Arial"/>
      <family val="2"/>
    </font>
    <font>
      <b/>
      <sz val="11"/>
      <color rgb="FFFF0000"/>
      <name val="Segoe UI"/>
      <family val="2"/>
    </font>
    <font>
      <b/>
      <sz val="9"/>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i/>
      <sz val="12"/>
      <color theme="0" tint="-0.499984740745262"/>
      <name val="Calibri"/>
      <family val="2"/>
      <scheme val="minor"/>
    </font>
    <font>
      <b/>
      <sz val="9"/>
      <color rgb="FFFF0000"/>
      <name val="Segoe UI"/>
      <family val="2"/>
    </font>
    <font>
      <b/>
      <sz val="16"/>
      <color theme="1"/>
      <name val="Segoe UI"/>
      <family val="2"/>
    </font>
    <font>
      <b/>
      <sz val="12"/>
      <color theme="0"/>
      <name val="Segoe UI"/>
      <family val="2"/>
    </font>
    <font>
      <b/>
      <i/>
      <sz val="12"/>
      <color rgb="FFFF0000"/>
      <name val="Calibri"/>
      <family val="2"/>
      <scheme val="minor"/>
    </font>
    <font>
      <b/>
      <i/>
      <sz val="10"/>
      <color theme="0" tint="-0.499984740745262"/>
      <name val="Arial"/>
      <family val="2"/>
    </font>
    <font>
      <b/>
      <sz val="14"/>
      <color theme="0"/>
      <name val="Segoe UI"/>
      <family val="2"/>
    </font>
    <font>
      <b/>
      <sz val="11"/>
      <name val="Segoe UI"/>
      <family val="2"/>
    </font>
    <font>
      <b/>
      <sz val="8"/>
      <name val="Segoe UI"/>
      <family val="2"/>
    </font>
    <font>
      <sz val="12"/>
      <name val="Calibri"/>
      <family val="2"/>
      <scheme val="minor"/>
    </font>
    <font>
      <sz val="10"/>
      <color rgb="FF00B050"/>
      <name val="Arial"/>
      <family val="2"/>
    </font>
    <font>
      <b/>
      <i/>
      <sz val="12"/>
      <color rgb="FF00B050"/>
      <name val="Calibri"/>
      <family val="2"/>
      <scheme val="minor"/>
    </font>
    <font>
      <b/>
      <sz val="10"/>
      <color theme="0"/>
      <name val="Segoe UI"/>
      <family val="2"/>
    </font>
    <font>
      <sz val="12"/>
      <color rgb="FFC00000"/>
      <name val="Calibri"/>
      <family val="2"/>
      <scheme val="minor"/>
    </font>
    <font>
      <sz val="8"/>
      <color rgb="FFFF0000"/>
      <name val="Calibri"/>
      <family val="2"/>
      <scheme val="minor"/>
    </font>
    <font>
      <b/>
      <sz val="10"/>
      <name val="Segoe UI"/>
      <family val="2"/>
    </font>
    <font>
      <sz val="10"/>
      <color theme="1"/>
      <name val="Arial"/>
    </font>
    <font>
      <sz val="10"/>
      <color rgb="FF000000"/>
      <name val="Arial"/>
    </font>
    <font>
      <b/>
      <sz val="9"/>
      <color theme="5"/>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rgb="FFFFFF00"/>
        <bgColor indexed="64"/>
      </patternFill>
    </fill>
    <fill>
      <patternFill patternType="solid">
        <fgColor theme="5"/>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24994659260841701"/>
      </left>
      <right style="thin">
        <color theme="0" tint="-0.2499465926084170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top/>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s>
  <cellStyleXfs count="4">
    <xf numFmtId="0" fontId="0" fillId="0" borderId="0"/>
    <xf numFmtId="0" fontId="2" fillId="0" borderId="0"/>
    <xf numFmtId="0" fontId="29" fillId="0" borderId="0" applyNumberFormat="0" applyFill="0" applyBorder="0" applyAlignment="0" applyProtection="0"/>
    <xf numFmtId="0" fontId="1" fillId="0" borderId="0"/>
  </cellStyleXfs>
  <cellXfs count="412">
    <xf numFmtId="0" fontId="0" fillId="0" borderId="0" xfId="0"/>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horizontal="center"/>
    </xf>
    <xf numFmtId="0" fontId="9" fillId="0" borderId="0" xfId="0" applyFont="1"/>
    <xf numFmtId="0" fontId="11" fillId="0" borderId="0" xfId="0" applyFont="1"/>
    <xf numFmtId="0" fontId="11" fillId="0" borderId="0" xfId="0" applyFont="1" applyAlignment="1">
      <alignment horizontal="center"/>
    </xf>
    <xf numFmtId="0" fontId="6" fillId="4" borderId="0" xfId="0" applyFont="1" applyFill="1"/>
    <xf numFmtId="0" fontId="6" fillId="4" borderId="0" xfId="0" applyFont="1" applyFill="1" applyAlignment="1">
      <alignment horizontal="center"/>
    </xf>
    <xf numFmtId="0" fontId="6" fillId="4" borderId="0" xfId="0" applyFont="1" applyFill="1" applyAlignment="1">
      <alignment horizontal="left"/>
    </xf>
    <xf numFmtId="0" fontId="6" fillId="4" borderId="7" xfId="0" applyFont="1" applyFill="1" applyBorder="1" applyAlignment="1">
      <alignment horizontal="center"/>
    </xf>
    <xf numFmtId="0" fontId="6" fillId="4" borderId="6" xfId="0" applyFont="1" applyFill="1" applyBorder="1" applyAlignment="1">
      <alignment horizontal="left"/>
    </xf>
    <xf numFmtId="0" fontId="19" fillId="0" borderId="11" xfId="1" applyFont="1" applyBorder="1" applyAlignment="1">
      <alignment horizontal="center"/>
    </xf>
    <xf numFmtId="0" fontId="19" fillId="0" borderId="12" xfId="1" applyFont="1" applyBorder="1" applyAlignment="1">
      <alignment horizontal="center"/>
    </xf>
    <xf numFmtId="0" fontId="19" fillId="0" borderId="12" xfId="1" applyFont="1" applyBorder="1"/>
    <xf numFmtId="0" fontId="19" fillId="0" borderId="13" xfId="1" applyFont="1" applyBorder="1"/>
    <xf numFmtId="0" fontId="2" fillId="0" borderId="0" xfId="1"/>
    <xf numFmtId="0" fontId="2" fillId="0" borderId="0" xfId="1" applyAlignment="1">
      <alignment horizontal="center"/>
    </xf>
    <xf numFmtId="0" fontId="21" fillId="2" borderId="0" xfId="1" applyFont="1" applyFill="1" applyAlignment="1">
      <alignment horizontal="right" vertical="center" indent="1"/>
    </xf>
    <xf numFmtId="0" fontId="21" fillId="2" borderId="0" xfId="1" applyFont="1" applyFill="1" applyAlignment="1">
      <alignment vertical="center"/>
    </xf>
    <xf numFmtId="14" fontId="23" fillId="2" borderId="0" xfId="1" applyNumberFormat="1" applyFont="1" applyFill="1" applyAlignment="1">
      <alignment vertical="center"/>
    </xf>
    <xf numFmtId="0" fontId="21" fillId="2" borderId="0" xfId="1" applyFont="1" applyFill="1" applyAlignment="1">
      <alignment horizontal="left" vertical="center"/>
    </xf>
    <xf numFmtId="0" fontId="21" fillId="2" borderId="0" xfId="1" applyFont="1" applyFill="1" applyAlignment="1">
      <alignment horizontal="left" vertical="center" indent="1"/>
    </xf>
    <xf numFmtId="0" fontId="23" fillId="2" borderId="0" xfId="1" applyFont="1" applyFill="1" applyAlignment="1">
      <alignment horizontal="left" vertical="center" wrapText="1"/>
    </xf>
    <xf numFmtId="0" fontId="2" fillId="0" borderId="0" xfId="1" applyProtection="1">
      <protection locked="0"/>
    </xf>
    <xf numFmtId="0" fontId="25" fillId="2" borderId="0" xfId="1" applyFont="1" applyFill="1" applyAlignment="1" applyProtection="1">
      <alignment vertical="center"/>
      <protection locked="0"/>
    </xf>
    <xf numFmtId="0" fontId="26" fillId="2" borderId="0" xfId="1" applyFont="1" applyFill="1" applyAlignment="1" applyProtection="1">
      <alignment vertical="center"/>
      <protection locked="0"/>
    </xf>
    <xf numFmtId="0" fontId="26" fillId="2" borderId="0" xfId="1" applyFont="1" applyFill="1" applyAlignment="1">
      <alignment vertical="center"/>
    </xf>
    <xf numFmtId="0" fontId="25" fillId="2" borderId="0" xfId="1" applyFont="1" applyFill="1" applyAlignment="1" applyProtection="1">
      <alignment wrapText="1"/>
      <protection locked="0"/>
    </xf>
    <xf numFmtId="0" fontId="26" fillId="2" borderId="0" xfId="1" applyFont="1" applyFill="1" applyAlignment="1" applyProtection="1">
      <alignment wrapText="1"/>
      <protection locked="0"/>
    </xf>
    <xf numFmtId="0" fontId="26" fillId="2" borderId="0" xfId="1" applyFont="1" applyFill="1" applyAlignment="1">
      <alignment wrapText="1"/>
    </xf>
    <xf numFmtId="0" fontId="23" fillId="5" borderId="13" xfId="1" applyFont="1" applyFill="1" applyBorder="1" applyAlignment="1">
      <alignment horizontal="center" vertical="center" wrapText="1"/>
    </xf>
    <xf numFmtId="0" fontId="23" fillId="5" borderId="0" xfId="1" applyFont="1" applyFill="1" applyAlignment="1">
      <alignment horizontal="center" vertical="center" wrapText="1"/>
    </xf>
    <xf numFmtId="0" fontId="23" fillId="5" borderId="0" xfId="1" applyFont="1" applyFill="1" applyAlignment="1">
      <alignment vertical="center" wrapText="1"/>
    </xf>
    <xf numFmtId="0" fontId="26" fillId="5" borderId="0" xfId="1" applyFont="1" applyFill="1" applyAlignment="1">
      <alignment horizontal="left" vertical="center" wrapText="1"/>
    </xf>
    <xf numFmtId="0" fontId="23" fillId="5" borderId="17" xfId="1" applyFont="1" applyFill="1" applyBorder="1" applyAlignment="1" applyProtection="1">
      <alignment horizontal="center" vertical="center" wrapText="1"/>
      <protection locked="0"/>
    </xf>
    <xf numFmtId="0" fontId="25" fillId="2" borderId="0" xfId="1" applyFont="1" applyFill="1" applyProtection="1">
      <protection locked="0"/>
    </xf>
    <xf numFmtId="0" fontId="26" fillId="2" borderId="0" xfId="1" applyFont="1" applyFill="1" applyProtection="1">
      <protection locked="0"/>
    </xf>
    <xf numFmtId="0" fontId="26" fillId="2" borderId="0" xfId="1" applyFont="1" applyFill="1"/>
    <xf numFmtId="0" fontId="30" fillId="5" borderId="0" xfId="2" applyFont="1" applyFill="1" applyAlignment="1" applyProtection="1">
      <alignment vertical="center"/>
    </xf>
    <xf numFmtId="0" fontId="29" fillId="5" borderId="0" xfId="2" applyFill="1" applyAlignment="1" applyProtection="1">
      <alignment vertical="center"/>
    </xf>
    <xf numFmtId="0" fontId="32" fillId="2" borderId="0" xfId="1" applyFont="1" applyFill="1" applyProtection="1">
      <protection locked="0"/>
    </xf>
    <xf numFmtId="0" fontId="33" fillId="2" borderId="0" xfId="1" applyFont="1" applyFill="1" applyProtection="1">
      <protection locked="0"/>
    </xf>
    <xf numFmtId="0" fontId="33" fillId="2" borderId="0" xfId="1" applyFont="1" applyFill="1"/>
    <xf numFmtId="0" fontId="34" fillId="2" borderId="0" xfId="1" applyFont="1" applyFill="1" applyAlignment="1">
      <alignment vertical="center"/>
    </xf>
    <xf numFmtId="0" fontId="35" fillId="2" borderId="0" xfId="1" applyFont="1" applyFill="1" applyAlignment="1">
      <alignment vertical="center"/>
    </xf>
    <xf numFmtId="0" fontId="2" fillId="0" borderId="0" xfId="1" applyAlignment="1" applyProtection="1">
      <alignment horizontal="center" vertical="top"/>
      <protection locked="0"/>
    </xf>
    <xf numFmtId="0" fontId="2" fillId="0" borderId="0" xfId="1" applyAlignment="1">
      <alignment horizontal="center" vertical="top"/>
    </xf>
    <xf numFmtId="0" fontId="36" fillId="0" borderId="19" xfId="1" applyFont="1" applyBorder="1" applyAlignment="1">
      <alignment vertical="center"/>
    </xf>
    <xf numFmtId="0" fontId="36" fillId="0" borderId="19" xfId="1" applyFont="1" applyBorder="1" applyAlignment="1">
      <alignment vertical="center" wrapText="1"/>
    </xf>
    <xf numFmtId="0" fontId="36" fillId="0" borderId="19" xfId="1" applyFont="1" applyBorder="1" applyAlignment="1">
      <alignment horizontal="center" vertical="center" wrapText="1"/>
    </xf>
    <xf numFmtId="0" fontId="13" fillId="2" borderId="0" xfId="1" applyFont="1" applyFill="1" applyAlignment="1">
      <alignment vertical="center"/>
    </xf>
    <xf numFmtId="0" fontId="35" fillId="2" borderId="0" xfId="1" applyFont="1" applyFill="1" applyAlignment="1">
      <alignment horizontal="right" vertical="center"/>
    </xf>
    <xf numFmtId="0" fontId="19" fillId="0" borderId="0" xfId="0" applyFont="1" applyAlignment="1">
      <alignment horizontal="center"/>
    </xf>
    <xf numFmtId="0" fontId="26" fillId="2" borderId="19" xfId="1" applyFont="1" applyFill="1" applyBorder="1" applyAlignment="1">
      <alignment horizontal="center" vertical="center" wrapText="1"/>
    </xf>
    <xf numFmtId="0" fontId="23" fillId="2" borderId="19" xfId="1" applyFont="1" applyFill="1" applyBorder="1" applyAlignment="1">
      <alignment horizontal="center" vertical="center" wrapText="1"/>
    </xf>
    <xf numFmtId="0" fontId="23" fillId="0" borderId="20" xfId="1" applyFont="1" applyBorder="1" applyAlignment="1">
      <alignment horizontal="center" vertical="center" wrapText="1"/>
    </xf>
    <xf numFmtId="0" fontId="23" fillId="0" borderId="19" xfId="1" applyFont="1" applyBorder="1" applyAlignment="1">
      <alignment horizontal="center" vertical="center" wrapText="1"/>
    </xf>
    <xf numFmtId="0" fontId="23" fillId="2" borderId="20" xfId="1" applyFont="1" applyFill="1" applyBorder="1" applyAlignment="1">
      <alignment horizontal="center" vertical="center" wrapText="1"/>
    </xf>
    <xf numFmtId="0" fontId="23" fillId="0" borderId="19" xfId="1" applyFont="1" applyBorder="1" applyAlignment="1">
      <alignment vertical="center" wrapText="1"/>
    </xf>
    <xf numFmtId="0" fontId="23" fillId="2" borderId="20" xfId="1" applyFont="1" applyFill="1" applyBorder="1" applyAlignment="1" applyProtection="1">
      <alignment horizontal="left" vertical="center" wrapText="1"/>
      <protection locked="0"/>
    </xf>
    <xf numFmtId="0" fontId="23" fillId="0" borderId="19" xfId="1" applyFont="1" applyBorder="1" applyAlignment="1">
      <alignment horizontal="left" vertical="center"/>
    </xf>
    <xf numFmtId="0" fontId="23" fillId="2" borderId="18" xfId="1" applyFont="1" applyFill="1" applyBorder="1" applyAlignment="1">
      <alignment horizontal="center" vertical="center" wrapText="1"/>
    </xf>
    <xf numFmtId="0" fontId="23" fillId="2" borderId="19" xfId="1" applyFont="1" applyFill="1" applyBorder="1" applyAlignment="1">
      <alignment vertical="center" wrapText="1"/>
    </xf>
    <xf numFmtId="0" fontId="23" fillId="2" borderId="20" xfId="1" applyFont="1" applyFill="1" applyBorder="1" applyAlignment="1" applyProtection="1">
      <alignment horizontal="center" vertical="center" wrapText="1"/>
      <protection locked="0"/>
    </xf>
    <xf numFmtId="0" fontId="23" fillId="0" borderId="20" xfId="1" applyFont="1" applyBorder="1" applyAlignment="1" applyProtection="1">
      <alignment horizontal="center" vertical="center" wrapText="1"/>
      <protection locked="0"/>
    </xf>
    <xf numFmtId="0" fontId="23" fillId="2" borderId="22" xfId="1" applyFont="1" applyFill="1" applyBorder="1" applyAlignment="1">
      <alignment horizontal="center" vertical="center" wrapText="1"/>
    </xf>
    <xf numFmtId="0" fontId="23" fillId="2" borderId="23" xfId="1" applyFont="1" applyFill="1" applyBorder="1" applyAlignment="1">
      <alignment horizontal="center" vertical="center" wrapText="1"/>
    </xf>
    <xf numFmtId="0" fontId="23" fillId="5" borderId="21" xfId="1" applyFont="1" applyFill="1" applyBorder="1" applyAlignment="1">
      <alignment horizontal="center" vertical="center" wrapText="1"/>
    </xf>
    <xf numFmtId="0" fontId="23" fillId="5" borderId="17" xfId="1" applyFont="1" applyFill="1" applyBorder="1" applyAlignment="1">
      <alignment horizontal="center" vertical="center" wrapText="1"/>
    </xf>
    <xf numFmtId="0" fontId="23" fillId="0" borderId="22" xfId="1" applyFont="1" applyBorder="1" applyAlignment="1">
      <alignment horizontal="center" vertical="center" wrapText="1"/>
    </xf>
    <xf numFmtId="0" fontId="23" fillId="0" borderId="23" xfId="1" applyFont="1" applyBorder="1" applyAlignment="1">
      <alignment horizontal="center" vertical="center" wrapText="1"/>
    </xf>
    <xf numFmtId="0" fontId="9" fillId="0" borderId="0" xfId="0" applyFont="1" applyAlignment="1">
      <alignment horizontal="center"/>
    </xf>
    <xf numFmtId="0" fontId="6" fillId="4" borderId="10" xfId="0" applyFont="1" applyFill="1" applyBorder="1" applyAlignment="1">
      <alignment horizontal="left"/>
    </xf>
    <xf numFmtId="0" fontId="11" fillId="7" borderId="6" xfId="0" applyFont="1" applyFill="1" applyBorder="1" applyAlignment="1">
      <alignment horizontal="center"/>
    </xf>
    <xf numFmtId="0" fontId="11" fillId="7" borderId="7" xfId="0" applyFont="1" applyFill="1" applyBorder="1" applyAlignment="1">
      <alignment horizontal="center"/>
    </xf>
    <xf numFmtId="0" fontId="23" fillId="0" borderId="0" xfId="1" applyFont="1" applyAlignment="1" applyProtection="1">
      <alignment vertical="top" wrapText="1"/>
      <protection locked="0"/>
    </xf>
    <xf numFmtId="0" fontId="6" fillId="4" borderId="1" xfId="0" applyFont="1" applyFill="1" applyBorder="1" applyAlignment="1">
      <alignment horizontal="left"/>
    </xf>
    <xf numFmtId="0" fontId="15" fillId="0" borderId="0" xfId="0" applyFont="1" applyAlignment="1" applyProtection="1">
      <alignment horizontal="left"/>
      <protection locked="0"/>
    </xf>
    <xf numFmtId="0" fontId="13" fillId="0" borderId="0" xfId="0" applyFont="1" applyProtection="1">
      <protection locked="0"/>
    </xf>
    <xf numFmtId="0" fontId="11" fillId="0" borderId="0" xfId="0" applyFont="1" applyProtection="1">
      <protection locked="0"/>
    </xf>
    <xf numFmtId="0" fontId="0" fillId="0" borderId="0" xfId="0" applyProtection="1">
      <protection locked="0"/>
    </xf>
    <xf numFmtId="0" fontId="46" fillId="0" borderId="0" xfId="0" applyFont="1" applyAlignment="1" applyProtection="1">
      <alignment horizontal="left"/>
      <protection locked="0"/>
    </xf>
    <xf numFmtId="0" fontId="11" fillId="0" borderId="0" xfId="0" applyFont="1" applyAlignment="1" applyProtection="1">
      <alignment horizontal="left"/>
      <protection locked="0"/>
    </xf>
    <xf numFmtId="0" fontId="18" fillId="0" borderId="0" xfId="0" applyFont="1" applyProtection="1">
      <protection locked="0"/>
    </xf>
    <xf numFmtId="0" fontId="6" fillId="0" borderId="0" xfId="0" applyFont="1" applyAlignment="1" applyProtection="1">
      <alignment horizontal="right"/>
      <protection locked="0"/>
    </xf>
    <xf numFmtId="0" fontId="7" fillId="0" borderId="0" xfId="0" applyFont="1" applyAlignment="1" applyProtection="1">
      <alignment horizontal="right"/>
      <protection locked="0"/>
    </xf>
    <xf numFmtId="0" fontId="11" fillId="0" borderId="0" xfId="0" applyFont="1" applyAlignment="1" applyProtection="1">
      <alignment horizontal="right"/>
      <protection locked="0"/>
    </xf>
    <xf numFmtId="0" fontId="38" fillId="0" borderId="0" xfId="0" applyFont="1" applyAlignment="1" applyProtection="1">
      <alignment horizontal="left"/>
      <protection locked="0"/>
    </xf>
    <xf numFmtId="0" fontId="17" fillId="0" borderId="0" xfId="0" applyFont="1" applyProtection="1">
      <protection locked="0"/>
    </xf>
    <xf numFmtId="0" fontId="4" fillId="0" borderId="0" xfId="0" applyFont="1" applyAlignment="1" applyProtection="1">
      <alignment horizontal="center" vertical="center"/>
      <protection locked="0"/>
    </xf>
    <xf numFmtId="0" fontId="3" fillId="3" borderId="2" xfId="0" applyFont="1" applyFill="1" applyBorder="1" applyAlignment="1" applyProtection="1">
      <alignment horizontal="right" vertical="center"/>
      <protection locked="0"/>
    </xf>
    <xf numFmtId="0" fontId="3" fillId="3" borderId="1" xfId="0" applyFont="1" applyFill="1" applyBorder="1" applyAlignment="1" applyProtection="1">
      <alignment horizontal="right" vertical="center"/>
      <protection locked="0"/>
    </xf>
    <xf numFmtId="0" fontId="3" fillId="0" borderId="0" xfId="0" applyFont="1" applyProtection="1">
      <protection locked="0"/>
    </xf>
    <xf numFmtId="0" fontId="12"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8"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4" fillId="0" borderId="0" xfId="0" applyFont="1" applyAlignment="1" applyProtection="1">
      <alignment horizontal="left"/>
      <protection locked="0"/>
    </xf>
    <xf numFmtId="0" fontId="16" fillId="0" borderId="0" xfId="0" applyFont="1" applyProtection="1">
      <protection locked="0"/>
    </xf>
    <xf numFmtId="0" fontId="14" fillId="0" borderId="0" xfId="0" applyFont="1" applyProtection="1">
      <protection locked="0"/>
    </xf>
    <xf numFmtId="0" fontId="8" fillId="0" borderId="0" xfId="0" applyFont="1" applyProtection="1">
      <protection locked="0"/>
    </xf>
    <xf numFmtId="0" fontId="9" fillId="0" borderId="0" xfId="0" applyFont="1" applyProtection="1">
      <protection locked="0"/>
    </xf>
    <xf numFmtId="0" fontId="4" fillId="6" borderId="0" xfId="0" applyFont="1" applyFill="1" applyAlignment="1" applyProtection="1">
      <alignment horizontal="center" vertical="center"/>
      <protection locked="0"/>
    </xf>
    <xf numFmtId="0" fontId="4" fillId="0" borderId="0" xfId="0" applyFont="1" applyProtection="1">
      <protection locked="0"/>
    </xf>
    <xf numFmtId="0" fontId="45" fillId="0" borderId="0" xfId="0" applyFont="1"/>
    <xf numFmtId="0" fontId="47" fillId="0" borderId="0" xfId="0" applyFont="1"/>
    <xf numFmtId="0" fontId="47" fillId="0" borderId="0" xfId="0" applyFont="1" applyAlignment="1">
      <alignment horizontal="right"/>
    </xf>
    <xf numFmtId="14" fontId="47" fillId="0" borderId="0" xfId="0" applyNumberFormat="1" applyFont="1"/>
    <xf numFmtId="0" fontId="47" fillId="0" borderId="0" xfId="0" applyFont="1" applyAlignment="1">
      <alignment horizontal="center"/>
    </xf>
    <xf numFmtId="0" fontId="0" fillId="0" borderId="24" xfId="0" applyBorder="1" applyAlignment="1">
      <alignment horizontal="center"/>
    </xf>
    <xf numFmtId="0" fontId="11" fillId="7" borderId="0" xfId="0" applyFont="1" applyFill="1" applyAlignment="1">
      <alignment horizontal="center"/>
    </xf>
    <xf numFmtId="0" fontId="7" fillId="7" borderId="0" xfId="0" applyFont="1" applyFill="1" applyAlignment="1">
      <alignment horizontal="center"/>
    </xf>
    <xf numFmtId="0" fontId="11" fillId="7" borderId="25" xfId="0" applyFont="1" applyFill="1" applyBorder="1" applyAlignment="1">
      <alignment horizontal="center"/>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8" fillId="0" borderId="0" xfId="0" applyFont="1" applyAlignment="1">
      <alignment horizontal="center"/>
    </xf>
    <xf numFmtId="0" fontId="4" fillId="9" borderId="7" xfId="0" applyFont="1" applyFill="1" applyBorder="1" applyAlignment="1" applyProtection="1">
      <alignment horizontal="center" vertical="center"/>
      <protection locked="0"/>
    </xf>
    <xf numFmtId="0" fontId="42" fillId="9" borderId="7" xfId="0" applyFont="1" applyFill="1" applyBorder="1" applyAlignment="1" applyProtection="1">
      <alignment horizontal="center" vertical="center"/>
      <protection locked="0"/>
    </xf>
    <xf numFmtId="0" fontId="36" fillId="0" borderId="19" xfId="1" applyFont="1" applyBorder="1" applyAlignment="1">
      <alignment horizontal="center" vertical="center"/>
    </xf>
    <xf numFmtId="0" fontId="48" fillId="0" borderId="0" xfId="0" applyFont="1" applyAlignment="1">
      <alignment horizontal="right"/>
    </xf>
    <xf numFmtId="0" fontId="10" fillId="10" borderId="7" xfId="0" applyFont="1" applyFill="1" applyBorder="1" applyAlignment="1" applyProtection="1">
      <alignment horizontal="center" vertical="center"/>
      <protection locked="0"/>
    </xf>
    <xf numFmtId="0" fontId="10" fillId="10" borderId="0" xfId="0" applyFont="1" applyFill="1" applyAlignment="1" applyProtection="1">
      <alignment horizontal="center" vertical="center"/>
      <protection locked="0"/>
    </xf>
    <xf numFmtId="0" fontId="23" fillId="2" borderId="0" xfId="1" applyFont="1" applyFill="1" applyAlignment="1">
      <alignment horizontal="right" vertical="center" indent="1"/>
    </xf>
    <xf numFmtId="0" fontId="19" fillId="0" borderId="0" xfId="1" applyFont="1" applyAlignment="1">
      <alignment horizontal="center"/>
    </xf>
    <xf numFmtId="0" fontId="19" fillId="0" borderId="0" xfId="1" applyFont="1"/>
    <xf numFmtId="0" fontId="12" fillId="0" borderId="26" xfId="0" applyFont="1" applyBorder="1" applyAlignment="1">
      <alignment horizontal="center"/>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12" fillId="0" borderId="0" xfId="0" applyFont="1" applyAlignment="1">
      <alignment horizontal="center"/>
    </xf>
    <xf numFmtId="0" fontId="12" fillId="0" borderId="30" xfId="0" applyFont="1" applyBorder="1" applyAlignment="1">
      <alignment horizontal="center"/>
    </xf>
    <xf numFmtId="0" fontId="12" fillId="0" borderId="31" xfId="0"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0" fontId="25" fillId="2" borderId="0" xfId="1" applyFont="1" applyFill="1" applyAlignment="1" applyProtection="1">
      <alignment horizontal="center" vertical="center"/>
      <protection locked="0"/>
    </xf>
    <xf numFmtId="0" fontId="27" fillId="0" borderId="0" xfId="1" applyFont="1" applyAlignment="1" applyProtection="1">
      <alignment horizontal="center" vertical="center" wrapText="1"/>
      <protection locked="0"/>
    </xf>
    <xf numFmtId="0" fontId="2" fillId="0" borderId="0" xfId="1" applyAlignment="1">
      <alignment horizontal="center" vertical="center"/>
    </xf>
    <xf numFmtId="0" fontId="2" fillId="0" borderId="0" xfId="1" applyAlignment="1" applyProtection="1">
      <alignment horizontal="center" vertical="center"/>
      <protection locked="0"/>
    </xf>
    <xf numFmtId="0" fontId="32" fillId="2" borderId="0" xfId="1" applyFont="1" applyFill="1" applyAlignment="1" applyProtection="1">
      <alignment horizontal="center" vertical="center"/>
      <protection locked="0"/>
    </xf>
    <xf numFmtId="0" fontId="39" fillId="11" borderId="0" xfId="1" applyFont="1" applyFill="1" applyAlignment="1">
      <alignment vertical="center" wrapText="1"/>
    </xf>
    <xf numFmtId="14" fontId="49" fillId="2" borderId="0" xfId="1" applyNumberFormat="1" applyFont="1" applyFill="1" applyAlignment="1">
      <alignment horizontal="right" vertical="center"/>
    </xf>
    <xf numFmtId="0" fontId="23" fillId="2" borderId="0" xfId="1" applyFont="1" applyFill="1" applyAlignment="1">
      <alignment horizontal="center" vertical="center" wrapText="1"/>
    </xf>
    <xf numFmtId="0" fontId="23" fillId="0" borderId="0" xfId="1" applyFont="1" applyAlignment="1">
      <alignment horizontal="center" vertical="center" wrapText="1"/>
    </xf>
    <xf numFmtId="0" fontId="37" fillId="11" borderId="0" xfId="1" applyFont="1" applyFill="1" applyAlignment="1">
      <alignment horizontal="left" vertical="center" readingOrder="1"/>
    </xf>
    <xf numFmtId="0" fontId="22" fillId="11" borderId="0" xfId="1" applyFont="1" applyFill="1" applyAlignment="1">
      <alignment horizontal="left" vertical="center" readingOrder="1"/>
    </xf>
    <xf numFmtId="0" fontId="41" fillId="11" borderId="0" xfId="1" applyFont="1" applyFill="1" applyAlignment="1">
      <alignment horizontal="center" vertical="center" readingOrder="1"/>
    </xf>
    <xf numFmtId="0" fontId="24" fillId="11" borderId="0" xfId="1" applyFont="1" applyFill="1" applyAlignment="1">
      <alignment vertical="center" readingOrder="1"/>
    </xf>
    <xf numFmtId="0" fontId="41" fillId="11" borderId="0" xfId="1" applyFont="1" applyFill="1" applyAlignment="1">
      <alignment vertical="center" readingOrder="1"/>
    </xf>
    <xf numFmtId="0" fontId="41" fillId="11" borderId="17" xfId="1" applyFont="1" applyFill="1" applyBorder="1" applyAlignment="1">
      <alignment vertical="center" readingOrder="1"/>
    </xf>
    <xf numFmtId="0" fontId="43" fillId="11" borderId="0" xfId="1" applyFont="1" applyFill="1" applyAlignment="1">
      <alignment horizontal="right" vertical="center" wrapText="1" readingOrder="1"/>
    </xf>
    <xf numFmtId="0" fontId="51" fillId="11" borderId="0" xfId="1" applyFont="1" applyFill="1" applyAlignment="1">
      <alignment horizontal="left" vertical="center" readingOrder="1"/>
    </xf>
    <xf numFmtId="0" fontId="24" fillId="12" borderId="0" xfId="1" applyFont="1" applyFill="1" applyAlignment="1">
      <alignment horizontal="center" vertical="top"/>
    </xf>
    <xf numFmtId="0" fontId="24" fillId="12" borderId="0" xfId="1" applyFont="1" applyFill="1" applyAlignment="1">
      <alignment horizontal="center" vertical="center"/>
    </xf>
    <xf numFmtId="0" fontId="24" fillId="12" borderId="0" xfId="1" applyFont="1" applyFill="1" applyAlignment="1">
      <alignment horizontal="left" vertical="center" indent="1"/>
    </xf>
    <xf numFmtId="0" fontId="24" fillId="12" borderId="0" xfId="1" applyFont="1" applyFill="1" applyAlignment="1">
      <alignment vertical="center"/>
    </xf>
    <xf numFmtId="0" fontId="24" fillId="12" borderId="0" xfId="1" applyFont="1" applyFill="1" applyAlignment="1">
      <alignment horizontal="left" vertical="center"/>
    </xf>
    <xf numFmtId="0" fontId="24" fillId="12" borderId="17" xfId="1" applyFont="1" applyFill="1" applyBorder="1" applyAlignment="1">
      <alignment horizontal="left" vertical="center"/>
    </xf>
    <xf numFmtId="0" fontId="24" fillId="12" borderId="0" xfId="1" applyFont="1" applyFill="1" applyAlignment="1" applyProtection="1">
      <alignment vertical="center"/>
      <protection locked="0"/>
    </xf>
    <xf numFmtId="0" fontId="24" fillId="12" borderId="0" xfId="1" applyFont="1" applyFill="1" applyAlignment="1">
      <alignment horizontal="center" vertical="center" wrapText="1"/>
    </xf>
    <xf numFmtId="0" fontId="24" fillId="12" borderId="21" xfId="1" applyFont="1" applyFill="1" applyBorder="1" applyAlignment="1">
      <alignment horizontal="center" vertical="center" wrapText="1"/>
    </xf>
    <xf numFmtId="0" fontId="24" fillId="12" borderId="17" xfId="1" applyFont="1" applyFill="1" applyBorder="1" applyAlignment="1">
      <alignment horizontal="center" vertical="center" wrapText="1"/>
    </xf>
    <xf numFmtId="0" fontId="24" fillId="12" borderId="0" xfId="1" applyFont="1" applyFill="1" applyAlignment="1" applyProtection="1">
      <alignment horizontal="center" vertical="center"/>
      <protection locked="0"/>
    </xf>
    <xf numFmtId="0" fontId="10" fillId="0" borderId="0" xfId="1" applyFont="1" applyAlignment="1">
      <alignment horizontal="center"/>
    </xf>
    <xf numFmtId="0" fontId="6" fillId="4" borderId="1" xfId="0" applyFont="1" applyFill="1" applyBorder="1" applyAlignment="1">
      <alignment horizontal="left" textRotation="90"/>
    </xf>
    <xf numFmtId="0" fontId="6" fillId="4" borderId="3" xfId="0" applyFont="1" applyFill="1" applyBorder="1" applyAlignment="1">
      <alignment horizontal="left" textRotation="90"/>
    </xf>
    <xf numFmtId="0" fontId="6" fillId="4" borderId="2" xfId="0" applyFont="1" applyFill="1" applyBorder="1" applyAlignment="1">
      <alignment horizontal="left" textRotation="90"/>
    </xf>
    <xf numFmtId="0" fontId="23" fillId="0" borderId="0" xfId="1" applyFont="1" applyAlignment="1">
      <alignment horizontal="left" vertical="center"/>
    </xf>
    <xf numFmtId="0" fontId="26" fillId="2" borderId="0" xfId="1" applyFont="1" applyFill="1" applyAlignment="1">
      <alignment horizontal="center" vertical="center" wrapText="1"/>
    </xf>
    <xf numFmtId="0" fontId="23" fillId="2" borderId="0" xfId="1" applyFont="1" applyFill="1" applyAlignment="1" applyProtection="1">
      <alignment horizontal="left" vertical="center" wrapText="1"/>
      <protection locked="0"/>
    </xf>
    <xf numFmtId="0" fontId="11" fillId="0" borderId="0" xfId="0" applyFont="1" applyAlignment="1" applyProtection="1">
      <alignment horizontal="center"/>
      <protection locked="0"/>
    </xf>
    <xf numFmtId="0" fontId="47" fillId="0" borderId="0" xfId="0" applyFont="1" applyAlignment="1">
      <alignment horizontal="left"/>
    </xf>
    <xf numFmtId="14" fontId="0" fillId="0" borderId="0" xfId="0" applyNumberFormat="1"/>
    <xf numFmtId="0" fontId="53" fillId="0" borderId="0" xfId="0" applyFont="1" applyAlignment="1" applyProtection="1">
      <alignment horizontal="left"/>
      <protection locked="0"/>
    </xf>
    <xf numFmtId="0" fontId="6" fillId="4" borderId="34" xfId="0" applyFont="1" applyFill="1" applyBorder="1" applyAlignment="1">
      <alignment horizontal="left" textRotation="90"/>
    </xf>
    <xf numFmtId="0" fontId="6" fillId="4" borderId="35" xfId="0" applyFont="1" applyFill="1" applyBorder="1" applyAlignment="1">
      <alignment horizontal="left" textRotation="90"/>
    </xf>
    <xf numFmtId="0" fontId="6" fillId="4" borderId="36" xfId="0" applyFont="1" applyFill="1" applyBorder="1" applyAlignment="1">
      <alignment horizontal="left" textRotation="90"/>
    </xf>
    <xf numFmtId="0" fontId="11" fillId="7" borderId="37" xfId="0" applyFont="1" applyFill="1" applyBorder="1" applyAlignment="1">
      <alignment horizontal="center"/>
    </xf>
    <xf numFmtId="0" fontId="11" fillId="7" borderId="38" xfId="0" applyFont="1" applyFill="1" applyBorder="1" applyAlignment="1">
      <alignment horizontal="center"/>
    </xf>
    <xf numFmtId="0" fontId="10" fillId="10" borderId="0" xfId="0" applyFont="1" applyFill="1" applyAlignment="1">
      <alignment horizontal="center"/>
    </xf>
    <xf numFmtId="0" fontId="11" fillId="8" borderId="0" xfId="0" applyFont="1" applyFill="1" applyAlignment="1">
      <alignment wrapText="1"/>
    </xf>
    <xf numFmtId="0" fontId="7" fillId="8" borderId="0" xfId="0" applyFont="1" applyFill="1" applyAlignment="1">
      <alignment wrapText="1"/>
    </xf>
    <xf numFmtId="0" fontId="9" fillId="8" borderId="0" xfId="0" applyFont="1" applyFill="1" applyAlignment="1">
      <alignment wrapText="1"/>
    </xf>
    <xf numFmtId="0" fontId="8" fillId="8" borderId="0" xfId="0" applyFont="1" applyFill="1" applyAlignment="1">
      <alignment wrapText="1"/>
    </xf>
    <xf numFmtId="0" fontId="8" fillId="0" borderId="0" xfId="0" applyFont="1"/>
    <xf numFmtId="0" fontId="0" fillId="10" borderId="0" xfId="0" applyFill="1" applyAlignment="1">
      <alignment horizontal="right"/>
    </xf>
    <xf numFmtId="14" fontId="0" fillId="10" borderId="0" xfId="0" applyNumberFormat="1" applyFill="1"/>
    <xf numFmtId="0" fontId="0" fillId="0" borderId="40" xfId="0" applyBorder="1"/>
    <xf numFmtId="0" fontId="0" fillId="0" borderId="41" xfId="0" applyBorder="1"/>
    <xf numFmtId="0" fontId="18" fillId="0" borderId="39" xfId="0" applyFont="1" applyBorder="1"/>
    <xf numFmtId="0" fontId="42" fillId="0" borderId="7" xfId="0" applyFont="1" applyBorder="1" applyAlignment="1" applyProtection="1">
      <alignment horizontal="center" vertical="center"/>
      <protection locked="0"/>
    </xf>
    <xf numFmtId="0" fontId="4" fillId="0" borderId="27" xfId="0" applyFont="1" applyBorder="1" applyAlignment="1">
      <alignment horizontal="center"/>
    </xf>
    <xf numFmtId="0" fontId="12" fillId="0" borderId="0" xfId="0" quotePrefix="1" applyFont="1" applyAlignment="1">
      <alignment horizontal="center"/>
    </xf>
    <xf numFmtId="0" fontId="36" fillId="0" borderId="18" xfId="1" applyFont="1" applyBorder="1" applyAlignment="1">
      <alignment horizontal="center" vertical="center"/>
    </xf>
    <xf numFmtId="0" fontId="11" fillId="0" borderId="0" xfId="0" quotePrefix="1" applyFont="1"/>
    <xf numFmtId="0" fontId="24" fillId="12" borderId="21" xfId="1" applyFont="1" applyFill="1" applyBorder="1" applyAlignment="1">
      <alignment horizontal="left" vertical="center"/>
    </xf>
    <xf numFmtId="0" fontId="24" fillId="11" borderId="21" xfId="1" applyFont="1" applyFill="1" applyBorder="1" applyAlignment="1">
      <alignment vertical="center" readingOrder="1"/>
    </xf>
    <xf numFmtId="0" fontId="54" fillId="11" borderId="0" xfId="1" applyFont="1" applyFill="1" applyAlignment="1">
      <alignment horizontal="left" vertical="center" readingOrder="1"/>
    </xf>
    <xf numFmtId="0" fontId="49" fillId="11" borderId="0" xfId="1" applyFont="1" applyFill="1" applyAlignment="1">
      <alignment horizontal="right" vertical="center" wrapText="1" readingOrder="1"/>
    </xf>
    <xf numFmtId="0" fontId="4" fillId="0" borderId="7" xfId="0" quotePrefix="1" applyFont="1" applyBorder="1" applyAlignment="1" applyProtection="1">
      <alignment horizontal="center" vertical="center"/>
      <protection locked="0"/>
    </xf>
    <xf numFmtId="0" fontId="55" fillId="2" borderId="0" xfId="1" applyFont="1" applyFill="1" applyAlignment="1">
      <alignment vertical="center"/>
    </xf>
    <xf numFmtId="0" fontId="4" fillId="0" borderId="5" xfId="0" quotePrefix="1" applyFont="1" applyBorder="1" applyAlignment="1" applyProtection="1">
      <alignment horizontal="center" vertical="center"/>
      <protection locked="0"/>
    </xf>
    <xf numFmtId="0" fontId="4" fillId="0" borderId="29" xfId="0" applyFont="1" applyBorder="1" applyAlignment="1">
      <alignment horizontal="center"/>
    </xf>
    <xf numFmtId="0" fontId="4" fillId="0" borderId="0" xfId="0" quotePrefix="1" applyFont="1" applyAlignment="1">
      <alignment horizontal="center"/>
    </xf>
    <xf numFmtId="0" fontId="4" fillId="0" borderId="30" xfId="0" applyFont="1" applyBorder="1" applyAlignment="1">
      <alignment horizontal="center"/>
    </xf>
    <xf numFmtId="0" fontId="4" fillId="0" borderId="0" xfId="0" applyFont="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6" borderId="7" xfId="0" applyFont="1" applyFill="1" applyBorder="1" applyAlignment="1" applyProtection="1">
      <alignment horizontal="center" vertical="center"/>
      <protection locked="0"/>
    </xf>
    <xf numFmtId="0" fontId="4" fillId="0" borderId="29" xfId="0" quotePrefix="1" applyFont="1" applyBorder="1" applyAlignment="1">
      <alignment horizontal="center"/>
    </xf>
    <xf numFmtId="0" fontId="4" fillId="6" borderId="8" xfId="0" applyFont="1" applyFill="1" applyBorder="1" applyAlignment="1" applyProtection="1">
      <alignment horizontal="center" vertical="center"/>
      <protection locked="0"/>
    </xf>
    <xf numFmtId="0" fontId="10" fillId="10" borderId="29" xfId="0" applyFont="1" applyFill="1" applyBorder="1" applyAlignment="1">
      <alignment horizontal="center"/>
    </xf>
    <xf numFmtId="0" fontId="12" fillId="0" borderId="30" xfId="0" quotePrefix="1" applyFont="1" applyBorder="1" applyAlignment="1">
      <alignment horizontal="center"/>
    </xf>
    <xf numFmtId="0" fontId="10" fillId="10" borderId="30" xfId="0" applyFont="1" applyFill="1" applyBorder="1" applyAlignment="1">
      <alignment horizontal="center"/>
    </xf>
    <xf numFmtId="0" fontId="44" fillId="13" borderId="0" xfId="1" applyFont="1" applyFill="1" applyAlignment="1">
      <alignment vertical="center"/>
    </xf>
    <xf numFmtId="0" fontId="43" fillId="13" borderId="0" xfId="1" applyFont="1" applyFill="1" applyAlignment="1">
      <alignment horizontal="right" vertical="center" wrapText="1" readingOrder="1"/>
    </xf>
    <xf numFmtId="0" fontId="56" fillId="13" borderId="21" xfId="1" applyFont="1" applyFill="1" applyBorder="1" applyAlignment="1">
      <alignment vertical="center" readingOrder="1"/>
    </xf>
    <xf numFmtId="0" fontId="56" fillId="13" borderId="0" xfId="1" applyFont="1" applyFill="1" applyAlignment="1">
      <alignment vertical="center" readingOrder="1"/>
    </xf>
    <xf numFmtId="0" fontId="55" fillId="13" borderId="0" xfId="1" applyFont="1" applyFill="1" applyAlignment="1">
      <alignment vertical="center" readingOrder="1"/>
    </xf>
    <xf numFmtId="0" fontId="55" fillId="13" borderId="17" xfId="1" applyFont="1" applyFill="1" applyBorder="1" applyAlignment="1">
      <alignment vertical="center" readingOrder="1"/>
    </xf>
    <xf numFmtId="0" fontId="31" fillId="13" borderId="0" xfId="1" applyFont="1" applyFill="1" applyAlignment="1">
      <alignment horizontal="left" vertical="center" readingOrder="1"/>
    </xf>
    <xf numFmtId="0" fontId="44" fillId="13" borderId="0" xfId="1" applyFont="1" applyFill="1" applyAlignment="1">
      <alignment horizontal="left" vertical="center" readingOrder="1"/>
    </xf>
    <xf numFmtId="0" fontId="36" fillId="13" borderId="0" xfId="1" applyFont="1" applyFill="1" applyAlignment="1">
      <alignment horizontal="left" vertical="center" readingOrder="1"/>
    </xf>
    <xf numFmtId="0" fontId="55" fillId="13" borderId="0" xfId="1" applyFont="1" applyFill="1" applyAlignment="1">
      <alignment horizontal="center" vertical="center" readingOrder="1"/>
    </xf>
    <xf numFmtId="0" fontId="23" fillId="0" borderId="0" xfId="1" applyFont="1" applyAlignment="1">
      <alignment horizontal="center" vertical="center"/>
    </xf>
    <xf numFmtId="0" fontId="23" fillId="0" borderId="0" xfId="1" applyFont="1" applyAlignment="1">
      <alignment vertical="center"/>
    </xf>
    <xf numFmtId="0" fontId="23" fillId="14" borderId="13" xfId="1" applyFont="1" applyFill="1" applyBorder="1" applyAlignment="1">
      <alignment horizontal="center" vertical="center" wrapText="1"/>
    </xf>
    <xf numFmtId="0" fontId="23" fillId="14" borderId="0" xfId="1" applyFont="1" applyFill="1" applyAlignment="1">
      <alignment horizontal="center" vertical="center" wrapText="1"/>
    </xf>
    <xf numFmtId="0" fontId="23" fillId="14" borderId="0" xfId="1" applyFont="1" applyFill="1" applyAlignment="1">
      <alignment vertical="center" wrapText="1"/>
    </xf>
    <xf numFmtId="0" fontId="23" fillId="14" borderId="21" xfId="1" applyFont="1" applyFill="1" applyBorder="1" applyAlignment="1">
      <alignment horizontal="center" vertical="center" wrapText="1"/>
    </xf>
    <xf numFmtId="0" fontId="23" fillId="14" borderId="17" xfId="1" applyFont="1" applyFill="1" applyBorder="1" applyAlignment="1">
      <alignment horizontal="center" vertical="center" wrapText="1"/>
    </xf>
    <xf numFmtId="0" fontId="23" fillId="14" borderId="17" xfId="1" applyFont="1" applyFill="1" applyBorder="1" applyAlignment="1" applyProtection="1">
      <alignment horizontal="center" vertical="center" wrapText="1"/>
      <protection locked="0"/>
    </xf>
    <xf numFmtId="14" fontId="11" fillId="0" borderId="0" xfId="0" applyNumberFormat="1" applyFont="1" applyAlignment="1" applyProtection="1">
      <alignment horizontal="center"/>
      <protection locked="0"/>
    </xf>
    <xf numFmtId="0" fontId="47" fillId="15" borderId="0" xfId="0" applyFont="1" applyFill="1" applyAlignment="1">
      <alignment horizontal="left"/>
    </xf>
    <xf numFmtId="0" fontId="57" fillId="0" borderId="0" xfId="0" applyFont="1"/>
    <xf numFmtId="14" fontId="7" fillId="15" borderId="0" xfId="0" applyNumberFormat="1" applyFont="1" applyFill="1" applyAlignment="1" applyProtection="1">
      <alignment horizontal="center"/>
      <protection locked="0"/>
    </xf>
    <xf numFmtId="0" fontId="58" fillId="0" borderId="0" xfId="0" applyFont="1" applyAlignment="1" applyProtection="1">
      <alignment horizontal="center"/>
      <protection locked="0"/>
    </xf>
    <xf numFmtId="14" fontId="58" fillId="0" borderId="0" xfId="0" applyNumberFormat="1" applyFont="1" applyAlignment="1" applyProtection="1">
      <alignment horizontal="center"/>
      <protection locked="0"/>
    </xf>
    <xf numFmtId="0" fontId="9" fillId="15" borderId="0" xfId="0" applyFont="1" applyFill="1" applyAlignment="1" applyProtection="1">
      <alignment horizontal="center"/>
      <protection locked="0"/>
    </xf>
    <xf numFmtId="0" fontId="9" fillId="0" borderId="0" xfId="0" applyFont="1" applyAlignment="1" applyProtection="1">
      <alignment horizontal="left"/>
      <protection locked="0"/>
    </xf>
    <xf numFmtId="14" fontId="9" fillId="15" borderId="0" xfId="0" applyNumberFormat="1" applyFont="1" applyFill="1" applyAlignment="1" applyProtection="1">
      <alignment horizontal="center"/>
      <protection locked="0"/>
    </xf>
    <xf numFmtId="0" fontId="7" fillId="15" borderId="0" xfId="0" applyFont="1" applyFill="1" applyAlignment="1" applyProtection="1">
      <alignment horizontal="center"/>
      <protection locked="0"/>
    </xf>
    <xf numFmtId="0" fontId="11" fillId="15" borderId="0" xfId="0" applyFont="1" applyFill="1"/>
    <xf numFmtId="0" fontId="57" fillId="0" borderId="0" xfId="0" applyFont="1" applyAlignment="1">
      <alignment horizontal="right"/>
    </xf>
    <xf numFmtId="14" fontId="47" fillId="15" borderId="0" xfId="0" applyNumberFormat="1" applyFont="1" applyFill="1"/>
    <xf numFmtId="0" fontId="47" fillId="15" borderId="0" xfId="0" applyFont="1" applyFill="1" applyAlignment="1">
      <alignment horizontal="center"/>
    </xf>
    <xf numFmtId="0" fontId="59" fillId="0" borderId="0" xfId="0" applyFont="1" applyAlignment="1">
      <alignment horizontal="left"/>
    </xf>
    <xf numFmtId="0" fontId="11" fillId="10" borderId="0" xfId="0" applyFont="1" applyFill="1" applyAlignment="1">
      <alignment wrapText="1"/>
    </xf>
    <xf numFmtId="0" fontId="60" fillId="12" borderId="0" xfId="1" applyFont="1" applyFill="1" applyAlignment="1">
      <alignment horizontal="left" vertical="center"/>
    </xf>
    <xf numFmtId="0" fontId="12" fillId="10" borderId="0" xfId="0" applyFont="1" applyFill="1" applyAlignment="1">
      <alignment horizontal="center"/>
    </xf>
    <xf numFmtId="0" fontId="20" fillId="14" borderId="15" xfId="1" applyFont="1" applyFill="1" applyBorder="1" applyAlignment="1">
      <alignment vertical="center"/>
    </xf>
    <xf numFmtId="0" fontId="20" fillId="14" borderId="16" xfId="1" applyFont="1" applyFill="1" applyBorder="1" applyAlignment="1">
      <alignment vertical="center"/>
    </xf>
    <xf numFmtId="0" fontId="20" fillId="14" borderId="16" xfId="1" applyFont="1" applyFill="1" applyBorder="1" applyAlignment="1">
      <alignment horizontal="right" vertical="center"/>
    </xf>
    <xf numFmtId="0" fontId="50" fillId="14" borderId="16" xfId="1" applyFont="1" applyFill="1" applyBorder="1" applyAlignment="1">
      <alignment horizontal="center" vertical="center"/>
    </xf>
    <xf numFmtId="0" fontId="43" fillId="14" borderId="16" xfId="1" applyFont="1" applyFill="1" applyBorder="1" applyAlignment="1">
      <alignment vertical="center"/>
    </xf>
    <xf numFmtId="0" fontId="11" fillId="15" borderId="0" xfId="0" applyFont="1" applyFill="1" applyAlignment="1" applyProtection="1">
      <alignment horizontal="center"/>
      <protection locked="0"/>
    </xf>
    <xf numFmtId="14" fontId="11" fillId="15" borderId="0" xfId="0" applyNumberFormat="1" applyFont="1" applyFill="1" applyAlignment="1" applyProtection="1">
      <alignment horizontal="center"/>
      <protection locked="0"/>
    </xf>
    <xf numFmtId="0" fontId="11" fillId="15" borderId="0" xfId="0" applyFont="1" applyFill="1" applyAlignment="1" applyProtection="1">
      <alignment horizontal="left"/>
      <protection locked="0"/>
    </xf>
    <xf numFmtId="14" fontId="59" fillId="0" borderId="0" xfId="0" applyNumberFormat="1" applyFont="1"/>
    <xf numFmtId="0" fontId="59" fillId="0" borderId="0" xfId="0" applyFont="1" applyAlignment="1">
      <alignment horizontal="center"/>
    </xf>
    <xf numFmtId="0" fontId="50" fillId="14" borderId="16" xfId="1" applyFont="1" applyFill="1" applyBorder="1" applyAlignment="1">
      <alignment horizontal="right" vertical="center"/>
    </xf>
    <xf numFmtId="0" fontId="58" fillId="15" borderId="0" xfId="0" applyFont="1" applyFill="1" applyAlignment="1" applyProtection="1">
      <alignment horizontal="center"/>
      <protection locked="0"/>
    </xf>
    <xf numFmtId="0" fontId="9" fillId="0" borderId="0" xfId="0" applyFont="1" applyAlignment="1" applyProtection="1">
      <alignment horizontal="center"/>
      <protection locked="0"/>
    </xf>
    <xf numFmtId="0" fontId="9" fillId="15" borderId="0" xfId="0" applyFont="1" applyFill="1" applyAlignment="1" applyProtection="1">
      <alignment horizontal="left"/>
      <protection locked="0"/>
    </xf>
    <xf numFmtId="14" fontId="52" fillId="15" borderId="0" xfId="0" applyNumberFormat="1" applyFont="1" applyFill="1"/>
    <xf numFmtId="0" fontId="52" fillId="15" borderId="0" xfId="0" applyFont="1" applyFill="1" applyAlignment="1">
      <alignment horizontal="left"/>
    </xf>
    <xf numFmtId="0" fontId="61" fillId="0" borderId="0" xfId="0" applyFont="1"/>
    <xf numFmtId="0" fontId="10" fillId="10" borderId="5" xfId="0" applyFont="1" applyFill="1" applyBorder="1" applyAlignment="1" applyProtection="1">
      <alignment horizontal="center" vertical="center"/>
      <protection locked="0"/>
    </xf>
    <xf numFmtId="0" fontId="62" fillId="10" borderId="0" xfId="0" applyFont="1" applyFill="1" applyAlignment="1">
      <alignment horizontal="center" vertical="center"/>
    </xf>
    <xf numFmtId="0" fontId="24" fillId="12" borderId="0" xfId="1" applyFont="1" applyFill="1" applyAlignment="1">
      <alignment horizontal="center" vertical="center" shrinkToFit="1"/>
    </xf>
    <xf numFmtId="0" fontId="36" fillId="0" borderId="19" xfId="1" applyFont="1" applyBorder="1" applyAlignment="1">
      <alignment horizontal="center" vertical="center" shrinkToFit="1"/>
    </xf>
    <xf numFmtId="0" fontId="23" fillId="2" borderId="18" xfId="1" applyFont="1" applyFill="1" applyBorder="1" applyAlignment="1">
      <alignment horizontal="center" vertical="center"/>
    </xf>
    <xf numFmtId="0" fontId="23" fillId="5" borderId="13" xfId="1" applyFont="1" applyFill="1" applyBorder="1" applyAlignment="1">
      <alignment horizontal="center" vertical="center"/>
    </xf>
    <xf numFmtId="0" fontId="10" fillId="10" borderId="0" xfId="0" applyFont="1" applyFill="1" applyAlignment="1">
      <alignment horizontal="left"/>
    </xf>
    <xf numFmtId="0" fontId="45" fillId="10" borderId="0" xfId="0" applyFont="1" applyFill="1"/>
    <xf numFmtId="0" fontId="8" fillId="10" borderId="0" xfId="0" applyFont="1" applyFill="1" applyAlignment="1" applyProtection="1">
      <alignment horizontal="left"/>
      <protection locked="0"/>
    </xf>
    <xf numFmtId="0" fontId="26" fillId="2" borderId="19" xfId="1" applyFont="1" applyFill="1" applyBorder="1" applyAlignment="1">
      <alignment horizontal="center" vertical="center" shrinkToFit="1"/>
    </xf>
    <xf numFmtId="0" fontId="26" fillId="14" borderId="0" xfId="1" applyFont="1" applyFill="1" applyAlignment="1">
      <alignment horizontal="left" vertical="center" shrinkToFit="1"/>
    </xf>
    <xf numFmtId="0" fontId="26" fillId="2" borderId="0" xfId="1" applyFont="1" applyFill="1" applyAlignment="1">
      <alignment horizontal="center" vertical="center" shrinkToFit="1"/>
    </xf>
    <xf numFmtId="0" fontId="41" fillId="11" borderId="0" xfId="1" applyFont="1" applyFill="1" applyAlignment="1">
      <alignment horizontal="center" vertical="center" shrinkToFit="1"/>
    </xf>
    <xf numFmtId="0" fontId="26" fillId="5" borderId="0" xfId="1" applyFont="1" applyFill="1" applyAlignment="1">
      <alignment horizontal="left" vertical="center" shrinkToFit="1"/>
    </xf>
    <xf numFmtId="0" fontId="63" fillId="2" borderId="0" xfId="1" applyFont="1" applyFill="1" applyAlignment="1">
      <alignment vertical="center"/>
    </xf>
    <xf numFmtId="0" fontId="11" fillId="0" borderId="0" xfId="0" applyFont="1" applyAlignment="1">
      <alignment horizontal="left" vertical="center" wrapText="1"/>
    </xf>
    <xf numFmtId="0" fontId="8" fillId="0" borderId="0" xfId="0" applyFont="1" applyAlignment="1">
      <alignment horizontal="left" vertical="center" wrapText="1"/>
    </xf>
    <xf numFmtId="0" fontId="8" fillId="10" borderId="0" xfId="0" applyFont="1" applyFill="1" applyAlignment="1">
      <alignment horizontal="left" vertical="center" wrapText="1"/>
    </xf>
    <xf numFmtId="0" fontId="9" fillId="0" borderId="0" xfId="0" applyFont="1" applyAlignment="1">
      <alignment horizontal="left" vertical="center" wrapText="1"/>
    </xf>
    <xf numFmtId="0" fontId="25" fillId="0" borderId="19" xfId="1" applyFont="1" applyBorder="1" applyAlignment="1">
      <alignment horizontal="center" vertical="center" shrinkToFit="1"/>
    </xf>
    <xf numFmtId="0" fontId="56" fillId="13" borderId="0" xfId="1" applyFont="1" applyFill="1" applyAlignment="1">
      <alignment horizontal="center" vertical="center" shrinkToFit="1"/>
    </xf>
    <xf numFmtId="0" fontId="24" fillId="11" borderId="0" xfId="1" applyFont="1" applyFill="1" applyAlignment="1">
      <alignment horizontal="center" vertical="center" shrinkToFit="1"/>
    </xf>
    <xf numFmtId="14" fontId="9" fillId="0" borderId="0" xfId="0" applyNumberFormat="1" applyFont="1" applyAlignment="1" applyProtection="1">
      <alignment horizontal="center"/>
      <protection locked="0"/>
    </xf>
    <xf numFmtId="0" fontId="11" fillId="7" borderId="42" xfId="0" applyFont="1" applyFill="1" applyBorder="1" applyAlignment="1">
      <alignment horizontal="center"/>
    </xf>
    <xf numFmtId="0" fontId="4" fillId="0" borderId="26" xfId="0" applyFont="1" applyBorder="1" applyAlignment="1">
      <alignment horizontal="center"/>
    </xf>
    <xf numFmtId="0" fontId="4" fillId="0" borderId="28" xfId="0" applyFont="1" applyBorder="1" applyAlignment="1">
      <alignment horizontal="center"/>
    </xf>
    <xf numFmtId="0" fontId="4" fillId="0" borderId="30" xfId="0" quotePrefix="1" applyFont="1" applyBorder="1" applyAlignment="1">
      <alignment horizontal="center"/>
    </xf>
    <xf numFmtId="0" fontId="64" fillId="0" borderId="0" xfId="0" applyFont="1" applyAlignment="1">
      <alignment horizontal="center"/>
    </xf>
    <xf numFmtId="0" fontId="64" fillId="0" borderId="0" xfId="0" applyFont="1"/>
    <xf numFmtId="0" fontId="64" fillId="8" borderId="0" xfId="0" applyFont="1" applyFill="1" applyAlignment="1">
      <alignment wrapText="1"/>
    </xf>
    <xf numFmtId="0" fontId="64" fillId="7" borderId="6" xfId="0" applyNumberFormat="1" applyFont="1" applyFill="1" applyBorder="1" applyAlignment="1">
      <alignment horizontal="center"/>
    </xf>
    <xf numFmtId="0" fontId="64" fillId="7" borderId="0" xfId="0" applyFont="1" applyFill="1" applyAlignment="1">
      <alignment horizontal="center"/>
    </xf>
    <xf numFmtId="0" fontId="65" fillId="7" borderId="0" xfId="0" applyNumberFormat="1" applyFont="1" applyFill="1" applyAlignment="1">
      <alignment horizontal="center"/>
    </xf>
    <xf numFmtId="0" fontId="64" fillId="7" borderId="7" xfId="0" applyNumberFormat="1" applyFont="1" applyFill="1" applyBorder="1" applyAlignment="1">
      <alignment horizontal="center"/>
    </xf>
    <xf numFmtId="0" fontId="64" fillId="0" borderId="0" xfId="0" applyFont="1" applyAlignment="1">
      <alignment horizontal="left" vertical="center" wrapText="1"/>
    </xf>
    <xf numFmtId="0" fontId="64" fillId="7" borderId="37" xfId="0" applyNumberFormat="1" applyFont="1" applyFill="1" applyBorder="1" applyAlignment="1">
      <alignment horizontal="center"/>
    </xf>
    <xf numFmtId="0" fontId="64" fillId="7" borderId="25" xfId="0" applyNumberFormat="1" applyFont="1" applyFill="1" applyBorder="1" applyAlignment="1">
      <alignment horizontal="center"/>
    </xf>
    <xf numFmtId="0" fontId="64" fillId="7" borderId="42" xfId="0" applyNumberFormat="1" applyFont="1" applyFill="1" applyBorder="1" applyAlignment="1">
      <alignment horizontal="center"/>
    </xf>
    <xf numFmtId="0" fontId="64" fillId="7" borderId="38" xfId="0" applyNumberFormat="1" applyFont="1" applyFill="1" applyBorder="1" applyAlignment="1">
      <alignment horizontal="center"/>
    </xf>
    <xf numFmtId="0" fontId="11" fillId="7" borderId="3" xfId="0" applyFont="1" applyFill="1" applyBorder="1" applyAlignment="1">
      <alignment horizontal="center"/>
    </xf>
    <xf numFmtId="0" fontId="11" fillId="7" borderId="43" xfId="0" applyFont="1" applyFill="1" applyBorder="1" applyAlignment="1">
      <alignment horizontal="center"/>
    </xf>
    <xf numFmtId="0" fontId="11" fillId="7" borderId="44" xfId="0" applyFont="1" applyFill="1" applyBorder="1" applyAlignment="1">
      <alignment horizontal="center"/>
    </xf>
    <xf numFmtId="0" fontId="0" fillId="0" borderId="0" xfId="0" applyAlignment="1">
      <alignment horizontal="center" textRotation="90"/>
    </xf>
    <xf numFmtId="14" fontId="37" fillId="2" borderId="0" xfId="1" applyNumberFormat="1" applyFont="1" applyFill="1" applyAlignment="1">
      <alignment horizontal="right" vertical="center"/>
    </xf>
    <xf numFmtId="0" fontId="66" fillId="11" borderId="0" xfId="1" applyFont="1" applyFill="1" applyAlignment="1">
      <alignment horizontal="right" vertical="center" wrapText="1" readingOrder="1"/>
    </xf>
    <xf numFmtId="0" fontId="39" fillId="11" borderId="14" xfId="1" applyFont="1" applyFill="1" applyBorder="1" applyAlignment="1">
      <alignment horizontal="left" vertical="center" wrapText="1"/>
    </xf>
    <xf numFmtId="0" fontId="28" fillId="2" borderId="0" xfId="1" applyFont="1" applyFill="1" applyAlignment="1">
      <alignment horizontal="left" vertical="center" wrapText="1"/>
    </xf>
    <xf numFmtId="0" fontId="19" fillId="0" borderId="11" xfId="1" applyFont="1" applyBorder="1" applyAlignment="1" applyProtection="1">
      <alignment horizontal="center"/>
    </xf>
    <xf numFmtId="0" fontId="19" fillId="0" borderId="12" xfId="1" applyFont="1" applyBorder="1" applyAlignment="1" applyProtection="1">
      <alignment horizontal="center"/>
    </xf>
    <xf numFmtId="0" fontId="19" fillId="0" borderId="12" xfId="1" applyFont="1" applyBorder="1" applyProtection="1"/>
    <xf numFmtId="0" fontId="19" fillId="0" borderId="13" xfId="1" applyFont="1" applyBorder="1" applyProtection="1"/>
    <xf numFmtId="0" fontId="2" fillId="0" borderId="0" xfId="1" applyAlignment="1" applyProtection="1">
      <alignment horizontal="center" vertical="center"/>
    </xf>
    <xf numFmtId="0" fontId="2" fillId="0" borderId="0" xfId="1" applyProtection="1"/>
    <xf numFmtId="0" fontId="19" fillId="0" borderId="0" xfId="1" applyFont="1" applyAlignment="1" applyProtection="1">
      <alignment horizontal="center"/>
    </xf>
    <xf numFmtId="0" fontId="10" fillId="0" borderId="0" xfId="1" applyFont="1" applyAlignment="1" applyProtection="1">
      <alignment horizontal="center"/>
    </xf>
    <xf numFmtId="0" fontId="19" fillId="0" borderId="0" xfId="1" applyFont="1" applyProtection="1"/>
    <xf numFmtId="0" fontId="39" fillId="11" borderId="14" xfId="1" applyFont="1" applyFill="1" applyBorder="1" applyAlignment="1" applyProtection="1">
      <alignment horizontal="left" vertical="center" wrapText="1"/>
    </xf>
    <xf numFmtId="0" fontId="39" fillId="11" borderId="0" xfId="1" applyFont="1" applyFill="1" applyAlignment="1" applyProtection="1">
      <alignment vertical="center" wrapText="1"/>
    </xf>
    <xf numFmtId="0" fontId="20" fillId="14" borderId="15" xfId="1" applyFont="1" applyFill="1" applyBorder="1" applyAlignment="1" applyProtection="1">
      <alignment vertical="center"/>
    </xf>
    <xf numFmtId="0" fontId="20" fillId="14" borderId="16" xfId="1" applyFont="1" applyFill="1" applyBorder="1" applyAlignment="1" applyProtection="1">
      <alignment vertical="center"/>
    </xf>
    <xf numFmtId="0" fontId="20" fillId="14" borderId="16" xfId="1" applyFont="1" applyFill="1" applyBorder="1" applyAlignment="1" applyProtection="1">
      <alignment horizontal="right" vertical="center"/>
    </xf>
    <xf numFmtId="0" fontId="50" fillId="14" borderId="16" xfId="1" applyFont="1" applyFill="1" applyBorder="1" applyAlignment="1" applyProtection="1">
      <alignment horizontal="center" vertical="center"/>
    </xf>
    <xf numFmtId="0" fontId="43" fillId="14" borderId="16" xfId="1" applyFont="1" applyFill="1" applyBorder="1" applyAlignment="1" applyProtection="1">
      <alignment vertical="center"/>
    </xf>
    <xf numFmtId="0" fontId="2" fillId="0" borderId="0" xfId="1" applyAlignment="1" applyProtection="1">
      <alignment horizontal="center"/>
    </xf>
    <xf numFmtId="0" fontId="21" fillId="2" borderId="0" xfId="1" applyFont="1" applyFill="1" applyAlignment="1" applyProtection="1">
      <alignment horizontal="right" vertical="center" indent="1"/>
    </xf>
    <xf numFmtId="0" fontId="23" fillId="2" borderId="0" xfId="1" applyFont="1" applyFill="1" applyAlignment="1" applyProtection="1">
      <alignment horizontal="right" vertical="center" indent="1"/>
    </xf>
    <xf numFmtId="0" fontId="55" fillId="2" borderId="0" xfId="1" applyFont="1" applyFill="1" applyAlignment="1" applyProtection="1">
      <alignment vertical="center"/>
    </xf>
    <xf numFmtId="0" fontId="21" fillId="2" borderId="0" xfId="1" applyFont="1" applyFill="1" applyAlignment="1" applyProtection="1">
      <alignment vertical="center"/>
    </xf>
    <xf numFmtId="14" fontId="37" fillId="2" borderId="0" xfId="1" applyNumberFormat="1" applyFont="1" applyFill="1" applyAlignment="1" applyProtection="1">
      <alignment horizontal="right" vertical="center"/>
    </xf>
    <xf numFmtId="0" fontId="21" fillId="2" borderId="0" xfId="1" applyFont="1" applyFill="1" applyAlignment="1" applyProtection="1">
      <alignment horizontal="left" vertical="center"/>
    </xf>
    <xf numFmtId="0" fontId="21" fillId="2" borderId="0" xfId="1" applyFont="1" applyFill="1" applyAlignment="1" applyProtection="1">
      <alignment horizontal="left" vertical="center" indent="1"/>
    </xf>
    <xf numFmtId="0" fontId="23" fillId="2" borderId="0" xfId="1" applyFont="1" applyFill="1" applyAlignment="1" applyProtection="1">
      <alignment horizontal="left" vertical="center" wrapText="1"/>
    </xf>
    <xf numFmtId="0" fontId="23" fillId="0" borderId="0" xfId="1" applyFont="1" applyAlignment="1" applyProtection="1">
      <alignment vertical="top" wrapText="1"/>
    </xf>
    <xf numFmtId="0" fontId="24" fillId="12" borderId="0" xfId="1" applyFont="1" applyFill="1" applyAlignment="1" applyProtection="1">
      <alignment horizontal="center" vertical="center"/>
    </xf>
    <xf numFmtId="0" fontId="24" fillId="12" borderId="0" xfId="1" applyFont="1" applyFill="1" applyAlignment="1" applyProtection="1">
      <alignment horizontal="left" vertical="center" indent="1"/>
    </xf>
    <xf numFmtId="0" fontId="24" fillId="12" borderId="0" xfId="1" applyFont="1" applyFill="1" applyAlignment="1" applyProtection="1">
      <alignment vertical="center"/>
    </xf>
    <xf numFmtId="0" fontId="24" fillId="12" borderId="21" xfId="1" applyFont="1" applyFill="1" applyBorder="1" applyAlignment="1" applyProtection="1">
      <alignment horizontal="left" vertical="center"/>
    </xf>
    <xf numFmtId="0" fontId="24" fillId="12" borderId="0" xfId="1" applyFont="1" applyFill="1" applyAlignment="1" applyProtection="1">
      <alignment horizontal="left" vertical="center"/>
    </xf>
    <xf numFmtId="0" fontId="24" fillId="12" borderId="17" xfId="1" applyFont="1" applyFill="1" applyBorder="1" applyAlignment="1" applyProtection="1">
      <alignment horizontal="left" vertical="center"/>
    </xf>
    <xf numFmtId="0" fontId="25" fillId="2" borderId="0" xfId="1" applyFont="1" applyFill="1" applyAlignment="1" applyProtection="1">
      <alignment horizontal="center" vertical="center"/>
    </xf>
    <xf numFmtId="0" fontId="25" fillId="2" borderId="0" xfId="1" applyFont="1" applyFill="1" applyAlignment="1" applyProtection="1">
      <alignment vertical="center"/>
    </xf>
    <xf numFmtId="0" fontId="26" fillId="2" borderId="0" xfId="1" applyFont="1" applyFill="1" applyAlignment="1" applyProtection="1">
      <alignment vertical="center"/>
    </xf>
    <xf numFmtId="0" fontId="24" fillId="12" borderId="0" xfId="1" applyFont="1" applyFill="1" applyAlignment="1" applyProtection="1">
      <alignment horizontal="center" vertical="center" wrapText="1"/>
    </xf>
    <xf numFmtId="0" fontId="24" fillId="12" borderId="0" xfId="1" applyFont="1" applyFill="1" applyAlignment="1" applyProtection="1">
      <alignment horizontal="center" vertical="center" shrinkToFit="1"/>
    </xf>
    <xf numFmtId="0" fontId="24" fillId="12" borderId="21" xfId="1" applyFont="1" applyFill="1" applyBorder="1" applyAlignment="1" applyProtection="1">
      <alignment horizontal="center" vertical="center" wrapText="1"/>
    </xf>
    <xf numFmtId="0" fontId="24" fillId="12" borderId="17" xfId="1" applyFont="1" applyFill="1" applyBorder="1" applyAlignment="1" applyProtection="1">
      <alignment horizontal="center" vertical="center" wrapText="1"/>
    </xf>
    <xf numFmtId="0" fontId="23" fillId="2" borderId="18" xfId="1" applyFont="1" applyFill="1" applyBorder="1" applyAlignment="1" applyProtection="1">
      <alignment horizontal="center" vertical="center" wrapText="1"/>
    </xf>
    <xf numFmtId="0" fontId="23" fillId="2" borderId="19" xfId="1" applyFont="1" applyFill="1" applyBorder="1" applyAlignment="1" applyProtection="1">
      <alignment horizontal="center" vertical="center" wrapText="1"/>
    </xf>
    <xf numFmtId="0" fontId="23" fillId="2" borderId="19" xfId="1" applyFont="1" applyFill="1" applyBorder="1" applyAlignment="1" applyProtection="1">
      <alignment vertical="center" wrapText="1"/>
    </xf>
    <xf numFmtId="0" fontId="26" fillId="2" borderId="19" xfId="1" applyFont="1" applyFill="1" applyBorder="1" applyAlignment="1" applyProtection="1">
      <alignment horizontal="center" vertical="center" shrinkToFit="1"/>
    </xf>
    <xf numFmtId="0" fontId="23" fillId="2" borderId="22" xfId="1" applyFont="1" applyFill="1" applyBorder="1" applyAlignment="1" applyProtection="1">
      <alignment horizontal="center" vertical="center" wrapText="1"/>
    </xf>
    <xf numFmtId="0" fontId="23" fillId="2" borderId="23" xfId="1" applyFont="1" applyFill="1" applyBorder="1" applyAlignment="1" applyProtection="1">
      <alignment horizontal="center" vertical="center" wrapText="1"/>
    </xf>
    <xf numFmtId="0" fontId="27" fillId="0" borderId="0" xfId="1" applyFont="1" applyAlignment="1" applyProtection="1">
      <alignment horizontal="center" vertical="center" wrapText="1"/>
    </xf>
    <xf numFmtId="0" fontId="25" fillId="2" borderId="0" xfId="1" applyFont="1" applyFill="1" applyAlignment="1" applyProtection="1">
      <alignment wrapText="1"/>
    </xf>
    <xf numFmtId="0" fontId="26" fillId="2" borderId="0" xfId="1" applyFont="1" applyFill="1" applyAlignment="1" applyProtection="1">
      <alignment wrapText="1"/>
    </xf>
    <xf numFmtId="0" fontId="23" fillId="5" borderId="13" xfId="1" applyFont="1" applyFill="1" applyBorder="1" applyAlignment="1" applyProtection="1">
      <alignment horizontal="center" vertical="center" wrapText="1"/>
    </xf>
    <xf numFmtId="0" fontId="23" fillId="5" borderId="0" xfId="1" applyFont="1" applyFill="1" applyAlignment="1" applyProtection="1">
      <alignment horizontal="center" vertical="center" wrapText="1"/>
    </xf>
    <xf numFmtId="0" fontId="23" fillId="5" borderId="0" xfId="1" applyFont="1" applyFill="1" applyAlignment="1" applyProtection="1">
      <alignment vertical="center" wrapText="1"/>
    </xf>
    <xf numFmtId="0" fontId="26" fillId="5" borderId="0" xfId="1" applyFont="1" applyFill="1" applyAlignment="1" applyProtection="1">
      <alignment horizontal="left" vertical="center" shrinkToFit="1"/>
    </xf>
    <xf numFmtId="0" fontId="23" fillId="5" borderId="21" xfId="1" applyFont="1" applyFill="1" applyBorder="1" applyAlignment="1" applyProtection="1">
      <alignment horizontal="center" vertical="center" wrapText="1"/>
    </xf>
    <xf numFmtId="0" fontId="23" fillId="5" borderId="17" xfId="1" applyFont="1" applyFill="1" applyBorder="1" applyAlignment="1" applyProtection="1">
      <alignment horizontal="center" vertical="center" wrapText="1"/>
    </xf>
    <xf numFmtId="0" fontId="23" fillId="0" borderId="19" xfId="1" applyFont="1" applyBorder="1" applyAlignment="1" applyProtection="1">
      <alignment horizontal="center" vertical="center" wrapText="1"/>
    </xf>
    <xf numFmtId="0" fontId="23" fillId="0" borderId="22" xfId="1" applyFont="1" applyBorder="1" applyAlignment="1" applyProtection="1">
      <alignment horizontal="center" vertical="center" wrapText="1"/>
    </xf>
    <xf numFmtId="0" fontId="23" fillId="0" borderId="23" xfId="1" applyFont="1" applyBorder="1" applyAlignment="1" applyProtection="1">
      <alignment horizontal="center" vertical="center" wrapText="1"/>
    </xf>
    <xf numFmtId="0" fontId="25" fillId="2" borderId="0" xfId="1" applyFont="1" applyFill="1" applyProtection="1"/>
    <xf numFmtId="0" fontId="26" fillId="2" borderId="0" xfId="1" applyFont="1" applyFill="1" applyProtection="1"/>
    <xf numFmtId="0" fontId="23" fillId="0" borderId="19" xfId="1" applyFont="1" applyBorder="1" applyAlignment="1" applyProtection="1">
      <alignment horizontal="left" vertical="center"/>
    </xf>
    <xf numFmtId="0" fontId="23" fillId="0" borderId="19" xfId="1" applyFont="1" applyBorder="1" applyAlignment="1" applyProtection="1">
      <alignment vertical="center" wrapText="1"/>
    </xf>
    <xf numFmtId="0" fontId="23" fillId="2" borderId="0" xfId="1" applyFont="1" applyFill="1" applyAlignment="1" applyProtection="1">
      <alignment horizontal="center" vertical="center" wrapText="1"/>
    </xf>
    <xf numFmtId="0" fontId="23" fillId="0" borderId="0" xfId="1" applyFont="1" applyAlignment="1" applyProtection="1">
      <alignment horizontal="center" vertical="center" wrapText="1"/>
    </xf>
    <xf numFmtId="0" fontId="23" fillId="0" borderId="0" xfId="1" applyFont="1" applyAlignment="1" applyProtection="1">
      <alignment horizontal="left" vertical="center"/>
    </xf>
    <xf numFmtId="0" fontId="26" fillId="2" borderId="0" xfId="1" applyFont="1" applyFill="1" applyAlignment="1" applyProtection="1">
      <alignment horizontal="center" vertical="center" shrinkToFit="1"/>
    </xf>
    <xf numFmtId="0" fontId="54" fillId="11" borderId="0" xfId="1" applyFont="1" applyFill="1" applyAlignment="1" applyProtection="1">
      <alignment horizontal="left" vertical="center" readingOrder="1"/>
    </xf>
    <xf numFmtId="0" fontId="37" fillId="11" borderId="0" xfId="1" applyFont="1" applyFill="1" applyAlignment="1" applyProtection="1">
      <alignment horizontal="left" vertical="center" readingOrder="1"/>
    </xf>
    <xf numFmtId="0" fontId="22" fillId="11" borderId="0" xfId="1" applyFont="1" applyFill="1" applyAlignment="1" applyProtection="1">
      <alignment horizontal="left" vertical="center" readingOrder="1"/>
    </xf>
    <xf numFmtId="0" fontId="41" fillId="11" borderId="0" xfId="1" applyFont="1" applyFill="1" applyAlignment="1" applyProtection="1">
      <alignment horizontal="center" vertical="center" readingOrder="1"/>
    </xf>
    <xf numFmtId="0" fontId="41" fillId="11" borderId="0" xfId="1" applyFont="1" applyFill="1" applyAlignment="1" applyProtection="1">
      <alignment horizontal="center" vertical="center" shrinkToFit="1"/>
    </xf>
    <xf numFmtId="0" fontId="24" fillId="11" borderId="21" xfId="1" applyFont="1" applyFill="1" applyBorder="1" applyAlignment="1" applyProtection="1">
      <alignment vertical="center" readingOrder="1"/>
    </xf>
    <xf numFmtId="0" fontId="24" fillId="11" borderId="0" xfId="1" applyFont="1" applyFill="1" applyAlignment="1" applyProtection="1">
      <alignment vertical="center" readingOrder="1"/>
    </xf>
    <xf numFmtId="0" fontId="41" fillId="11" borderId="0" xfId="1" applyFont="1" applyFill="1" applyAlignment="1" applyProtection="1">
      <alignment vertical="center" readingOrder="1"/>
    </xf>
    <xf numFmtId="0" fontId="41" fillId="11" borderId="17" xfId="1" applyFont="1" applyFill="1" applyBorder="1" applyAlignment="1" applyProtection="1">
      <alignment vertical="center" readingOrder="1"/>
    </xf>
    <xf numFmtId="0" fontId="66" fillId="11" borderId="0" xfId="1" applyFont="1" applyFill="1" applyAlignment="1" applyProtection="1">
      <alignment horizontal="right" vertical="center" wrapText="1" readingOrder="1"/>
    </xf>
    <xf numFmtId="0" fontId="2" fillId="0" borderId="0" xfId="1" applyAlignment="1" applyProtection="1">
      <alignment horizontal="center" vertical="top"/>
    </xf>
    <xf numFmtId="0" fontId="36" fillId="0" borderId="18" xfId="1" applyFont="1" applyBorder="1" applyAlignment="1" applyProtection="1">
      <alignment horizontal="center" vertical="center"/>
    </xf>
    <xf numFmtId="0" fontId="36" fillId="0" borderId="19" xfId="1" applyFont="1" applyBorder="1" applyAlignment="1" applyProtection="1">
      <alignment horizontal="center" vertical="center"/>
    </xf>
    <xf numFmtId="0" fontId="36" fillId="0" borderId="19" xfId="1" applyFont="1" applyBorder="1" applyAlignment="1" applyProtection="1">
      <alignment vertical="center"/>
    </xf>
    <xf numFmtId="0" fontId="36" fillId="0" borderId="19" xfId="1" applyFont="1" applyBorder="1" applyAlignment="1" applyProtection="1">
      <alignment vertical="center" wrapText="1"/>
    </xf>
    <xf numFmtId="0" fontId="36" fillId="0" borderId="19" xfId="1" applyFont="1" applyBorder="1" applyAlignment="1" applyProtection="1">
      <alignment horizontal="center" vertical="center" shrinkToFit="1"/>
    </xf>
    <xf numFmtId="0" fontId="36" fillId="0" borderId="19" xfId="1" applyFont="1" applyBorder="1" applyAlignment="1" applyProtection="1">
      <alignment horizontal="center" vertical="center" wrapText="1"/>
    </xf>
    <xf numFmtId="0" fontId="28" fillId="2" borderId="0" xfId="1" applyFont="1" applyFill="1" applyAlignment="1" applyProtection="1">
      <alignment horizontal="left" vertical="center" wrapText="1"/>
    </xf>
    <xf numFmtId="0" fontId="32" fillId="2" borderId="0" xfId="1" applyFont="1" applyFill="1" applyAlignment="1" applyProtection="1">
      <alignment horizontal="center" vertical="center"/>
    </xf>
    <xf numFmtId="0" fontId="32" fillId="2" borderId="0" xfId="1" applyFont="1" applyFill="1" applyProtection="1"/>
    <xf numFmtId="0" fontId="33" fillId="2" borderId="0" xfId="1" applyFont="1" applyFill="1" applyProtection="1"/>
    <xf numFmtId="0" fontId="34" fillId="2" borderId="0" xfId="1" applyFont="1" applyFill="1" applyAlignment="1" applyProtection="1">
      <alignment vertical="center"/>
    </xf>
    <xf numFmtId="0" fontId="13" fillId="2" borderId="0" xfId="1" applyFont="1" applyFill="1" applyAlignment="1" applyProtection="1">
      <alignment vertical="center"/>
    </xf>
    <xf numFmtId="0" fontId="35" fillId="2" borderId="0" xfId="1" applyFont="1" applyFill="1" applyAlignment="1" applyProtection="1">
      <alignment vertical="center"/>
    </xf>
    <xf numFmtId="0" fontId="35" fillId="2" borderId="0" xfId="1" applyFont="1" applyFill="1" applyAlignment="1" applyProtection="1">
      <alignment horizontal="right" vertical="center"/>
    </xf>
    <xf numFmtId="0" fontId="21" fillId="2" borderId="0" xfId="1" applyFont="1" applyFill="1" applyAlignment="1" applyProtection="1">
      <alignment vertical="center"/>
      <protection locked="0"/>
    </xf>
  </cellXfs>
  <cellStyles count="4">
    <cellStyle name="Hyperlink" xfId="2" builtinId="8"/>
    <cellStyle name="Normal" xfId="0" builtinId="0"/>
    <cellStyle name="Normal 2" xfId="1"/>
    <cellStyle name="Normal 2 2" xfId="3"/>
  </cellStyles>
  <dxfs count="486">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medium">
          <color indexed="64"/>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i val="0"/>
      </font>
      <fill>
        <patternFill>
          <bgColor theme="0" tint="-0.14996795556505021"/>
        </patternFill>
      </fill>
    </dxf>
    <dxf>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font>
      <fill>
        <patternFill>
          <bgColor theme="0" tint="-0.14996795556505021"/>
        </patternFill>
      </fill>
    </dxf>
    <dxf>
      <fill>
        <patternFill>
          <bgColor theme="0" tint="-0.14996795556505021"/>
        </patternFill>
      </fill>
    </dxf>
    <dxf>
      <font>
        <b/>
        <i/>
        <color rgb="FFFF0000"/>
      </font>
    </dxf>
    <dxf>
      <fill>
        <patternFill>
          <bgColor theme="0" tint="-0.14996795556505021"/>
        </patternFill>
      </fill>
    </dxf>
    <dxf>
      <font>
        <b/>
        <i/>
      </font>
      <fill>
        <patternFill>
          <bgColor theme="0" tint="-0.14996795556505021"/>
        </patternFill>
      </fill>
    </dxf>
    <dxf>
      <fill>
        <patternFill>
          <bgColor theme="0" tint="-0.14996795556505021"/>
        </patternFill>
      </fill>
    </dxf>
    <dxf>
      <font>
        <b/>
        <i/>
        <color rgb="FFFF0000"/>
      </font>
    </dxf>
    <dxf>
      <font>
        <b/>
        <i val="0"/>
      </font>
      <fill>
        <patternFill>
          <bgColor theme="0" tint="-0.14996795556505021"/>
        </patternFill>
      </fill>
    </dxf>
    <dxf>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font>
      <fill>
        <patternFill>
          <bgColor theme="0" tint="-0.14996795556505021"/>
        </patternFill>
      </fill>
    </dxf>
    <dxf>
      <fill>
        <patternFill>
          <bgColor theme="0" tint="-0.14996795556505021"/>
        </patternFill>
      </fill>
    </dxf>
    <dxf>
      <font>
        <b/>
        <i/>
        <color rgb="FFFF0000"/>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protection locked="0" hidden="0"/>
    </dxf>
    <dxf>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protection locked="0" hidden="0"/>
    </dxf>
    <dxf>
      <protection locked="0" hidden="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font>
      <fill>
        <patternFill>
          <bgColor theme="0" tint="-0.14996795556505021"/>
        </patternFill>
      </fill>
    </dxf>
    <dxf>
      <font>
        <b/>
        <i/>
        <color rgb="FFFF0000"/>
      </font>
    </dxf>
    <dxf>
      <font>
        <b/>
        <i/>
      </font>
      <fill>
        <patternFill>
          <bgColor theme="0" tint="-0.14996795556505021"/>
        </patternFill>
      </fill>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13</xdr:col>
      <xdr:colOff>628651</xdr:colOff>
      <xdr:row>3</xdr:row>
      <xdr:rowOff>9526</xdr:rowOff>
    </xdr:from>
    <xdr:to>
      <xdr:col>22</xdr:col>
      <xdr:colOff>85726</xdr:colOff>
      <xdr:row>28</xdr:row>
      <xdr:rowOff>200025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382376" y="514351"/>
          <a:ext cx="5629275" cy="60388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Master of Arts</a:t>
          </a:r>
        </a:p>
        <a:p>
          <a:pPr algn="ctr" rtl="0" fontAlgn="base"/>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Major and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choose</a:t>
          </a:r>
          <a:r>
            <a:rPr lang="en-AU" b="0" u="none">
              <a:effectLst/>
            </a:rPr>
            <a:t> </a:t>
          </a:r>
          <a:r>
            <a:rPr lang="en-AU" i="1">
              <a:effectLst/>
            </a:rPr>
            <a:t>HUMN6001 Masters Research Project 1 </a:t>
          </a:r>
          <a:r>
            <a:rPr lang="en-AU">
              <a:effectLst/>
            </a:rPr>
            <a:t>as an Option in Year 2,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two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18</xdr:col>
      <xdr:colOff>409576</xdr:colOff>
      <xdr:row>2</xdr:row>
      <xdr:rowOff>171451</xdr:rowOff>
    </xdr:from>
    <xdr:to>
      <xdr:col>22</xdr:col>
      <xdr:colOff>85726</xdr:colOff>
      <xdr:row>3</xdr:row>
      <xdr:rowOff>9921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171451"/>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010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533400</xdr:colOff>
      <xdr:row>3</xdr:row>
      <xdr:rowOff>114299</xdr:rowOff>
    </xdr:from>
    <xdr:ext cx="5629275" cy="5676901"/>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1715750" y="619124"/>
          <a:ext cx="5629275" cy="567690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Certificate in Multimedia Journalism</a:t>
          </a:r>
        </a:p>
        <a:p>
          <a:pPr algn="ctr"/>
          <a:r>
            <a:rPr lang="en-AU" sz="1100" b="1">
              <a:solidFill>
                <a:schemeClr val="dk1"/>
              </a:solidFill>
              <a:effectLst/>
              <a:latin typeface="+mn-lt"/>
              <a:ea typeface="+mn-ea"/>
              <a:cs typeface="+mn-cs"/>
            </a:rPr>
            <a:t>Master of Multimedia Journalism</a:t>
          </a:r>
        </a:p>
        <a:p>
          <a:pPr algn="ctr"/>
          <a:r>
            <a:rPr lang="en-AU" sz="1100" b="1">
              <a:solidFill>
                <a:schemeClr val="dk1"/>
              </a:solidFill>
              <a:effectLst/>
              <a:latin typeface="+mn-lt"/>
              <a:ea typeface="+mn-ea"/>
              <a:cs typeface="+mn-cs"/>
            </a:rPr>
            <a:t>Master of Multimedia Journalism (Global)</a:t>
          </a:r>
        </a:p>
        <a:p>
          <a:pPr algn="ctr"/>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Course and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or two units from the four listed for each study period.</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oneCellAnchor>
  <xdr:twoCellAnchor editAs="absolute">
    <xdr:from>
      <xdr:col>18</xdr:col>
      <xdr:colOff>314325</xdr:colOff>
      <xdr:row>2</xdr:row>
      <xdr:rowOff>276225</xdr:rowOff>
    </xdr:from>
    <xdr:to>
      <xdr:col>21</xdr:col>
      <xdr:colOff>676275</xdr:colOff>
      <xdr:row>3</xdr:row>
      <xdr:rowOff>114695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200-000005000000}"/>
            </a:ext>
          </a:extLst>
        </xdr:cNvPr>
        <xdr:cNvSpPr txBox="1"/>
      </xdr:nvSpPr>
      <xdr:spPr>
        <a:xfrm>
          <a:off x="14925675" y="2762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01000"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485775</xdr:colOff>
      <xdr:row>3</xdr:row>
      <xdr:rowOff>95249</xdr:rowOff>
    </xdr:from>
    <xdr:ext cx="5629275" cy="6198363"/>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1144250" y="600074"/>
          <a:ext cx="5629275" cy="6198363"/>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endParaRPr lang="en-AU" sz="1100" b="0" i="0" u="sng" strike="noStrike">
            <a:solidFill>
              <a:schemeClr val="dk1"/>
            </a:solidFill>
            <a:effectLst/>
            <a:latin typeface="+mn-lt"/>
            <a:ea typeface="+mn-ea"/>
            <a:cs typeface="+mn-cs"/>
          </a:endParaRPr>
        </a:p>
        <a:p>
          <a:pPr algn="ctr"/>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Master of Human Rights and Global Engagement</a:t>
          </a:r>
        </a:p>
        <a:p>
          <a:pPr algn="ctr"/>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sz="1100" b="1">
              <a:solidFill>
                <a:schemeClr val="dk1"/>
              </a:solidFill>
              <a:effectLst/>
              <a:latin typeface="+mn-lt"/>
              <a:ea typeface="+mn-ea"/>
              <a:cs typeface="+mn-cs"/>
            </a:rPr>
            <a:t>Masters Students</a:t>
          </a:r>
          <a:endParaRPr lang="en-AU">
            <a:effectLst/>
          </a:endParaRPr>
        </a:p>
        <a:p>
          <a:r>
            <a:rPr lang="en-AU" sz="1100">
              <a:solidFill>
                <a:schemeClr val="dk1"/>
              </a:solidFill>
              <a:effectLst/>
              <a:latin typeface="+mn-lt"/>
              <a:ea typeface="+mn-ea"/>
              <a:cs typeface="+mn-cs"/>
            </a:rPr>
            <a:t>Students should enrol in either </a:t>
          </a:r>
          <a:r>
            <a:rPr lang="en-AU" sz="1100" i="1">
              <a:solidFill>
                <a:schemeClr val="dk1"/>
              </a:solidFill>
              <a:effectLst/>
              <a:latin typeface="+mn-lt"/>
              <a:ea typeface="+mn-ea"/>
              <a:cs typeface="+mn-cs"/>
            </a:rPr>
            <a:t>HRIG5013 Introduction to Human Rights and Social Justice </a:t>
          </a:r>
          <a:r>
            <a:rPr lang="en-AU" sz="1100">
              <a:solidFill>
                <a:schemeClr val="dk1"/>
              </a:solidFill>
              <a:effectLst/>
              <a:latin typeface="+mn-lt"/>
              <a:ea typeface="+mn-ea"/>
              <a:cs typeface="+mn-cs"/>
            </a:rPr>
            <a:t>or </a:t>
          </a:r>
          <a:r>
            <a:rPr lang="en-AU" sz="1100" i="1">
              <a:solidFill>
                <a:schemeClr val="dk1"/>
              </a:solidFill>
              <a:effectLst/>
              <a:latin typeface="+mn-lt"/>
              <a:ea typeface="+mn-ea"/>
              <a:cs typeface="+mn-cs"/>
            </a:rPr>
            <a:t>HRIG5014 Dialogue across Cultures and Religions </a:t>
          </a:r>
          <a:r>
            <a:rPr lang="en-AU" sz="1100">
              <a:solidFill>
                <a:schemeClr val="dk1"/>
              </a:solidFill>
              <a:effectLst/>
              <a:latin typeface="+mn-lt"/>
              <a:ea typeface="+mn-ea"/>
              <a:cs typeface="+mn-cs"/>
            </a:rPr>
            <a:t>in </a:t>
          </a:r>
          <a:r>
            <a:rPr lang="en-AU" sz="1100" b="0" i="0" u="none">
              <a:solidFill>
                <a:schemeClr val="dk1"/>
              </a:solidFill>
              <a:effectLst/>
              <a:latin typeface="+mn-lt"/>
              <a:ea typeface="+mn-ea"/>
              <a:cs typeface="+mn-cs"/>
            </a:rPr>
            <a:t>their</a:t>
          </a:r>
          <a:r>
            <a:rPr lang="en-AU" sz="1100">
              <a:solidFill>
                <a:schemeClr val="dk1"/>
              </a:solidFill>
              <a:effectLst/>
              <a:latin typeface="+mn-lt"/>
              <a:ea typeface="+mn-ea"/>
              <a:cs typeface="+mn-cs"/>
            </a:rPr>
            <a:t> first semester of study.</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study</a:t>
          </a:r>
          <a:r>
            <a:rPr lang="en-AU" b="0" u="none">
              <a:effectLst/>
            </a:rPr>
            <a:t> </a:t>
          </a:r>
          <a:r>
            <a:rPr lang="en-AU" i="1">
              <a:effectLst/>
            </a:rPr>
            <a:t>HUMN6001 Masters Research Project 1 </a:t>
          </a:r>
          <a:r>
            <a:rPr lang="en-AU">
              <a:effectLst/>
            </a:rPr>
            <a:t>first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oneCellAnchor>
  <xdr:twoCellAnchor editAs="absolute">
    <xdr:from>
      <xdr:col>18</xdr:col>
      <xdr:colOff>266700</xdr:colOff>
      <xdr:row>2</xdr:row>
      <xdr:rowOff>257174</xdr:rowOff>
    </xdr:from>
    <xdr:to>
      <xdr:col>21</xdr:col>
      <xdr:colOff>628650</xdr:colOff>
      <xdr:row>3</xdr:row>
      <xdr:rowOff>95644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300-000005000000}"/>
            </a:ext>
          </a:extLst>
        </xdr:cNvPr>
        <xdr:cNvSpPr txBox="1"/>
      </xdr:nvSpPr>
      <xdr:spPr>
        <a:xfrm>
          <a:off x="14354175" y="257174"/>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6767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xdr:col>
      <xdr:colOff>247650</xdr:colOff>
      <xdr:row>3</xdr:row>
      <xdr:rowOff>76200</xdr:rowOff>
    </xdr:from>
    <xdr:to>
      <xdr:col>21</xdr:col>
      <xdr:colOff>390525</xdr:colOff>
      <xdr:row>30</xdr:row>
      <xdr:rowOff>171450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1630025" y="581025"/>
          <a:ext cx="5629275" cy="637222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Certificate in Digital and Social Media</a:t>
          </a:r>
        </a:p>
        <a:p>
          <a:pPr algn="ctr"/>
          <a:r>
            <a:rPr lang="en-AU" sz="1100" b="1">
              <a:solidFill>
                <a:schemeClr val="dk1"/>
              </a:solidFill>
              <a:effectLst/>
              <a:latin typeface="+mn-lt"/>
              <a:ea typeface="+mn-ea"/>
              <a:cs typeface="+mn-cs"/>
            </a:rPr>
            <a:t>Graduate Diploma in Digital and Social Media</a:t>
          </a:r>
        </a:p>
        <a:p>
          <a:pPr algn="ctr"/>
          <a:r>
            <a:rPr lang="en-AU" sz="1100" b="1">
              <a:solidFill>
                <a:schemeClr val="dk1"/>
              </a:solidFill>
              <a:effectLst/>
              <a:latin typeface="+mn-lt"/>
              <a:ea typeface="+mn-ea"/>
              <a:cs typeface="+mn-cs"/>
            </a:rPr>
            <a:t>Master of Digital and Social Media </a:t>
          </a:r>
          <a:endParaRPr lang="en-AU" sz="1000">
            <a:effectLst/>
          </a:endParaRPr>
        </a:p>
        <a:p>
          <a:pPr algn="ctr" rtl="0" fontAlgn="base"/>
          <a:endParaRPr lang="en-AU" sz="1100" i="1">
            <a:solidFill>
              <a:schemeClr val="dk1"/>
            </a:solidFill>
            <a:effectLst/>
            <a:latin typeface="+mn-lt"/>
            <a:ea typeface="+mn-ea"/>
            <a:cs typeface="+mn-cs"/>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Major and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b="1">
              <a:solidFill>
                <a:srgbClr val="FF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choose</a:t>
          </a:r>
          <a:r>
            <a:rPr lang="en-AU" b="0" u="none">
              <a:effectLst/>
            </a:rPr>
            <a:t> </a:t>
          </a:r>
          <a:r>
            <a:rPr lang="en-AU" i="1">
              <a:effectLst/>
            </a:rPr>
            <a:t>HUMN6001 Masters Research Project 1 </a:t>
          </a:r>
          <a:r>
            <a:rPr lang="en-AU">
              <a:effectLst/>
            </a:rPr>
            <a:t>as an Option in Year 2,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twoCellAnchor>
  <xdr:twoCellAnchor editAs="absolute">
    <xdr:from>
      <xdr:col>18</xdr:col>
      <xdr:colOff>28575</xdr:colOff>
      <xdr:row>2</xdr:row>
      <xdr:rowOff>238125</xdr:rowOff>
    </xdr:from>
    <xdr:to>
      <xdr:col>21</xdr:col>
      <xdr:colOff>390525</xdr:colOff>
      <xdr:row>3</xdr:row>
      <xdr:rowOff>76595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839950" y="2381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057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14</xdr:col>
      <xdr:colOff>238125</xdr:colOff>
      <xdr:row>3</xdr:row>
      <xdr:rowOff>123825</xdr:rowOff>
    </xdr:from>
    <xdr:to>
      <xdr:col>22</xdr:col>
      <xdr:colOff>381000</xdr:colOff>
      <xdr:row>31</xdr:row>
      <xdr:rowOff>28575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1858625" y="628650"/>
          <a:ext cx="5629275" cy="637222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Certificate in International Relations and National Security</a:t>
          </a:r>
          <a:endParaRPr lang="en-AU" sz="1100" b="0" i="0" u="none" strike="noStrike">
            <a:solidFill>
              <a:schemeClr val="dk1"/>
            </a:solidFill>
            <a:effectLst/>
            <a:latin typeface="+mn-lt"/>
            <a:ea typeface="+mn-ea"/>
            <a:cs typeface="+mn-cs"/>
          </a:endParaRPr>
        </a:p>
        <a:p>
          <a:pPr algn="ctr"/>
          <a:r>
            <a:rPr lang="en-AU" sz="1100" b="1">
              <a:solidFill>
                <a:schemeClr val="dk1"/>
              </a:solidFill>
              <a:effectLst/>
              <a:latin typeface="+mn-lt"/>
              <a:ea typeface="+mn-ea"/>
              <a:cs typeface="+mn-cs"/>
            </a:rPr>
            <a:t>Graduate Diploma in International Relations and National Security</a:t>
          </a:r>
        </a:p>
        <a:p>
          <a:pPr algn="ctr"/>
          <a:r>
            <a:rPr lang="en-AU" sz="1100" b="1">
              <a:solidFill>
                <a:schemeClr val="dk1"/>
              </a:solidFill>
              <a:effectLst/>
              <a:latin typeface="+mn-lt"/>
              <a:ea typeface="+mn-ea"/>
              <a:cs typeface="+mn-cs"/>
            </a:rPr>
            <a:t>Master of International Relations and National Security </a:t>
          </a:r>
          <a:endParaRPr lang="en-AU" sz="1100" i="1">
            <a:solidFill>
              <a:schemeClr val="dk1"/>
            </a:solidFill>
            <a:effectLst/>
            <a:latin typeface="+mn-lt"/>
            <a:ea typeface="+mn-ea"/>
            <a:cs typeface="+mn-cs"/>
          </a:endParaRPr>
        </a:p>
        <a:p>
          <a:pPr algn="ctr" rtl="0" fontAlgn="base"/>
          <a:endParaRPr lang="en-AU" sz="1100" i="1">
            <a:solidFill>
              <a:schemeClr val="dk1"/>
            </a:solidFill>
            <a:effectLst/>
            <a:latin typeface="+mn-lt"/>
            <a:ea typeface="+mn-ea"/>
            <a:cs typeface="+mn-cs"/>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Major and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choose</a:t>
          </a:r>
          <a:r>
            <a:rPr lang="en-AU" b="0" u="none">
              <a:effectLst/>
            </a:rPr>
            <a:t> </a:t>
          </a:r>
          <a:r>
            <a:rPr lang="en-AU" i="1">
              <a:effectLst/>
            </a:rPr>
            <a:t>HUMN6001 Masters Research Project 1 </a:t>
          </a:r>
          <a:r>
            <a:rPr lang="en-AU">
              <a:effectLst/>
            </a:rPr>
            <a:t>as an Option in Year 2, as it is a pre-requisite.</a:t>
          </a:r>
        </a:p>
        <a:p>
          <a:endParaRPr lang="en-AU">
            <a:effectLst/>
          </a:endParaRPr>
        </a:p>
        <a:p>
          <a:r>
            <a:rPr lang="en-AU" sz="1100" b="1">
              <a:solidFill>
                <a:srgbClr val="FF0000"/>
              </a:solidFill>
              <a:effectLst/>
              <a:latin typeface="+mn-lt"/>
              <a:ea typeface="+mn-ea"/>
              <a:cs typeface="+mn-cs"/>
            </a:rPr>
            <a:t>Notes for International Students </a:t>
          </a:r>
          <a:r>
            <a:rPr lang="en-AU" sz="1100" b="0">
              <a:solidFill>
                <a:srgbClr val="FF0000"/>
              </a:solidFill>
              <a:effectLst/>
              <a:latin typeface="+mn-lt"/>
              <a:ea typeface="+mn-ea"/>
              <a:cs typeface="+mn-cs"/>
            </a:rPr>
            <a:t> </a:t>
          </a:r>
          <a:endParaRPr lang="en-AU">
            <a:solidFill>
              <a:srgbClr val="FF0000"/>
            </a:solidFill>
            <a:effectLst/>
          </a:endParaRPr>
        </a:p>
        <a:p>
          <a:r>
            <a:rPr lang="en-AU" sz="1100" b="0">
              <a:solidFill>
                <a:srgbClr val="FF0000"/>
              </a:solidFill>
              <a:effectLst/>
              <a:latin typeface="+mn-lt"/>
              <a:ea typeface="+mn-ea"/>
              <a:cs typeface="+mn-cs"/>
            </a:rPr>
            <a:t>You are expected to study all of your units face-to-face for at least the first year of your course. It is your responsibility to ensure that you meet all conditions of your student visa. </a:t>
          </a:r>
          <a:r>
            <a:rPr lang="en-AU" sz="1100" b="0">
              <a:solidFill>
                <a:schemeClr val="dk1"/>
              </a:solidFill>
              <a:effectLst/>
              <a:latin typeface="+mn-lt"/>
              <a:ea typeface="+mn-ea"/>
              <a:cs typeface="+mn-cs"/>
            </a:rPr>
            <a:t>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twoCellAnchor>
  <xdr:twoCellAnchor editAs="absolute">
    <xdr:from>
      <xdr:col>19</xdr:col>
      <xdr:colOff>19050</xdr:colOff>
      <xdr:row>2</xdr:row>
      <xdr:rowOff>285750</xdr:rowOff>
    </xdr:from>
    <xdr:to>
      <xdr:col>22</xdr:col>
      <xdr:colOff>381000</xdr:colOff>
      <xdr:row>3</xdr:row>
      <xdr:rowOff>124220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500-000005000000}"/>
            </a:ext>
          </a:extLst>
        </xdr:cNvPr>
        <xdr:cNvSpPr txBox="1"/>
      </xdr:nvSpPr>
      <xdr:spPr>
        <a:xfrm>
          <a:off x="15068550" y="28575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724900"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180975</xdr:colOff>
      <xdr:row>3</xdr:row>
      <xdr:rowOff>104774</xdr:rowOff>
    </xdr:from>
    <xdr:ext cx="5629275" cy="604184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229975" y="609599"/>
          <a:ext cx="5629275" cy="604184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Graduate Certificate in Global Engagement</a:t>
          </a:r>
        </a:p>
        <a:p>
          <a:pPr algn="ctr"/>
          <a:r>
            <a:rPr lang="en-AU" sz="1100" b="1">
              <a:solidFill>
                <a:schemeClr val="dk1"/>
              </a:solidFill>
              <a:effectLst/>
              <a:latin typeface="+mn-lt"/>
              <a:ea typeface="+mn-ea"/>
              <a:cs typeface="+mn-cs"/>
            </a:rPr>
            <a:t>Master of Global Engagement</a:t>
          </a:r>
        </a:p>
        <a:p>
          <a:pPr algn="ctr"/>
          <a:r>
            <a:rPr lang="en-AU" sz="1100" b="1">
              <a:solidFill>
                <a:schemeClr val="dk1"/>
              </a:solidFill>
              <a:effectLst/>
              <a:latin typeface="+mn-lt"/>
              <a:ea typeface="+mn-ea"/>
              <a:cs typeface="+mn-cs"/>
            </a:rPr>
            <a:t>Master of Global Engagement (Advanced) </a:t>
          </a:r>
          <a:endParaRPr lang="en-AU" sz="1000">
            <a:effectLst/>
          </a:endParaRPr>
        </a:p>
        <a:p>
          <a:pPr algn="ctr" rtl="0" fontAlgn="base"/>
          <a:endParaRPr lang="en-AU" sz="1100" i="1">
            <a:solidFill>
              <a:schemeClr val="dk1"/>
            </a:solidFill>
            <a:effectLst/>
            <a:latin typeface="+mn-lt"/>
            <a:ea typeface="+mn-ea"/>
            <a:cs typeface="+mn-cs"/>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Course and your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or two units from the units listed for each study period.</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study</a:t>
          </a:r>
          <a:r>
            <a:rPr lang="en-AU" b="0" u="none">
              <a:effectLst/>
            </a:rPr>
            <a:t> </a:t>
          </a:r>
          <a:r>
            <a:rPr lang="en-AU" i="1">
              <a:effectLst/>
            </a:rPr>
            <a:t>HUMN6001 Masters Research Project 1</a:t>
          </a:r>
          <a:r>
            <a:rPr lang="en-AU" i="0">
              <a:effectLst/>
            </a:rPr>
            <a:t> first</a:t>
          </a:r>
          <a:r>
            <a:rPr lang="en-AU">
              <a:effectLst/>
            </a:rPr>
            <a:t>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900" b="0">
              <a:solidFill>
                <a:schemeClr val="dk1"/>
              </a:solidFill>
              <a:effectLst/>
              <a:latin typeface="+mn-lt"/>
              <a:ea typeface="+mn-ea"/>
              <a:cs typeface="+mn-cs"/>
            </a:rPr>
            <a:t>CP = Credit Points; Sem1 = Semester 1; 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editAs="absolute">
    <xdr:from>
      <xdr:col>17</xdr:col>
      <xdr:colOff>647700</xdr:colOff>
      <xdr:row>2</xdr:row>
      <xdr:rowOff>266699</xdr:rowOff>
    </xdr:from>
    <xdr:to>
      <xdr:col>21</xdr:col>
      <xdr:colOff>323850</xdr:colOff>
      <xdr:row>3</xdr:row>
      <xdr:rowOff>105169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420850" y="266699"/>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4:G24" totalsRowShown="0" headerRowDxfId="482" dataDxfId="481">
  <autoFilter ref="A4:G24"/>
  <tableColumns count="7">
    <tableColumn id="3" name="Choose your Course" dataDxfId="480"/>
    <tableColumn id="1" name="UDC" dataDxfId="479"/>
    <tableColumn id="2" name="Version" dataDxfId="478"/>
    <tableColumn id="5" name="Credit Points" dataDxfId="477"/>
    <tableColumn id="4" name="Effective Date" dataDxfId="476"/>
    <tableColumn id="7" name="Akari Update" dataDxfId="475"/>
    <tableColumn id="6" name="Availabilities" dataDxfId="474"/>
  </tableColumns>
  <tableStyleInfo name="TableStyleLight8" showFirstColumn="0" showLastColumn="0" showRowStripes="1" showColumnStripes="0"/>
</table>
</file>

<file path=xl/tables/table10.xml><?xml version="1.0" encoding="utf-8"?>
<table xmlns="http://schemas.openxmlformats.org/spreadsheetml/2006/main" id="6" name="TableMJRPSCRAR" displayName="TableMJRPSCRAR" ref="A99:O123" totalsRowShown="0">
  <autoFilter ref="A99:O123"/>
  <sortState ref="A50:R60">
    <sortCondition ref="M42:M53"/>
  </sortState>
  <tableColumns count="15">
    <tableColumn id="9" name="UDC" dataDxfId="126">
      <calculatedColumnFormula>TableMJRPSCRAR[[#This Row],[Study Package Code]]</calculatedColumnFormula>
    </tableColumn>
    <tableColumn id="10" name="Version" dataDxfId="125">
      <calculatedColumnFormula>TableMJRPSCRAR[[#This Row],[Ver]]</calculatedColumnFormula>
    </tableColumn>
    <tableColumn id="11" name="OUA Code"/>
    <tableColumn id="12" name="Unit Title" dataDxfId="124">
      <calculatedColumnFormula>TableMJRPSCRAR[[#This Row],[Structure Line]]</calculatedColumnFormula>
    </tableColumn>
    <tableColumn id="13" name="CPs" dataDxfId="123">
      <calculatedColumnFormula>TableMJRPSCRAR[[#This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22"/>
    <tableColumn id="15" name="Discont." dataDxfId="121"/>
  </tableColumns>
  <tableStyleInfo name="TableStyleLight1" showFirstColumn="0" showLastColumn="0" showRowStripes="1" showColumnStripes="0"/>
</table>
</file>

<file path=xl/tables/table11.xml><?xml version="1.0" encoding="utf-8"?>
<table xmlns="http://schemas.openxmlformats.org/spreadsheetml/2006/main" id="10" name="TableMCMMJRG" displayName="TableMCMMJRG" ref="A126:O149" totalsRowShown="0">
  <autoFilter ref="A126:O149"/>
  <sortState ref="A127:R134">
    <sortCondition ref="N11:N19"/>
  </sortState>
  <tableColumns count="15">
    <tableColumn id="15" name="UDC" dataDxfId="120">
      <calculatedColumnFormula>TableMCMMJRG[[#This Row],[Study Package Code]]</calculatedColumnFormula>
    </tableColumn>
    <tableColumn id="16" name="Version" dataDxfId="119">
      <calculatedColumnFormula>TableMCMMJRG[[#This Row],[Ver]]</calculatedColumnFormula>
    </tableColumn>
    <tableColumn id="17" name="OUA Code"/>
    <tableColumn id="18" name="Unit Title" dataDxfId="118">
      <calculatedColumnFormula>TableMCMMJRG[[#This Row],[Structure Line]]</calculatedColumnFormula>
    </tableColumn>
    <tableColumn id="19" name="CPs" dataDxfId="117">
      <calculatedColumnFormula>TableMCMMJRG[[#This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16"/>
    <tableColumn id="10" name="Discont." dataDxfId="115"/>
  </tableColumns>
  <tableStyleInfo name="TableStyleLight1" showFirstColumn="0" showLastColumn="0" showRowStripes="1" showColumnStripes="0"/>
</table>
</file>

<file path=xl/tables/table12.xml><?xml version="1.0" encoding="utf-8"?>
<table xmlns="http://schemas.openxmlformats.org/spreadsheetml/2006/main" id="11" name="TableMCMMJRN" displayName="TableMCMMJRN" ref="A151:O168" totalsRowShown="0">
  <autoFilter ref="A151:O168"/>
  <sortState ref="A134:R141">
    <sortCondition ref="N11:N19"/>
  </sortState>
  <tableColumns count="15">
    <tableColumn id="15" name="UDC" dataDxfId="114">
      <calculatedColumnFormula>TableMCMMJRN[[#This Row],[Study Package Code]]</calculatedColumnFormula>
    </tableColumn>
    <tableColumn id="16" name="Version" dataDxfId="113">
      <calculatedColumnFormula>TableMCMMJRN[[#This Row],[Ver]]</calculatedColumnFormula>
    </tableColumn>
    <tableColumn id="17" name="OUA Code"/>
    <tableColumn id="18" name="Unit Title" dataDxfId="112">
      <calculatedColumnFormula>TableMCMMJRN[[#This Row],[Structure Line]]</calculatedColumnFormula>
    </tableColumn>
    <tableColumn id="19" name="CPs" dataDxfId="111">
      <calculatedColumnFormula>TableMCMMJRN[[#This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10"/>
    <tableColumn id="10" name="Discont." dataDxfId="109"/>
  </tableColumns>
  <tableStyleInfo name="TableStyleLight1" showFirstColumn="0" showLastColumn="0" showRowStripes="1" showColumnStripes="0"/>
</table>
</file>

<file path=xl/tables/table13.xml><?xml version="1.0" encoding="utf-8"?>
<table xmlns="http://schemas.openxmlformats.org/spreadsheetml/2006/main" id="12" name="TableGDMMJRN" displayName="TableGDMMJRN" ref="A170:O178" totalsRowShown="0">
  <autoFilter ref="A170:O178"/>
  <sortState ref="A159:R166">
    <sortCondition ref="N11:N19"/>
  </sortState>
  <tableColumns count="15">
    <tableColumn id="15" name="UDC" dataDxfId="108">
      <calculatedColumnFormula>TableGDMMJRN[[#This Row],[Study Package Code]]</calculatedColumnFormula>
    </tableColumn>
    <tableColumn id="16" name="Version" dataDxfId="107">
      <calculatedColumnFormula>TableGDMMJRN[[#This Row],[Ver]]</calculatedColumnFormula>
    </tableColumn>
    <tableColumn id="17" name="OUA Code"/>
    <tableColumn id="18" name="Unit Title" dataDxfId="106">
      <calculatedColumnFormula>TableGDMMJRN[[#This Row],[Structure Line]]</calculatedColumnFormula>
    </tableColumn>
    <tableColumn id="19" name="CPs" dataDxfId="105">
      <calculatedColumnFormula>TableGDMMJRN[[#This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04"/>
    <tableColumn id="10" name="Discont." dataDxfId="103"/>
  </tableColumns>
  <tableStyleInfo name="TableStyleLight1" showFirstColumn="0" showLastColumn="0" showRowStripes="1" showColumnStripes="0"/>
</table>
</file>

<file path=xl/tables/table14.xml><?xml version="1.0" encoding="utf-8"?>
<table xmlns="http://schemas.openxmlformats.org/spreadsheetml/2006/main" id="14" name="TableGCMMJRN" displayName="TableGCMMJRN" ref="A180:O184" totalsRowShown="0">
  <autoFilter ref="A180:O184"/>
  <sortState ref="A179:R186">
    <sortCondition ref="N11:N19"/>
  </sortState>
  <tableColumns count="15">
    <tableColumn id="15" name="UDC" dataDxfId="102">
      <calculatedColumnFormula>TableGCMMJRN[[#This Row],[Study Package Code]]</calculatedColumnFormula>
    </tableColumn>
    <tableColumn id="16" name="Version" dataDxfId="101">
      <calculatedColumnFormula>TableGCMMJRN[[#This Row],[Ver]]</calculatedColumnFormula>
    </tableColumn>
    <tableColumn id="17" name="OUA Code"/>
    <tableColumn id="18" name="Unit Title" dataDxfId="100">
      <calculatedColumnFormula>TableGCMMJRN[[#This Row],[Structure Line]]</calculatedColumnFormula>
    </tableColumn>
    <tableColumn id="19" name="CPs" dataDxfId="99">
      <calculatedColumnFormula>TableGCMMJRN[[#This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98"/>
    <tableColumn id="10" name="Discont." dataDxfId="97"/>
  </tableColumns>
  <tableStyleInfo name="TableStyleLight1" showFirstColumn="0" showLastColumn="0" showRowStripes="1" showColumnStripes="0"/>
</table>
</file>

<file path=xl/tables/table15.xml><?xml version="1.0" encoding="utf-8"?>
<table xmlns="http://schemas.openxmlformats.org/spreadsheetml/2006/main" id="15" name="TableMCHRIGLO" displayName="TableMCHRIGLO" ref="A187:O204" totalsRowShown="0">
  <autoFilter ref="A187:O204"/>
  <sortState ref="A187:R194">
    <sortCondition ref="N11:N19"/>
  </sortState>
  <tableColumns count="15">
    <tableColumn id="15" name="UDC" dataDxfId="96">
      <calculatedColumnFormula>TableMCHRIGLO[[#This Row],[Study Package Code]]</calculatedColumnFormula>
    </tableColumn>
    <tableColumn id="16" name="Version" dataDxfId="95">
      <calculatedColumnFormula>TableMCHRIGLO[[#This Row],[Ver]]</calculatedColumnFormula>
    </tableColumn>
    <tableColumn id="17" name="OUA Code"/>
    <tableColumn id="18" name="Unit Title" dataDxfId="94">
      <calculatedColumnFormula>TableMCHRIGLO[[#This Row],[Structure Line]]</calculatedColumnFormula>
    </tableColumn>
    <tableColumn id="19" name="CPs" dataDxfId="93">
      <calculatedColumnFormula>TableMCHRIGLO[[#This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92"/>
    <tableColumn id="10" name="Discont." dataDxfId="91"/>
  </tableColumns>
  <tableStyleInfo name="TableStyleLight1" showFirstColumn="0" showLastColumn="0" showRowStripes="1" showColumnStripes="0"/>
</table>
</file>

<file path=xl/tables/table16.xml><?xml version="1.0" encoding="utf-8"?>
<table xmlns="http://schemas.openxmlformats.org/spreadsheetml/2006/main" id="16" name="TableMCHRIGHT" displayName="TableMCHRIGHT" ref="A206:O219" totalsRowShown="0">
  <autoFilter ref="A206:O219"/>
  <sortState ref="A198:R205">
    <sortCondition ref="N11:N19"/>
  </sortState>
  <tableColumns count="15">
    <tableColumn id="15" name="UDC" dataDxfId="90">
      <calculatedColumnFormula>TableMCHRIGHT[[#This Row],[Study Package Code]]</calculatedColumnFormula>
    </tableColumn>
    <tableColumn id="16" name="Version" dataDxfId="89">
      <calculatedColumnFormula>TableMCHRIGHT[[#This Row],[Ver]]</calculatedColumnFormula>
    </tableColumn>
    <tableColumn id="17" name="OUA Code"/>
    <tableColumn id="18" name="Unit Title" dataDxfId="88">
      <calculatedColumnFormula>TableMCHRIGHT[[#This Row],[Structure Line]]</calculatedColumnFormula>
    </tableColumn>
    <tableColumn id="19" name="CPs" dataDxfId="87">
      <calculatedColumnFormula>TableMCHRIGHT[[#This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86"/>
    <tableColumn id="10" name="Discont." dataDxfId="85"/>
  </tableColumns>
  <tableStyleInfo name="TableStyleLight1" showFirstColumn="0" showLastColumn="0" showRowStripes="1" showColumnStripes="0"/>
</table>
</file>

<file path=xl/tables/table17.xml><?xml version="1.0" encoding="utf-8"?>
<table xmlns="http://schemas.openxmlformats.org/spreadsheetml/2006/main" id="17" name="TableGDHRIGHT" displayName="TableGDHRIGHT" ref="A221:O229" totalsRowShown="0">
  <autoFilter ref="A221:O229"/>
  <sortState ref="A209:R216">
    <sortCondition ref="N11:N19"/>
  </sortState>
  <tableColumns count="15">
    <tableColumn id="15" name="UDC" dataDxfId="84">
      <calculatedColumnFormula>TableGDHRIGHT[[#This Row],[Study Package Code]]</calculatedColumnFormula>
    </tableColumn>
    <tableColumn id="16" name="Version" dataDxfId="83">
      <calculatedColumnFormula>TableGDHRIGHT[[#This Row],[Ver]]</calculatedColumnFormula>
    </tableColumn>
    <tableColumn id="17" name="OUA Code"/>
    <tableColumn id="18" name="Unit Title" dataDxfId="82">
      <calculatedColumnFormula>TableGDHRIGHT[[#This Row],[Structure Line]]</calculatedColumnFormula>
    </tableColumn>
    <tableColumn id="19" name="CPs" dataDxfId="81">
      <calculatedColumnFormula>TableGDHRIGHT[[#This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80"/>
    <tableColumn id="10" name="Discont." dataDxfId="79"/>
  </tableColumns>
  <tableStyleInfo name="TableStyleLight1" showFirstColumn="0" showLastColumn="0" showRowStripes="1" showColumnStripes="0"/>
</table>
</file>

<file path=xl/tables/table18.xml><?xml version="1.0" encoding="utf-8"?>
<table xmlns="http://schemas.openxmlformats.org/spreadsheetml/2006/main" id="18" name="TableGCHRIGHT" displayName="TableGCHRIGHT" ref="A231:O238" totalsRowShown="0">
  <autoFilter ref="A231:O238"/>
  <sortState ref="A217:R224">
    <sortCondition ref="N11:N19"/>
  </sortState>
  <tableColumns count="15">
    <tableColumn id="15" name="UDC" dataDxfId="78">
      <calculatedColumnFormula>TableGCHRIGHT[[#This Row],[Study Package Code]]</calculatedColumnFormula>
    </tableColumn>
    <tableColumn id="16" name="Version" dataDxfId="77">
      <calculatedColumnFormula>TableGCHRIGHT[[#This Row],[Ver]]</calculatedColumnFormula>
    </tableColumn>
    <tableColumn id="17" name="OUA Code"/>
    <tableColumn id="18" name="Unit Title" dataDxfId="76">
      <calculatedColumnFormula>TableGCHRIGHT[[#This Row],[Structure Line]]</calculatedColumnFormula>
    </tableColumn>
    <tableColumn id="19" name="CPs" dataDxfId="75">
      <calculatedColumnFormula>TableGCHRIGHT[[#This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74"/>
    <tableColumn id="10" name="Discont." dataDxfId="73"/>
  </tableColumns>
  <tableStyleInfo name="TableStyleLight1" showFirstColumn="0" showLastColumn="0" showRowStripes="1" showColumnStripes="0"/>
</table>
</file>

<file path=xl/tables/table19.xml><?xml version="1.0" encoding="utf-8"?>
<table xmlns="http://schemas.openxmlformats.org/spreadsheetml/2006/main" id="23" name="TableMCNETSCM" displayName="TableMCNETSCM" ref="A241:O259" totalsRowShown="0">
  <autoFilter ref="A241:O259"/>
  <sortState ref="A222:R229">
    <sortCondition ref="N11:N19"/>
  </sortState>
  <tableColumns count="15">
    <tableColumn id="15" name="UDC" dataDxfId="72">
      <calculatedColumnFormula>TableMCNETSCM[[#This Row],[Study Package Code]]</calculatedColumnFormula>
    </tableColumn>
    <tableColumn id="16" name="Version" dataDxfId="71">
      <calculatedColumnFormula>TableMCNETSCM[[#This Row],[Ver]]</calculatedColumnFormula>
    </tableColumn>
    <tableColumn id="17" name="OUA Code"/>
    <tableColumn id="18" name="Unit Title" dataDxfId="70">
      <calculatedColumnFormula>TableMCNETSCM[[#This Row],[Structure Line]]</calculatedColumnFormula>
    </tableColumn>
    <tableColumn id="19" name="CPs" dataDxfId="69">
      <calculatedColumnFormula>TableMCNETSCM[[#This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68"/>
    <tableColumn id="10" name="Discont." dataDxfId="67"/>
  </tableColumns>
  <tableStyleInfo name="TableStyleLight1" showFirstColumn="0" showLastColumn="0" showRowStripes="1" showColumnStripes="0"/>
</table>
</file>

<file path=xl/tables/table2.xml><?xml version="1.0" encoding="utf-8"?>
<table xmlns="http://schemas.openxmlformats.org/spreadsheetml/2006/main" id="5" name="TableMajors" displayName="TableMajors" ref="A27:F31" totalsRowShown="0" headerRowDxfId="473" dataDxfId="472">
  <autoFilter ref="A27:F31"/>
  <tableColumns count="6">
    <tableColumn id="1" name="Choose your Major (drop-down list)" dataDxfId="471"/>
    <tableColumn id="2" name="UDC" dataDxfId="470"/>
    <tableColumn id="3" name="Version" dataDxfId="469"/>
    <tableColumn id="4" name="Credit Points" dataDxfId="468"/>
    <tableColumn id="5" name="Effective Date" dataDxfId="467"/>
    <tableColumn id="6" name="Akari Update" dataDxfId="466"/>
  </tableColumns>
  <tableStyleInfo name="TableStyleLight8" showFirstColumn="0" showLastColumn="0" showRowStripes="1" showColumnStripes="0"/>
</table>
</file>

<file path=xl/tables/table20.xml><?xml version="1.0" encoding="utf-8"?>
<table xmlns="http://schemas.openxmlformats.org/spreadsheetml/2006/main" id="24" name="TableGDNETSCM" displayName="TableGDNETSCM" ref="A261:O276" totalsRowShown="0">
  <autoFilter ref="A261:O276"/>
  <sortState ref="A234:R241">
    <sortCondition ref="N11:N19"/>
  </sortState>
  <tableColumns count="15">
    <tableColumn id="15" name="UDC" dataDxfId="66">
      <calculatedColumnFormula>TableGDNETSCM[[#This Row],[Study Package Code]]</calculatedColumnFormula>
    </tableColumn>
    <tableColumn id="16" name="Version" dataDxfId="65">
      <calculatedColumnFormula>TableGDNETSCM[[#This Row],[Ver]]</calculatedColumnFormula>
    </tableColumn>
    <tableColumn id="17" name="OUA Code"/>
    <tableColumn id="18" name="Unit Title" dataDxfId="64">
      <calculatedColumnFormula>TableGDNETSCM[[#This Row],[Structure Line]]</calculatedColumnFormula>
    </tableColumn>
    <tableColumn id="19" name="CPs" dataDxfId="63">
      <calculatedColumnFormula>TableGDNETSCM[[#This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62"/>
    <tableColumn id="10" name="Discont." dataDxfId="61"/>
  </tableColumns>
  <tableStyleInfo name="TableStyleLight1" showFirstColumn="0" showLastColumn="0" showRowStripes="1" showColumnStripes="0"/>
</table>
</file>

<file path=xl/tables/table21.xml><?xml version="1.0" encoding="utf-8"?>
<table xmlns="http://schemas.openxmlformats.org/spreadsheetml/2006/main" id="25" name="TableGCNETSCM" displayName="TableGCNETSCM" ref="A278:O292" totalsRowShown="0">
  <autoFilter ref="A278:O292"/>
  <sortState ref="A244:R251">
    <sortCondition ref="N11:N19"/>
  </sortState>
  <tableColumns count="15">
    <tableColumn id="15" name="UDC" dataDxfId="60">
      <calculatedColumnFormula>TableGCNETSCM[[#This Row],[Study Package Code]]</calculatedColumnFormula>
    </tableColumn>
    <tableColumn id="16" name="Version" dataDxfId="59">
      <calculatedColumnFormula>TableGCNETSCM[[#This Row],[Ver]]</calculatedColumnFormula>
    </tableColumn>
    <tableColumn id="17" name="OUA Code"/>
    <tableColumn id="18" name="Unit Title" dataDxfId="58">
      <calculatedColumnFormula>TableGCNETSCM[[#This Row],[Structure Line]]</calculatedColumnFormula>
    </tableColumn>
    <tableColumn id="19" name="CPs" dataDxfId="57">
      <calculatedColumnFormula>TableGCNETSCM[[#This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56"/>
    <tableColumn id="10" name="Discont." dataDxfId="55"/>
  </tableColumns>
  <tableStyleInfo name="TableStyleLight1" showFirstColumn="0" showLastColumn="0" showRowStripes="1" showColumnStripes="0"/>
</table>
</file>

<file path=xl/tables/table22.xml><?xml version="1.0" encoding="utf-8"?>
<table xmlns="http://schemas.openxmlformats.org/spreadsheetml/2006/main" id="26" name="TableMCINTRNS" displayName="TableMCINTRNS" ref="A295:O322" totalsRowShown="0">
  <autoFilter ref="A295:O322"/>
  <sortState ref="A276:R283">
    <sortCondition ref="N11:N19"/>
  </sortState>
  <tableColumns count="15">
    <tableColumn id="15" name="UDC" dataDxfId="54">
      <calculatedColumnFormula>TableMCINTRNS[[#This Row],[Study Package Code]]</calculatedColumnFormula>
    </tableColumn>
    <tableColumn id="16" name="Version" dataDxfId="53">
      <calculatedColumnFormula>TableMCINTRNS[[#This Row],[Ver]]</calculatedColumnFormula>
    </tableColumn>
    <tableColumn id="17" name="OUA Code"/>
    <tableColumn id="18" name="Unit Title" dataDxfId="52">
      <calculatedColumnFormula>TableMCINTRNS[[#This Row],[Structure Line]]</calculatedColumnFormula>
    </tableColumn>
    <tableColumn id="19" name="CPs" dataDxfId="51">
      <calculatedColumnFormula>TableMCINTRNS[[#This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50"/>
    <tableColumn id="10" name="Discont." dataDxfId="49"/>
  </tableColumns>
  <tableStyleInfo name="TableStyleLight1" showFirstColumn="0" showLastColumn="0" showRowStripes="1" showColumnStripes="0"/>
</table>
</file>

<file path=xl/tables/table23.xml><?xml version="1.0" encoding="utf-8"?>
<table xmlns="http://schemas.openxmlformats.org/spreadsheetml/2006/main" id="27" name="TableGDINTRNS" displayName="TableGDINTRNS" ref="A324:O338" totalsRowShown="0">
  <autoFilter ref="A324:O338"/>
  <sortState ref="A296:R303">
    <sortCondition ref="N11:N19"/>
  </sortState>
  <tableColumns count="15">
    <tableColumn id="15" name="UDC" dataDxfId="48">
      <calculatedColumnFormula>TableGDINTRNS[[#This Row],[Study Package Code]]</calculatedColumnFormula>
    </tableColumn>
    <tableColumn id="16" name="Version" dataDxfId="47">
      <calculatedColumnFormula>TableGDINTRNS[[#This Row],[Ver]]</calculatedColumnFormula>
    </tableColumn>
    <tableColumn id="17" name="OUA Code"/>
    <tableColumn id="18" name="Unit Title" dataDxfId="46">
      <calculatedColumnFormula>TableGDINTRNS[[#This Row],[Structure Line]]</calculatedColumnFormula>
    </tableColumn>
    <tableColumn id="19" name="CPs" dataDxfId="45">
      <calculatedColumnFormula>TableGDINTRNS[[#This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44"/>
    <tableColumn id="10" name="Discont." dataDxfId="43"/>
  </tableColumns>
  <tableStyleInfo name="TableStyleLight1" showFirstColumn="0" showLastColumn="0" showRowStripes="1" showColumnStripes="0"/>
</table>
</file>

<file path=xl/tables/table24.xml><?xml version="1.0" encoding="utf-8"?>
<table xmlns="http://schemas.openxmlformats.org/spreadsheetml/2006/main" id="28" name="TableGCINTRNS" displayName="TableGCINTRNS" ref="A340:O354" totalsRowShown="0">
  <autoFilter ref="A340:O354"/>
  <sortState ref="A313:R320">
    <sortCondition ref="N11:N19"/>
  </sortState>
  <tableColumns count="15">
    <tableColumn id="15" name="UDC" dataDxfId="42">
      <calculatedColumnFormula>TableGCINTRNS[[#This Row],[Study Package Code]]</calculatedColumnFormula>
    </tableColumn>
    <tableColumn id="16" name="Version" dataDxfId="41">
      <calculatedColumnFormula>TableGCINTRNS[[#This Row],[Ver]]</calculatedColumnFormula>
    </tableColumn>
    <tableColumn id="17" name="OUA Code"/>
    <tableColumn id="18" name="Unit Title" dataDxfId="40">
      <calculatedColumnFormula>TableGCINTRNS[[#This Row],[Structure Line]]</calculatedColumnFormula>
    </tableColumn>
    <tableColumn id="19" name="CPs" dataDxfId="39">
      <calculatedColumnFormula>TableGCINTRNS[[#This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38"/>
    <tableColumn id="10" name="Discont."/>
  </tableColumns>
  <tableStyleInfo name="TableStyleLight1" showFirstColumn="0" showLastColumn="0" showRowStripes="1" showColumnStripes="0"/>
</table>
</file>

<file path=xl/tables/table25.xml><?xml version="1.0" encoding="utf-8"?>
<table xmlns="http://schemas.openxmlformats.org/spreadsheetml/2006/main" id="20" name="Table1516" displayName="Table1516" ref="Q3:R8" totalsRowShown="0">
  <autoFilter ref="Q3:R8"/>
  <tableColumns count="2">
    <tableColumn id="5" name="SPK"/>
    <tableColumn id="6" name="Ver"/>
  </tableColumns>
  <tableStyleInfo name="TableStyleLight4" showFirstColumn="0" showLastColumn="0" showRowStripes="1" showColumnStripes="0"/>
</table>
</file>

<file path=xl/tables/table26.xml><?xml version="1.0" encoding="utf-8"?>
<table xmlns="http://schemas.openxmlformats.org/spreadsheetml/2006/main" id="21" name="Table151622" displayName="Table151622" ref="Q10:R41" totalsRowShown="0">
  <autoFilter ref="Q10:R41"/>
  <tableColumns count="2">
    <tableColumn id="5" name="SPK"/>
    <tableColumn id="6" name="Ver"/>
  </tableColumns>
  <tableStyleInfo name="TableStyleLight4" showFirstColumn="0" showLastColumn="0" showRowStripes="1" showColumnStripes="0"/>
</table>
</file>

<file path=xl/tables/table27.xml><?xml version="1.0" encoding="utf-8"?>
<table xmlns="http://schemas.openxmlformats.org/spreadsheetml/2006/main" id="22" name="Table151623" displayName="Table151623" ref="Q43:R67" totalsRowShown="0">
  <autoFilter ref="Q43:R67"/>
  <tableColumns count="2">
    <tableColumn id="5" name="SPK"/>
    <tableColumn id="6" name="Ver"/>
  </tableColumns>
  <tableStyleInfo name="TableStyleLight4" showFirstColumn="0" showLastColumn="0" showRowStripes="1" showColumnStripes="0"/>
</table>
</file>

<file path=xl/tables/table28.xml><?xml version="1.0" encoding="utf-8"?>
<table xmlns="http://schemas.openxmlformats.org/spreadsheetml/2006/main" id="29" name="Table151630" displayName="Table151630" ref="Q69:R97" totalsRowShown="0">
  <autoFilter ref="Q69:R97"/>
  <tableColumns count="2">
    <tableColumn id="5" name="SPK"/>
    <tableColumn id="6" name="Ver"/>
  </tableColumns>
  <tableStyleInfo name="TableStyleLight4" showFirstColumn="0" showLastColumn="0" showRowStripes="1" showColumnStripes="0"/>
</table>
</file>

<file path=xl/tables/table29.xml><?xml version="1.0" encoding="utf-8"?>
<table xmlns="http://schemas.openxmlformats.org/spreadsheetml/2006/main" id="30" name="Table15163031" displayName="Table15163031" ref="Q99:R123" totalsRowShown="0">
  <autoFilter ref="Q99:R123"/>
  <tableColumns count="2">
    <tableColumn id="5" name="SPK"/>
    <tableColumn id="6" name="Ver"/>
  </tableColumns>
  <tableStyleInfo name="TableStyleLight4" showFirstColumn="0" showLastColumn="0" showRowStripes="1" showColumnStripes="0"/>
</table>
</file>

<file path=xl/tables/table3.xml><?xml version="1.0" encoding="utf-8"?>
<table xmlns="http://schemas.openxmlformats.org/spreadsheetml/2006/main" id="4" name="TableStudyPeriods" displayName="TableStudyPeriods" ref="A41:C43" totalsRowShown="0">
  <autoFilter ref="A41:C43"/>
  <tableColumns count="3">
    <tableColumn id="1" name="Choose your commencing study period (drop-down list)"/>
    <tableColumn id="2" name="START" dataDxfId="465"/>
    <tableColumn id="3" name="Next" dataDxfId="464"/>
  </tableColumns>
  <tableStyleInfo name="TableStyleLight8" showFirstColumn="0" showLastColumn="0" showRowStripes="1" showColumnStripes="0"/>
</table>
</file>

<file path=xl/tables/table30.xml><?xml version="1.0" encoding="utf-8"?>
<table xmlns="http://schemas.openxmlformats.org/spreadsheetml/2006/main" id="31" name="Table151632" displayName="Table151632" ref="Q126:R149" totalsRowShown="0">
  <autoFilter ref="Q126:R149"/>
  <tableColumns count="2">
    <tableColumn id="5" name="SPK"/>
    <tableColumn id="6" name="Ver"/>
  </tableColumns>
  <tableStyleInfo name="TableStyleLight4" showFirstColumn="0" showLastColumn="0" showRowStripes="1" showColumnStripes="0"/>
</table>
</file>

<file path=xl/tables/table31.xml><?xml version="1.0" encoding="utf-8"?>
<table xmlns="http://schemas.openxmlformats.org/spreadsheetml/2006/main" id="32" name="Table15163233" displayName="Table15163233" ref="Q151:R168" totalsRowShown="0">
  <autoFilter ref="Q151:R168"/>
  <tableColumns count="2">
    <tableColumn id="5" name="SPK"/>
    <tableColumn id="6" name="Ver"/>
  </tableColumns>
  <tableStyleInfo name="TableStyleLight4" showFirstColumn="0" showLastColumn="0" showRowStripes="1" showColumnStripes="0"/>
</table>
</file>

<file path=xl/tables/table32.xml><?xml version="1.0" encoding="utf-8"?>
<table xmlns="http://schemas.openxmlformats.org/spreadsheetml/2006/main" id="33" name="Table1516323334" displayName="Table1516323334" ref="Q170:R178" totalsRowShown="0">
  <autoFilter ref="Q170:R178"/>
  <tableColumns count="2">
    <tableColumn id="5" name="SPK"/>
    <tableColumn id="6" name="Ver"/>
  </tableColumns>
  <tableStyleInfo name="TableStyleLight4" showFirstColumn="0" showLastColumn="0" showRowStripes="1" showColumnStripes="0"/>
</table>
</file>

<file path=xl/tables/table33.xml><?xml version="1.0" encoding="utf-8"?>
<table xmlns="http://schemas.openxmlformats.org/spreadsheetml/2006/main" id="34" name="Table151632333435" displayName="Table151632333435" ref="Q180:R184" totalsRowShown="0">
  <autoFilter ref="Q180:R184"/>
  <tableColumns count="2">
    <tableColumn id="5" name="SPK"/>
    <tableColumn id="6" name="Ver"/>
  </tableColumns>
  <tableStyleInfo name="TableStyleLight4" showFirstColumn="0" showLastColumn="0" showRowStripes="1" showColumnStripes="0"/>
</table>
</file>

<file path=xl/tables/table34.xml><?xml version="1.0" encoding="utf-8"?>
<table xmlns="http://schemas.openxmlformats.org/spreadsheetml/2006/main" id="35" name="Table15163233343536" displayName="Table15163233343536" ref="Q187:R204" totalsRowShown="0">
  <autoFilter ref="Q187:R204"/>
  <tableColumns count="2">
    <tableColumn id="5" name="SPK"/>
    <tableColumn id="6" name="Ver"/>
  </tableColumns>
  <tableStyleInfo name="TableStyleLight4" showFirstColumn="0" showLastColumn="0" showRowStripes="1" showColumnStripes="0"/>
</table>
</file>

<file path=xl/tables/table35.xml><?xml version="1.0" encoding="utf-8"?>
<table xmlns="http://schemas.openxmlformats.org/spreadsheetml/2006/main" id="39" name="Table15163233343540" displayName="Table15163233343540" ref="Q206:R219" totalsRowShown="0">
  <autoFilter ref="Q206:R219"/>
  <tableColumns count="2">
    <tableColumn id="5" name="SPK"/>
    <tableColumn id="6" name="Ver"/>
  </tableColumns>
  <tableStyleInfo name="TableStyleLight4" showFirstColumn="0" showLastColumn="0" showRowStripes="1" showColumnStripes="0"/>
</table>
</file>

<file path=xl/tables/table36.xml><?xml version="1.0" encoding="utf-8"?>
<table xmlns="http://schemas.openxmlformats.org/spreadsheetml/2006/main" id="40" name="Table1516323334354041" displayName="Table1516323334354041" ref="Q221:R229" totalsRowShown="0">
  <autoFilter ref="Q221:R229"/>
  <tableColumns count="2">
    <tableColumn id="5" name="SPK"/>
    <tableColumn id="6" name="Ver"/>
  </tableColumns>
  <tableStyleInfo name="TableStyleLight4" showFirstColumn="0" showLastColumn="0" showRowStripes="1" showColumnStripes="0"/>
</table>
</file>

<file path=xl/tables/table37.xml><?xml version="1.0" encoding="utf-8"?>
<table xmlns="http://schemas.openxmlformats.org/spreadsheetml/2006/main" id="41" name="Table151632333435404142" displayName="Table151632333435404142" ref="Q231:R238" totalsRowShown="0">
  <autoFilter ref="Q231:R238"/>
  <tableColumns count="2">
    <tableColumn id="5" name="SPK"/>
    <tableColumn id="6" name="Ver"/>
  </tableColumns>
  <tableStyleInfo name="TableStyleLight4" showFirstColumn="0" showLastColumn="0" showRowStripes="1" showColumnStripes="0"/>
</table>
</file>

<file path=xl/tables/table38.xml><?xml version="1.0" encoding="utf-8"?>
<table xmlns="http://schemas.openxmlformats.org/spreadsheetml/2006/main" id="36" name="Table15163233343540414237" displayName="Table15163233343540414237" ref="Q241:R259" totalsRowShown="0">
  <autoFilter ref="Q241:R259"/>
  <tableColumns count="2">
    <tableColumn id="5" name="SPK"/>
    <tableColumn id="6" name="Ver"/>
  </tableColumns>
  <tableStyleInfo name="TableStyleLight4" showFirstColumn="0" showLastColumn="0" showRowStripes="1" showColumnStripes="0"/>
</table>
</file>

<file path=xl/tables/table39.xml><?xml version="1.0" encoding="utf-8"?>
<table xmlns="http://schemas.openxmlformats.org/spreadsheetml/2006/main" id="37" name="Table1516323334354041423738" displayName="Table1516323334354041423738" ref="Q261:R276" totalsRowShown="0">
  <autoFilter ref="Q261:R276"/>
  <tableColumns count="2">
    <tableColumn id="5" name="SPK"/>
    <tableColumn id="6" name="Ver"/>
  </tableColumns>
  <tableStyleInfo name="TableStyleLight4" showFirstColumn="0" showLastColumn="0" showRowStripes="1" showColumnStripes="0"/>
</table>
</file>

<file path=xl/tables/table4.xml><?xml version="1.0" encoding="utf-8"?>
<table xmlns="http://schemas.openxmlformats.org/spreadsheetml/2006/main" id="59" name="TableStreamsGLOBL" displayName="TableStreamsGLOBL" ref="A34:F37" totalsRowShown="0" headerRowDxfId="463" dataDxfId="462">
  <autoFilter ref="A34:F37"/>
  <tableColumns count="6">
    <tableColumn id="1" name="Choose your Global Engagement Stream (drop-down list)" dataDxfId="461"/>
    <tableColumn id="2" name="UDC" dataDxfId="460"/>
    <tableColumn id="3" name="Version" dataDxfId="459"/>
    <tableColumn id="4" name="Credit Points" dataDxfId="458"/>
    <tableColumn id="5" name="Effective Date" dataDxfId="457"/>
    <tableColumn id="6" name="Akari Update" dataDxfId="456"/>
  </tableColumns>
  <tableStyleInfo name="TableStyleLight8" showFirstColumn="0" showLastColumn="0" showRowStripes="1" showColumnStripes="0"/>
</table>
</file>

<file path=xl/tables/table40.xml><?xml version="1.0" encoding="utf-8"?>
<table xmlns="http://schemas.openxmlformats.org/spreadsheetml/2006/main" id="38" name="Table151632333435404142373839" displayName="Table151632333435404142373839" ref="Q278:R292" totalsRowShown="0">
  <autoFilter ref="Q278:R292"/>
  <tableColumns count="2">
    <tableColumn id="5" name="SPK"/>
    <tableColumn id="6" name="Ver"/>
  </tableColumns>
  <tableStyleInfo name="TableStyleLight4" showFirstColumn="0" showLastColumn="0" showRowStripes="1" showColumnStripes="0"/>
</table>
</file>

<file path=xl/tables/table41.xml><?xml version="1.0" encoding="utf-8"?>
<table xmlns="http://schemas.openxmlformats.org/spreadsheetml/2006/main" id="42" name="Table15163233343540414237383943" displayName="Table15163233343540414237383943" ref="Q295:R322" totalsRowShown="0">
  <autoFilter ref="Q295:R322"/>
  <tableColumns count="2">
    <tableColumn id="5" name="SPK"/>
    <tableColumn id="6" name="Ver"/>
  </tableColumns>
  <tableStyleInfo name="TableStyleLight4" showFirstColumn="0" showLastColumn="0" showRowStripes="1" showColumnStripes="0"/>
</table>
</file>

<file path=xl/tables/table42.xml><?xml version="1.0" encoding="utf-8"?>
<table xmlns="http://schemas.openxmlformats.org/spreadsheetml/2006/main" id="43" name="Table1516323334354041423738394344" displayName="Table1516323334354041423738394344" ref="Q324:R338" totalsRowShown="0">
  <autoFilter ref="Q324:R338"/>
  <tableColumns count="2">
    <tableColumn id="5" name="SPK"/>
    <tableColumn id="6" name="Ver"/>
  </tableColumns>
  <tableStyleInfo name="TableStyleLight4" showFirstColumn="0" showLastColumn="0" showRowStripes="1" showColumnStripes="0"/>
</table>
</file>

<file path=xl/tables/table43.xml><?xml version="1.0" encoding="utf-8"?>
<table xmlns="http://schemas.openxmlformats.org/spreadsheetml/2006/main" id="44" name="Table151632333435404142373839434445" displayName="Table151632333435404142373839434445" ref="Q340:R354" totalsRowShown="0">
  <autoFilter ref="Q340:R354"/>
  <tableColumns count="2">
    <tableColumn id="5" name="SPK"/>
    <tableColumn id="6" name="Ver"/>
  </tableColumns>
  <tableStyleInfo name="TableStyleLight4" showFirstColumn="0" showLastColumn="0" showRowStripes="1" showColumnStripes="0"/>
</table>
</file>

<file path=xl/tables/table44.xml><?xml version="1.0" encoding="utf-8"?>
<table xmlns="http://schemas.openxmlformats.org/spreadsheetml/2006/main" id="46" name="TableGCGLOBL" displayName="TableGCGLOBL" ref="A357:O361" totalsRowShown="0">
  <autoFilter ref="A357:O361"/>
  <sortState ref="A358:R365">
    <sortCondition ref="N11:N19"/>
  </sortState>
  <tableColumns count="15">
    <tableColumn id="15" name="UDC" dataDxfId="37">
      <calculatedColumnFormula>TableGCGLOBL[[#This Row],[Study Package Code]]</calculatedColumnFormula>
    </tableColumn>
    <tableColumn id="16" name="Version" dataDxfId="36">
      <calculatedColumnFormula>TableGCGLOBL[[#This Row],[Ver]]</calculatedColumnFormula>
    </tableColumn>
    <tableColumn id="17" name="OUA Code"/>
    <tableColumn id="18" name="Unit Title" dataDxfId="35">
      <calculatedColumnFormula>TableGCGLOBL[[#This Row],[Structure Line]]</calculatedColumnFormula>
    </tableColumn>
    <tableColumn id="19" name="CPs" dataDxfId="34">
      <calculatedColumnFormula>TableGCGLOBL[[#This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33"/>
    <tableColumn id="10" name="Discont."/>
  </tableColumns>
  <tableStyleInfo name="TableStyleLight1" showFirstColumn="0" showLastColumn="0" showRowStripes="1" showColumnStripes="0"/>
</table>
</file>

<file path=xl/tables/table45.xml><?xml version="1.0" encoding="utf-8"?>
<table xmlns="http://schemas.openxmlformats.org/spreadsheetml/2006/main" id="47" name="Table15163233343540414237383943444548" displayName="Table15163233343540414237383943444548" ref="Q357:R361" totalsRowShown="0">
  <autoFilter ref="Q357:R361"/>
  <tableColumns count="2">
    <tableColumn id="5" name="SPK"/>
    <tableColumn id="6" name="Ver"/>
  </tableColumns>
  <tableStyleInfo name="TableStyleLight4" showFirstColumn="0" showLastColumn="0" showRowStripes="1" showColumnStripes="0"/>
</table>
</file>

<file path=xl/tables/table46.xml><?xml version="1.0" encoding="utf-8"?>
<table xmlns="http://schemas.openxmlformats.org/spreadsheetml/2006/main" id="48" name="TableMCGLOBL" displayName="TableMCGLOBL" ref="A363:O374" totalsRowShown="0">
  <autoFilter ref="A363:O374"/>
  <sortState ref="A364:R371">
    <sortCondition ref="N11:N19"/>
  </sortState>
  <tableColumns count="15">
    <tableColumn id="15" name="UDC" dataDxfId="32">
      <calculatedColumnFormula>TableMCGLOBL[[#This Row],[Study Package Code]]</calculatedColumnFormula>
    </tableColumn>
    <tableColumn id="16" name="Version" dataDxfId="31">
      <calculatedColumnFormula>TableMCGLOBL[[#This Row],[Ver]]</calculatedColumnFormula>
    </tableColumn>
    <tableColumn id="17" name="OUA Code"/>
    <tableColumn id="18" name="Unit Title" dataDxfId="30">
      <calculatedColumnFormula>TableMCGLOBL[[#This Row],[Structure Line]]</calculatedColumnFormula>
    </tableColumn>
    <tableColumn id="19" name="CPs" dataDxfId="29">
      <calculatedColumnFormula>TableMCGLOBL[[#This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28"/>
    <tableColumn id="10" name="Discont." dataDxfId="27"/>
  </tableColumns>
  <tableStyleInfo name="TableStyleLight1" showFirstColumn="0" showLastColumn="0" showRowStripes="1" showColumnStripes="0"/>
</table>
</file>

<file path=xl/tables/table47.xml><?xml version="1.0" encoding="utf-8"?>
<table xmlns="http://schemas.openxmlformats.org/spreadsheetml/2006/main" id="49" name="Table1516323334354041423738394344454850" displayName="Table1516323334354041423738394344454850" ref="Q363:R374" totalsRowShown="0">
  <autoFilter ref="Q363:R374"/>
  <tableColumns count="2">
    <tableColumn id="5" name="SPK"/>
    <tableColumn id="6" name="Ver"/>
  </tableColumns>
  <tableStyleInfo name="TableStyleLight4" showFirstColumn="0" showLastColumn="0" showRowStripes="1" showColumnStripes="0"/>
</table>
</file>

<file path=xl/tables/table48.xml><?xml version="1.0" encoding="utf-8"?>
<table xmlns="http://schemas.openxmlformats.org/spreadsheetml/2006/main" id="50" name="TableSTRPGLOBL" displayName="TableSTRPGLOBL" ref="A376:O380" totalsRowShown="0">
  <autoFilter ref="A376:O380"/>
  <sortState ref="A377:R384">
    <sortCondition ref="N11:N19"/>
  </sortState>
  <tableColumns count="15">
    <tableColumn id="15" name="UDC" dataDxfId="26">
      <calculatedColumnFormula>TableSTRPGLOBL[[#This Row],[Study Package Code]]</calculatedColumnFormula>
    </tableColumn>
    <tableColumn id="16" name="Version" dataDxfId="25">
      <calculatedColumnFormula>TableSTRPGLOBL[[#This Row],[Ver]]</calculatedColumnFormula>
    </tableColumn>
    <tableColumn id="17" name="OUA Code"/>
    <tableColumn id="18" name="Unit Title" dataDxfId="24">
      <calculatedColumnFormula>TableSTRPGLOBL[[#This Row],[Structure Line]]</calculatedColumnFormula>
    </tableColumn>
    <tableColumn id="19" name="CPs" dataDxfId="23">
      <calculatedColumnFormula>TableSTRPGLOBL[[#This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22"/>
    <tableColumn id="10" name="Discont."/>
  </tableColumns>
  <tableStyleInfo name="TableStyleLight1" showFirstColumn="0" showLastColumn="0" showRowStripes="1" showColumnStripes="0"/>
</table>
</file>

<file path=xl/tables/table49.xml><?xml version="1.0" encoding="utf-8"?>
<table xmlns="http://schemas.openxmlformats.org/spreadsheetml/2006/main" id="51" name="Table1516323334354041423738394344454852" displayName="Table1516323334354041423738394344454852" ref="Q376:R380" totalsRowShown="0">
  <autoFilter ref="Q376:R380"/>
  <tableColumns count="2">
    <tableColumn id="5" name="SPK"/>
    <tableColumn id="6" name="Ver"/>
  </tableColumns>
  <tableStyleInfo name="TableStyleLight4" showFirstColumn="0" showLastColumn="0" showRowStripes="1" showColumnStripes="0"/>
</table>
</file>

<file path=xl/tables/table5.xml><?xml version="1.0" encoding="utf-8"?>
<table xmlns="http://schemas.openxmlformats.org/spreadsheetml/2006/main" id="2" name="TableHandbook" displayName="TableHandbook" ref="A3:AJ182" totalsRowShown="0" headerRowDxfId="434" dataDxfId="432" headerRowBorderDxfId="433" tableBorderDxfId="431">
  <autoFilter ref="A3:AJ182"/>
  <sortState ref="A4:AJ182">
    <sortCondition ref="A3:A182"/>
  </sortState>
  <tableColumns count="36">
    <tableColumn id="1" name="UDC" dataDxfId="430"/>
    <tableColumn id="2" name="Ver" dataDxfId="429"/>
    <tableColumn id="3" name="OUA Cd" dataDxfId="428"/>
    <tableColumn id="4" name="Title" dataDxfId="427"/>
    <tableColumn id="5" name="Credits" dataDxfId="426"/>
    <tableColumn id="6" name="Pre-reqs" dataDxfId="425"/>
    <tableColumn id="12" name="S1INT" dataDxfId="424">
      <calculatedColumnFormula>IFERROR(IF(VLOOKUP(TableHandbook[[#This Row],[UDC]],TableAvailabilities[],2,FALSE)&gt;0,"Y",""),"")</calculatedColumnFormula>
    </tableColumn>
    <tableColumn id="13" name="S1FO" dataDxfId="423">
      <calculatedColumnFormula>IFERROR(IF(VLOOKUP(TableHandbook[[#This Row],[UDC]],TableAvailabilities[],3,FALSE)&gt;0,"Y",""),"")</calculatedColumnFormula>
    </tableColumn>
    <tableColumn id="14" name="S2INT" dataDxfId="422">
      <calculatedColumnFormula>IFERROR(IF(VLOOKUP(TableHandbook[[#This Row],[UDC]],TableAvailabilities[],4,FALSE)&gt;0,"Y",""),"")</calculatedColumnFormula>
    </tableColumn>
    <tableColumn id="15" name="S2FO" dataDxfId="421">
      <calculatedColumnFormula>IFERROR(IF(VLOOKUP(TableHandbook[[#This Row],[UDC]],TableAvailabilities[],5,FALSE)&gt;0,"Y",""),"")</calculatedColumnFormula>
    </tableColumn>
    <tableColumn id="16" name="Notes" dataDxfId="420"/>
    <tableColumn id="8" name="MC-ARTS" dataDxfId="419">
      <calculatedColumnFormula>IFERROR(VLOOKUP(TableHandbook[[#This Row],[UDC]],TableMCARTS[],7,FALSE),"")</calculatedColumnFormula>
    </tableColumn>
    <tableColumn id="9" name="MJRP-CWRIT" dataDxfId="418">
      <calculatedColumnFormula>IFERROR(VLOOKUP(TableHandbook[[#This Row],[UDC]],TableMJRPCWRIT[],7,FALSE),"")</calculatedColumnFormula>
    </tableColumn>
    <tableColumn id="10" name="MJRP-FINAR" dataDxfId="417">
      <calculatedColumnFormula>IFERROR(VLOOKUP(TableHandbook[[#This Row],[UDC]],TableMJRPFINAR[],7,FALSE),"")</calculatedColumnFormula>
    </tableColumn>
    <tableColumn id="20" name="MJRP-PWRIT" dataDxfId="416">
      <calculatedColumnFormula>IFERROR(VLOOKUP(TableHandbook[[#This Row],[UDC]],TableMJRPPWRIT[],7,FALSE),"")</calculatedColumnFormula>
    </tableColumn>
    <tableColumn id="21" name="MJRP-SCRAR" dataDxfId="415">
      <calculatedColumnFormula>IFERROR(VLOOKUP(TableHandbook[[#This Row],[UDC]],TableMJRPSCRAR[],7,FALSE),"")</calculatedColumnFormula>
    </tableColumn>
    <tableColumn id="7" name="MC-MMJRG" dataDxfId="414">
      <calculatedColumnFormula>IFERROR(VLOOKUP(TableHandbook[[#This Row],[UDC]],TableMCMMJRG[],7,FALSE),"")</calculatedColumnFormula>
    </tableColumn>
    <tableColumn id="11" name="MC-MMJRN" dataDxfId="413">
      <calculatedColumnFormula>IFERROR(VLOOKUP(TableHandbook[[#This Row],[UDC]],TableMCMMJRN[],7,FALSE),"")</calculatedColumnFormula>
    </tableColumn>
    <tableColumn id="17" name="GD-MMJRN" dataDxfId="412">
      <calculatedColumnFormula>IFERROR(VLOOKUP(TableHandbook[[#This Row],[UDC]],TableGDMMJRN[],7,FALSE),"")</calculatedColumnFormula>
    </tableColumn>
    <tableColumn id="18" name="GC-MMJRN" dataDxfId="411">
      <calculatedColumnFormula>IFERROR(VLOOKUP(TableHandbook[[#This Row],[UDC]],TableGCMMJRN[],7,FALSE),"")</calculatedColumnFormula>
    </tableColumn>
    <tableColumn id="19" name="MC-HRIGLO" dataDxfId="410">
      <calculatedColumnFormula>IFERROR(VLOOKUP(TableHandbook[[#This Row],[UDC]],TableMCHRIGLO[],7,FALSE),"")</calculatedColumnFormula>
    </tableColumn>
    <tableColumn id="22" name="MC-HRIGHT" dataDxfId="409">
      <calculatedColumnFormula>IFERROR(VLOOKUP(TableHandbook[[#This Row],[UDC]],TableMCHRIGHT[],7,FALSE),"")</calculatedColumnFormula>
    </tableColumn>
    <tableColumn id="23" name="GD-HRIGHT" dataDxfId="408">
      <calculatedColumnFormula>IFERROR(VLOOKUP(TableHandbook[[#This Row],[UDC]],TableGDHRIGHT[],7,FALSE),"")</calculatedColumnFormula>
    </tableColumn>
    <tableColumn id="24" name="GC-HRIGHT" dataDxfId="407">
      <calculatedColumnFormula>IFERROR(VLOOKUP(TableHandbook[[#This Row],[UDC]],TableGCHRIGHT[],7,FALSE),"")</calculatedColumnFormula>
    </tableColumn>
    <tableColumn id="31" name="MC-GLOBL2" dataDxfId="406">
      <calculatedColumnFormula>IFERROR(VLOOKUP(TableHandbook[[#This Row],[UDC]],TableMCGLOBL2[],7,FALSE),"")</calculatedColumnFormula>
    </tableColumn>
    <tableColumn id="32" name="MC-GLOBL" dataDxfId="405">
      <calculatedColumnFormula>IFERROR(VLOOKUP(TableHandbook[[#This Row],[UDC]],TableMCGLOBL[],7,FALSE),"")</calculatedColumnFormula>
    </tableColumn>
    <tableColumn id="34" name="STRP-GLOBL" dataDxfId="404">
      <calculatedColumnFormula>IFERROR(VLOOKUP(TableHandbook[[#This Row],[UDC]],TableSTRPGLOBL[],7,FALSE),"")</calculatedColumnFormula>
    </tableColumn>
    <tableColumn id="35" name="STRP-HRIGT" dataDxfId="403">
      <calculatedColumnFormula>IFERROR(VLOOKUP(TableHandbook[[#This Row],[UDC]],TableSTRPHRIGT[],7,FALSE),"")</calculatedColumnFormula>
    </tableColumn>
    <tableColumn id="36" name="STRP-INTRN" dataDxfId="402">
      <calculatedColumnFormula>IFERROR(VLOOKUP(TableHandbook[[#This Row],[UDC]],TableSTRPINTRN[],7,FALSE),"")</calculatedColumnFormula>
    </tableColumn>
    <tableColumn id="33" name="GC-GLOBL" dataDxfId="401">
      <calculatedColumnFormula>IFERROR(VLOOKUP(TableHandbook[[#This Row],[UDC]],TableGCGLOBL[],7,FALSE),"")</calculatedColumnFormula>
    </tableColumn>
    <tableColumn id="25" name="MC-NETSCM" dataDxfId="400">
      <calculatedColumnFormula>IFERROR(VLOOKUP(TableHandbook[[#This Row],[UDC]],TableMCNETSCM[],7,FALSE),"")</calculatedColumnFormula>
    </tableColumn>
    <tableColumn id="26" name="GD-NETSCM" dataDxfId="399">
      <calculatedColumnFormula>IFERROR(VLOOKUP(TableHandbook[[#This Row],[UDC]],TableGDNETSCM[],7,FALSE),"")</calculatedColumnFormula>
    </tableColumn>
    <tableColumn id="27" name="GC-NETSCM" dataDxfId="398">
      <calculatedColumnFormula>IFERROR(VLOOKUP(TableHandbook[[#This Row],[UDC]],TableGCNETSCM[],7,FALSE),"")</calculatedColumnFormula>
    </tableColumn>
    <tableColumn id="28" name="MC-INTRNS" dataDxfId="397">
      <calculatedColumnFormula>IFERROR(VLOOKUP(TableHandbook[[#This Row],[UDC]],TableMCINTRNS[],7,FALSE),"")</calculatedColumnFormula>
    </tableColumn>
    <tableColumn id="29" name="GD-INTRNS" dataDxfId="396">
      <calculatedColumnFormula>IFERROR(VLOOKUP(TableHandbook[[#This Row],[UDC]],TableGDINTRNS[],7,FALSE),"")</calculatedColumnFormula>
    </tableColumn>
    <tableColumn id="30" name="GC-INTRNS" dataDxfId="395">
      <calculatedColumnFormula>IFERROR(VLOOKUP(TableHandbook[[#This Row],[UDC]],TableGCINTRNS[],7,FALSE),"")</calculatedColumnFormula>
    </tableColumn>
  </tableColumns>
  <tableStyleInfo name="TableStyleLight8" showFirstColumn="0" showLastColumn="0" showRowStripes="1" showColumnStripes="0"/>
</table>
</file>

<file path=xl/tables/table50.xml><?xml version="1.0" encoding="utf-8"?>
<table xmlns="http://schemas.openxmlformats.org/spreadsheetml/2006/main" id="52" name="TableSTRPHRIGT" displayName="TableSTRPHRIGT" ref="A382:O389" totalsRowShown="0">
  <autoFilter ref="A382:O389"/>
  <sortState ref="A383:R390">
    <sortCondition ref="N11:N19"/>
  </sortState>
  <tableColumns count="15">
    <tableColumn id="15" name="UDC" dataDxfId="21">
      <calculatedColumnFormula>TableSTRPHRIGT[[#This Row],[Study Package Code]]</calculatedColumnFormula>
    </tableColumn>
    <tableColumn id="16" name="Version" dataDxfId="20">
      <calculatedColumnFormula>TableSTRPHRIGT[[#This Row],[Ver]]</calculatedColumnFormula>
    </tableColumn>
    <tableColumn id="17" name="OUA Code"/>
    <tableColumn id="18" name="Unit Title" dataDxfId="19">
      <calculatedColumnFormula>TableSTRPHRIGT[[#This Row],[Structure Line]]</calculatedColumnFormula>
    </tableColumn>
    <tableColumn id="19" name="CPs" dataDxfId="18">
      <calculatedColumnFormula>TableSTRPHRIGT[[#This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7"/>
    <tableColumn id="10" name="Discont." dataDxfId="16"/>
  </tableColumns>
  <tableStyleInfo name="TableStyleLight1" showFirstColumn="0" showLastColumn="0" showRowStripes="1" showColumnStripes="0"/>
</table>
</file>

<file path=xl/tables/table51.xml><?xml version="1.0" encoding="utf-8"?>
<table xmlns="http://schemas.openxmlformats.org/spreadsheetml/2006/main" id="53" name="Table151632333435404142373839434445485054" displayName="Table151632333435404142373839434445485054" ref="Q382:R389" totalsRowShown="0">
  <autoFilter ref="Q382:R389"/>
  <tableColumns count="2">
    <tableColumn id="5" name="SPK"/>
    <tableColumn id="6" name="Ver"/>
  </tableColumns>
  <tableStyleInfo name="TableStyleLight4" showFirstColumn="0" showLastColumn="0" showRowStripes="1" showColumnStripes="0"/>
</table>
</file>

<file path=xl/tables/table52.xml><?xml version="1.0" encoding="utf-8"?>
<table xmlns="http://schemas.openxmlformats.org/spreadsheetml/2006/main" id="54" name="TableSTRPINTRN" displayName="TableSTRPINTRN" ref="A391:O405" totalsRowShown="0">
  <autoFilter ref="A391:O405"/>
  <sortState ref="A392:R399">
    <sortCondition ref="N11:N19"/>
  </sortState>
  <tableColumns count="15">
    <tableColumn id="15" name="UDC" dataDxfId="15">
      <calculatedColumnFormula>TableSTRPINTRN[[#This Row],[Study Package Code]]</calculatedColumnFormula>
    </tableColumn>
    <tableColumn id="16" name="Version" dataDxfId="14">
      <calculatedColumnFormula>TableSTRPINTRN[[#This Row],[Ver]]</calculatedColumnFormula>
    </tableColumn>
    <tableColumn id="17" name="OUA Code"/>
    <tableColumn id="18" name="Unit Title" dataDxfId="13">
      <calculatedColumnFormula>TableSTRPINTRN[[#This Row],[Structure Line]]</calculatedColumnFormula>
    </tableColumn>
    <tableColumn id="19" name="CPs" dataDxfId="12">
      <calculatedColumnFormula>TableSTRPINTRN[[#This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1"/>
    <tableColumn id="10" name="Discont." dataDxfId="10"/>
  </tableColumns>
  <tableStyleInfo name="TableStyleLight1" showFirstColumn="0" showLastColumn="0" showRowStripes="1" showColumnStripes="0"/>
</table>
</file>

<file path=xl/tables/table53.xml><?xml version="1.0" encoding="utf-8"?>
<table xmlns="http://schemas.openxmlformats.org/spreadsheetml/2006/main" id="55" name="Table15163233343540414237383943444548505456" displayName="Table15163233343540414237383943444548505456" ref="Q391:R405" totalsRowShown="0">
  <autoFilter ref="Q391:R405"/>
  <tableColumns count="2">
    <tableColumn id="5" name="SPK"/>
    <tableColumn id="6" name="Ver"/>
  </tableColumns>
  <tableStyleInfo name="TableStyleLight4" showFirstColumn="0" showLastColumn="0" showRowStripes="1" showColumnStripes="0"/>
</table>
</file>

<file path=xl/tables/table54.xml><?xml version="1.0" encoding="utf-8"?>
<table xmlns="http://schemas.openxmlformats.org/spreadsheetml/2006/main" id="56" name="TableMCGLOBL2" displayName="TableMCGLOBL2" ref="A407:O416" totalsRowShown="0">
  <autoFilter ref="A407:O416"/>
  <sortState ref="A408:R415">
    <sortCondition ref="N11:N19"/>
  </sortState>
  <tableColumns count="15">
    <tableColumn id="15" name="UDC" dataDxfId="9">
      <calculatedColumnFormula>TableMCGLOBL2[[#This Row],[Study Package Code]]</calculatedColumnFormula>
    </tableColumn>
    <tableColumn id="16" name="Version" dataDxfId="8">
      <calculatedColumnFormula>TableMCGLOBL2[[#This Row],[Ver]]</calculatedColumnFormula>
    </tableColumn>
    <tableColumn id="17" name="OUA Code"/>
    <tableColumn id="18" name="Unit Title" dataDxfId="7">
      <calculatedColumnFormula>TableMCGLOBL2[[#This Row],[Structure Line]]</calculatedColumnFormula>
    </tableColumn>
    <tableColumn id="19" name="CPs" dataDxfId="6">
      <calculatedColumnFormula>TableMCGLOBL2[[#This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5"/>
    <tableColumn id="10" name="Discont." dataDxfId="4"/>
  </tableColumns>
  <tableStyleInfo name="TableStyleLight1" showFirstColumn="0" showLastColumn="0" showRowStripes="1" showColumnStripes="0"/>
</table>
</file>

<file path=xl/tables/table55.xml><?xml version="1.0" encoding="utf-8"?>
<table xmlns="http://schemas.openxmlformats.org/spreadsheetml/2006/main" id="57" name="Table151632333435404142373839434445485058" displayName="Table151632333435404142373839434445485058" ref="Q407:R416" totalsRowShown="0">
  <autoFilter ref="Q407:R416"/>
  <tableColumns count="2">
    <tableColumn id="5" name="SPK"/>
    <tableColumn id="6" name="Ver"/>
  </tableColumns>
  <tableStyleInfo name="TableStyleLight4" showFirstColumn="0" showLastColumn="0" showRowStripes="1" showColumnStripes="0"/>
</table>
</file>

<file path=xl/tables/table56.xml><?xml version="1.0" encoding="utf-8"?>
<table xmlns="http://schemas.openxmlformats.org/spreadsheetml/2006/main" id="13" name="TableAvailabilities" displayName="TableAvailabilities" ref="A2:E92" totalsRowShown="0">
  <autoFilter ref="A2:E92"/>
  <tableColumns count="5">
    <tableColumn id="1" name="Row Labels"/>
    <tableColumn id="2" name="Sem1 Internal" dataDxfId="3"/>
    <tableColumn id="3" name="Sem1 Online" dataDxfId="2"/>
    <tableColumn id="4" name="Sem2 Internal" dataDxfId="1"/>
    <tableColumn id="5" name="Sem2 Online" dataDxfId="0"/>
  </tableColumns>
  <tableStyleInfo name="TableStyleLight7" showFirstColumn="0" showLastColumn="0" showRowStripes="1" showColumnStripes="0"/>
</table>
</file>

<file path=xl/tables/table6.xml><?xml version="1.0" encoding="utf-8"?>
<table xmlns="http://schemas.openxmlformats.org/spreadsheetml/2006/main" id="7" name="TableMCARTS" displayName="TableMCARTS" ref="A3:O8" totalsRowShown="0">
  <autoFilter ref="A3:O8"/>
  <sortState ref="AE24:AV31">
    <sortCondition ref="AR11:AR19"/>
  </sortState>
  <tableColumns count="15">
    <tableColumn id="15" name="UDC" dataDxfId="158">
      <calculatedColumnFormula>TableMCARTS[[#This Row],[Study Package Code]]</calculatedColumnFormula>
    </tableColumn>
    <tableColumn id="16" name="Version" dataDxfId="157">
      <calculatedColumnFormula>TableMCARTS[[#This Row],[Ver]]</calculatedColumnFormula>
    </tableColumn>
    <tableColumn id="17" name="OUA Code"/>
    <tableColumn id="18" name="Unit Title" dataDxfId="156">
      <calculatedColumnFormula>TableMCARTS[[#This Row],[Structure Line]]</calculatedColumnFormula>
    </tableColumn>
    <tableColumn id="19" name="CPs" dataDxfId="155">
      <calculatedColumnFormula>TableMCARTS[[#This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54"/>
    <tableColumn id="10" name="Discont." dataDxfId="153"/>
  </tableColumns>
  <tableStyleInfo name="TableStyleLight1" showFirstColumn="0" showLastColumn="0" showRowStripes="1" showColumnStripes="0"/>
</table>
</file>

<file path=xl/tables/table7.xml><?xml version="1.0" encoding="utf-8"?>
<table xmlns="http://schemas.openxmlformats.org/spreadsheetml/2006/main" id="8" name="TableMJRPCWRIT" displayName="TableMJRPCWRIT" ref="A10:O41" totalsRowShown="0">
  <autoFilter ref="A10:O41"/>
  <sortState ref="A11:M42">
    <sortCondition ref="F10:F42"/>
  </sortState>
  <tableColumns count="15">
    <tableColumn id="9" name="UDC" dataDxfId="152">
      <calculatedColumnFormula>TableMJRPCWRIT[[#This Row],[Study Package Code]]</calculatedColumnFormula>
    </tableColumn>
    <tableColumn id="10" name="Version" dataDxfId="151">
      <calculatedColumnFormula>TableMJRPCWRIT[[#This Row],[Ver]]</calculatedColumnFormula>
    </tableColumn>
    <tableColumn id="11" name="OUA Code"/>
    <tableColumn id="12" name="Unit Title" dataDxfId="150">
      <calculatedColumnFormula>TableMJRPCWRIT[[#This Row],[Structure Line]]</calculatedColumnFormula>
    </tableColumn>
    <tableColumn id="13" name="CPs" dataDxfId="149">
      <calculatedColumnFormula>TableMJRPCWRIT[[#This Row],[Credit Points]]</calculatedColumnFormula>
    </tableColumn>
    <tableColumn id="1" name="No." dataDxfId="148"/>
    <tableColumn id="2" name="Component Type" dataDxfId="147"/>
    <tableColumn id="3" name="Year Level" dataDxfId="146"/>
    <tableColumn id="4" name="Study Period" dataDxfId="145"/>
    <tableColumn id="5" name="Study Package Code" dataDxfId="144"/>
    <tableColumn id="6" name="Ver" dataDxfId="143"/>
    <tableColumn id="7" name="Structure Line" dataDxfId="142"/>
    <tableColumn id="8" name="Credit Points" dataDxfId="141"/>
    <tableColumn id="14" name="Effective" dataDxfId="140"/>
    <tableColumn id="15" name="Discont." dataDxfId="139"/>
  </tableColumns>
  <tableStyleInfo name="TableStyleLight1" showFirstColumn="0" showLastColumn="0" showRowStripes="1" showColumnStripes="0"/>
</table>
</file>

<file path=xl/tables/table8.xml><?xml version="1.0" encoding="utf-8"?>
<table xmlns="http://schemas.openxmlformats.org/spreadsheetml/2006/main" id="9" name="TableMJRPFINAR" displayName="TableMJRPFINAR" ref="A43:O67" totalsRowShown="0">
  <autoFilter ref="A43:O67"/>
  <sortState ref="AE43:AV53">
    <sortCondition ref="AQ42:AQ53"/>
  </sortState>
  <tableColumns count="15">
    <tableColumn id="9" name="UDC" dataDxfId="138">
      <calculatedColumnFormula>TableMJRPFINAR[[#This Row],[Study Package Code]]</calculatedColumnFormula>
    </tableColumn>
    <tableColumn id="10" name="Version" dataDxfId="137">
      <calculatedColumnFormula>TableMJRPFINAR[[#This Row],[Ver]]</calculatedColumnFormula>
    </tableColumn>
    <tableColumn id="11" name="OUA Code"/>
    <tableColumn id="12" name="Unit Title" dataDxfId="136">
      <calculatedColumnFormula>TableMJRPFINAR[[#This Row],[Structure Line]]</calculatedColumnFormula>
    </tableColumn>
    <tableColumn id="13" name="CPs" dataDxfId="135">
      <calculatedColumnFormula>TableMJRPFINAR[[#This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34"/>
    <tableColumn id="15" name="Discont." dataDxfId="133"/>
  </tableColumns>
  <tableStyleInfo name="TableStyleLight1" showFirstColumn="0" showLastColumn="0" showRowStripes="1" showColumnStripes="0"/>
</table>
</file>

<file path=xl/tables/table9.xml><?xml version="1.0" encoding="utf-8"?>
<table xmlns="http://schemas.openxmlformats.org/spreadsheetml/2006/main" id="1" name="TableMJRPPWRIT" displayName="TableMJRPPWRIT" ref="A69:O97" totalsRowShown="0">
  <autoFilter ref="A69:O97"/>
  <sortState ref="A37:R47">
    <sortCondition ref="M28:M39"/>
  </sortState>
  <tableColumns count="15">
    <tableColumn id="9" name="UDC" dataDxfId="132">
      <calculatedColumnFormula>TableMJRPPWRIT[[#This Row],[Study Package Code]]</calculatedColumnFormula>
    </tableColumn>
    <tableColumn id="10" name="Version" dataDxfId="131">
      <calculatedColumnFormula>TableMJRPPWRIT[[#This Row],[Ver]]</calculatedColumnFormula>
    </tableColumn>
    <tableColumn id="11" name="OUA Code"/>
    <tableColumn id="12" name="Unit Title" dataDxfId="130">
      <calculatedColumnFormula>TableMJRPPWRIT[[#This Row],[Structure Line]]</calculatedColumnFormula>
    </tableColumn>
    <tableColumn id="13" name="CPs" dataDxfId="129">
      <calculatedColumnFormula>TableMJRPPWRIT[[#This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28"/>
    <tableColumn id="15" name="Discont." dataDxfId="12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13" Type="http://schemas.openxmlformats.org/officeDocument/2006/relationships/table" Target="../tables/table17.xml"/><Relationship Id="rId18" Type="http://schemas.openxmlformats.org/officeDocument/2006/relationships/table" Target="../tables/table22.xml"/><Relationship Id="rId26" Type="http://schemas.openxmlformats.org/officeDocument/2006/relationships/table" Target="../tables/table30.xml"/><Relationship Id="rId39" Type="http://schemas.openxmlformats.org/officeDocument/2006/relationships/table" Target="../tables/table43.xml"/><Relationship Id="rId3" Type="http://schemas.openxmlformats.org/officeDocument/2006/relationships/table" Target="../tables/table7.xml"/><Relationship Id="rId21" Type="http://schemas.openxmlformats.org/officeDocument/2006/relationships/table" Target="../tables/table25.xml"/><Relationship Id="rId34" Type="http://schemas.openxmlformats.org/officeDocument/2006/relationships/table" Target="../tables/table38.xml"/><Relationship Id="rId42" Type="http://schemas.openxmlformats.org/officeDocument/2006/relationships/table" Target="../tables/table46.xml"/><Relationship Id="rId47" Type="http://schemas.openxmlformats.org/officeDocument/2006/relationships/table" Target="../tables/table51.xml"/><Relationship Id="rId50" Type="http://schemas.openxmlformats.org/officeDocument/2006/relationships/table" Target="../tables/table54.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5" Type="http://schemas.openxmlformats.org/officeDocument/2006/relationships/table" Target="../tables/table29.xml"/><Relationship Id="rId33" Type="http://schemas.openxmlformats.org/officeDocument/2006/relationships/table" Target="../tables/table37.xml"/><Relationship Id="rId38" Type="http://schemas.openxmlformats.org/officeDocument/2006/relationships/table" Target="../tables/table42.xml"/><Relationship Id="rId46" Type="http://schemas.openxmlformats.org/officeDocument/2006/relationships/table" Target="../tables/table50.xml"/><Relationship Id="rId2" Type="http://schemas.openxmlformats.org/officeDocument/2006/relationships/table" Target="../tables/table6.xml"/><Relationship Id="rId16" Type="http://schemas.openxmlformats.org/officeDocument/2006/relationships/table" Target="../tables/table20.xml"/><Relationship Id="rId20" Type="http://schemas.openxmlformats.org/officeDocument/2006/relationships/table" Target="../tables/table24.xml"/><Relationship Id="rId29" Type="http://schemas.openxmlformats.org/officeDocument/2006/relationships/table" Target="../tables/table33.xml"/><Relationship Id="rId41" Type="http://schemas.openxmlformats.org/officeDocument/2006/relationships/table" Target="../tables/table45.xml"/><Relationship Id="rId1" Type="http://schemas.openxmlformats.org/officeDocument/2006/relationships/printerSettings" Target="../printerSettings/printerSettings10.bin"/><Relationship Id="rId6" Type="http://schemas.openxmlformats.org/officeDocument/2006/relationships/table" Target="../tables/table10.xml"/><Relationship Id="rId11" Type="http://schemas.openxmlformats.org/officeDocument/2006/relationships/table" Target="../tables/table15.xml"/><Relationship Id="rId24" Type="http://schemas.openxmlformats.org/officeDocument/2006/relationships/table" Target="../tables/table28.xml"/><Relationship Id="rId32" Type="http://schemas.openxmlformats.org/officeDocument/2006/relationships/table" Target="../tables/table36.xml"/><Relationship Id="rId37" Type="http://schemas.openxmlformats.org/officeDocument/2006/relationships/table" Target="../tables/table41.xml"/><Relationship Id="rId40" Type="http://schemas.openxmlformats.org/officeDocument/2006/relationships/table" Target="../tables/table44.xml"/><Relationship Id="rId45" Type="http://schemas.openxmlformats.org/officeDocument/2006/relationships/table" Target="../tables/table49.xml"/><Relationship Id="rId5" Type="http://schemas.openxmlformats.org/officeDocument/2006/relationships/table" Target="../tables/table9.xml"/><Relationship Id="rId15" Type="http://schemas.openxmlformats.org/officeDocument/2006/relationships/table" Target="../tables/table19.xml"/><Relationship Id="rId23" Type="http://schemas.openxmlformats.org/officeDocument/2006/relationships/table" Target="../tables/table27.xml"/><Relationship Id="rId28" Type="http://schemas.openxmlformats.org/officeDocument/2006/relationships/table" Target="../tables/table32.xml"/><Relationship Id="rId36" Type="http://schemas.openxmlformats.org/officeDocument/2006/relationships/table" Target="../tables/table40.xml"/><Relationship Id="rId49" Type="http://schemas.openxmlformats.org/officeDocument/2006/relationships/table" Target="../tables/table53.xml"/><Relationship Id="rId10" Type="http://schemas.openxmlformats.org/officeDocument/2006/relationships/table" Target="../tables/table14.xml"/><Relationship Id="rId19" Type="http://schemas.openxmlformats.org/officeDocument/2006/relationships/table" Target="../tables/table23.xml"/><Relationship Id="rId31" Type="http://schemas.openxmlformats.org/officeDocument/2006/relationships/table" Target="../tables/table35.xml"/><Relationship Id="rId44" Type="http://schemas.openxmlformats.org/officeDocument/2006/relationships/table" Target="../tables/table48.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 Id="rId22" Type="http://schemas.openxmlformats.org/officeDocument/2006/relationships/table" Target="../tables/table26.xml"/><Relationship Id="rId27" Type="http://schemas.openxmlformats.org/officeDocument/2006/relationships/table" Target="../tables/table31.xml"/><Relationship Id="rId30" Type="http://schemas.openxmlformats.org/officeDocument/2006/relationships/table" Target="../tables/table34.xml"/><Relationship Id="rId35" Type="http://schemas.openxmlformats.org/officeDocument/2006/relationships/table" Target="../tables/table39.xml"/><Relationship Id="rId43" Type="http://schemas.openxmlformats.org/officeDocument/2006/relationships/table" Target="../tables/table47.xml"/><Relationship Id="rId48" Type="http://schemas.openxmlformats.org/officeDocument/2006/relationships/table" Target="../tables/table52.xml"/><Relationship Id="rId8" Type="http://schemas.openxmlformats.org/officeDocument/2006/relationships/table" Target="../tables/table12.xml"/><Relationship Id="rId51" Type="http://schemas.openxmlformats.org/officeDocument/2006/relationships/table" Target="../tables/table55.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W68"/>
  <sheetViews>
    <sheetView showGridLines="0" topLeftCell="A3" zoomScaleNormal="100" workbookViewId="0">
      <selection activeCell="D5" sqref="D5"/>
    </sheetView>
  </sheetViews>
  <sheetFormatPr defaultRowHeight="15" x14ac:dyDescent="0.25"/>
  <cols>
    <col min="1" max="1" width="10" style="18" customWidth="1"/>
    <col min="2" max="2" width="3.25" style="18" customWidth="1"/>
    <col min="3" max="3" width="5.875" style="18" customWidth="1"/>
    <col min="4" max="4" width="53.375" style="17" customWidth="1"/>
    <col min="5" max="5" width="7.25" style="17" customWidth="1"/>
    <col min="6" max="6" width="21.625" style="17" bestFit="1" customWidth="1"/>
    <col min="7" max="7" width="5.625" style="17" customWidth="1"/>
    <col min="8" max="11" width="4.625" style="17" customWidth="1"/>
    <col min="12" max="12" width="15.625" style="17" customWidth="1"/>
    <col min="13" max="13" width="2.5" style="17" hidden="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59"/>
      <c r="E4" s="260" t="s">
        <v>9</v>
      </c>
      <c r="F4" s="258"/>
      <c r="G4" s="261"/>
      <c r="H4" s="261"/>
      <c r="I4" s="261"/>
      <c r="J4" s="261"/>
      <c r="K4" s="261"/>
      <c r="L4" s="261"/>
      <c r="M4" s="143"/>
    </row>
    <row r="5" spans="1:23" ht="20.100000000000001" customHeight="1" x14ac:dyDescent="0.25">
      <c r="B5" s="19"/>
      <c r="C5" s="129" t="s">
        <v>10</v>
      </c>
      <c r="D5" s="206" t="s">
        <v>11</v>
      </c>
      <c r="E5" s="20"/>
      <c r="F5" s="129" t="s">
        <v>12</v>
      </c>
      <c r="G5" s="20" t="str">
        <f>IFERROR(CONCATENATE(VLOOKUP(D5,TableCourses[],2,FALSE)," ",VLOOKUP(D5,TableCourses[],3,FALSE)),"")</f>
        <v>MC-ARTS v.3</v>
      </c>
      <c r="H5" s="20"/>
      <c r="I5" s="20"/>
      <c r="J5" s="20"/>
      <c r="K5" s="20"/>
      <c r="L5" s="21"/>
      <c r="M5" s="143"/>
    </row>
    <row r="6" spans="1:23" ht="20.100000000000001" customHeight="1" x14ac:dyDescent="0.25">
      <c r="B6" s="19"/>
      <c r="C6" s="129" t="s">
        <v>13</v>
      </c>
      <c r="D6" s="221" t="s">
        <v>14</v>
      </c>
      <c r="E6" s="20"/>
      <c r="F6" s="129" t="s">
        <v>15</v>
      </c>
      <c r="G6" s="20" t="str">
        <f>IFERROR(CONCATENATE(VLOOKUP(D6,TableMajors[],2,FALSE)," ",VLOOKUP(D6,TableMajors[],3,FALSE)),"")</f>
        <v>MJRP-SCRAR v.3</v>
      </c>
      <c r="H6" s="20"/>
      <c r="I6" s="20"/>
      <c r="J6" s="20"/>
      <c r="K6" s="20"/>
      <c r="L6" s="147" t="str">
        <f>CONCATENATE(VLOOKUP(D6,TableMajors[],2,FALSE),VLOOKUP(D7,TableStudyPeriods[],2,FALSE))</f>
        <v>MJRP-SCRARSem2</v>
      </c>
      <c r="M6" s="143"/>
    </row>
    <row r="7" spans="1:23" ht="20.100000000000001" customHeight="1" x14ac:dyDescent="0.25">
      <c r="A7" s="22"/>
      <c r="B7" s="23"/>
      <c r="C7" s="129" t="s">
        <v>16</v>
      </c>
      <c r="D7" s="20" t="s">
        <v>17</v>
      </c>
      <c r="E7" s="24"/>
      <c r="F7" s="129" t="s">
        <v>18</v>
      </c>
      <c r="G7" s="20" t="str">
        <f>IFERROR(VLOOKUP($D$5,TableCourses[],4,FALSE),"")</f>
        <v>400 credit points required</v>
      </c>
      <c r="H7" s="77"/>
      <c r="I7" s="77"/>
      <c r="J7" s="77"/>
      <c r="K7" s="77"/>
      <c r="L7" s="77"/>
      <c r="M7" s="144"/>
      <c r="N7" s="25"/>
      <c r="O7" s="25"/>
      <c r="P7" s="25"/>
      <c r="Q7" s="25"/>
      <c r="R7" s="25"/>
      <c r="S7" s="25"/>
      <c r="T7" s="25"/>
      <c r="U7" s="25"/>
      <c r="V7" s="25"/>
      <c r="W7" s="25"/>
    </row>
    <row r="8" spans="1:23" s="28" customFormat="1" ht="14.1" customHeight="1" x14ac:dyDescent="0.25">
      <c r="A8" s="159"/>
      <c r="B8" s="159"/>
      <c r="C8" s="159"/>
      <c r="D8" s="160"/>
      <c r="E8" s="161"/>
      <c r="F8" s="159"/>
      <c r="G8" s="159"/>
      <c r="H8" s="201" t="s">
        <v>19</v>
      </c>
      <c r="I8" s="162"/>
      <c r="J8" s="162"/>
      <c r="K8" s="163"/>
      <c r="L8" s="164"/>
      <c r="M8" s="141"/>
      <c r="N8" s="26"/>
      <c r="O8" s="26"/>
      <c r="P8" s="27"/>
      <c r="Q8" s="27"/>
      <c r="R8" s="27"/>
      <c r="S8" s="27"/>
      <c r="T8" s="27"/>
      <c r="U8" s="27"/>
      <c r="V8" s="27"/>
      <c r="W8" s="27"/>
    </row>
    <row r="9" spans="1:23" s="28" customFormat="1" ht="21" x14ac:dyDescent="0.25">
      <c r="A9" s="159" t="s">
        <v>20</v>
      </c>
      <c r="B9" s="159"/>
      <c r="C9" s="159"/>
      <c r="D9" s="160" t="s">
        <v>3</v>
      </c>
      <c r="E9" s="165" t="s">
        <v>21</v>
      </c>
      <c r="F9" s="276" t="s">
        <v>22</v>
      </c>
      <c r="G9" s="159" t="s">
        <v>23</v>
      </c>
      <c r="H9" s="166" t="s">
        <v>24</v>
      </c>
      <c r="I9" s="165" t="s">
        <v>25</v>
      </c>
      <c r="J9" s="165" t="s">
        <v>26</v>
      </c>
      <c r="K9" s="167" t="s">
        <v>27</v>
      </c>
      <c r="L9" s="168" t="s">
        <v>28</v>
      </c>
      <c r="M9" s="141"/>
      <c r="N9" s="26"/>
      <c r="O9" s="26"/>
      <c r="P9" s="27"/>
      <c r="Q9" s="27"/>
      <c r="R9" s="27"/>
      <c r="S9" s="27"/>
      <c r="T9" s="27"/>
      <c r="U9" s="27"/>
      <c r="V9" s="27"/>
      <c r="W9" s="27"/>
    </row>
    <row r="10" spans="1:23" s="31" customFormat="1" ht="20.100000000000001" customHeight="1" x14ac:dyDescent="0.15">
      <c r="A10" s="63" t="str">
        <f>IFERROR(IF(HLOOKUP($L$6,RangeMARTSUnitsets,M10,FALSE)=0,"",HLOOKUP($L$6,RangeMARTSUnitsets,M10,FALSE)),"")</f>
        <v>SPRO5000</v>
      </c>
      <c r="B10" s="56">
        <f>IFERROR(IF(VLOOKUP($A10,TableHandbook[],2,FALSE)=0,"",VLOOKUP($A10,TableHandbook[],2,FALSE)),"")</f>
        <v>3</v>
      </c>
      <c r="C10" s="56" t="str">
        <f>IFERROR(IF(VLOOKUP($A10,TableHandbook[],3,FALSE)=0,"",VLOOKUP($A10,TableHandbook[],3,FALSE)),"")</f>
        <v/>
      </c>
      <c r="D10" s="64" t="str">
        <f>IFERROR(IF(VLOOKUP($A10,TableHandbook[],4,FALSE)=0,"",VLOOKUP($A10,TableHandbook[],4,FALSE)),"")</f>
        <v>Creative Documentary and Actualities</v>
      </c>
      <c r="E10" s="56" t="str">
        <f>IF(A10="","",VLOOKUP($D$7,TableStudyPeriods[],2,FALSE))</f>
        <v>Sem2</v>
      </c>
      <c r="F10" s="283" t="str">
        <f>IFERROR(IF(VLOOKUP($A10,TableHandbook[],6,FALSE)=0,"",VLOOKUP($A10,TableHandbook[],6,FALSE)),"")</f>
        <v>None</v>
      </c>
      <c r="G10" s="56">
        <f>IFERROR(IF(VLOOKUP($A10,TableHandbook[],5,FALSE)=0,"",VLOOKUP($A10,TableHandbook[],5,FALSE)),"")</f>
        <v>25</v>
      </c>
      <c r="H10" s="67" t="str">
        <f>IFERROR(VLOOKUP($A10,TableHandbook[],H$2,FALSE),"")</f>
        <v/>
      </c>
      <c r="I10" s="56" t="str">
        <f>IFERROR(VLOOKUP($A10,TableHandbook[],I$2,FALSE),"")</f>
        <v/>
      </c>
      <c r="J10" s="56" t="str">
        <f>IFERROR(VLOOKUP($A10,TableHandbook[],J$2,FALSE),"")</f>
        <v>Y</v>
      </c>
      <c r="K10" s="68" t="str">
        <f>IFERROR(VLOOKUP($A10,TableHandbook[],K$2,FALSE),"")</f>
        <v/>
      </c>
      <c r="L10" s="65"/>
      <c r="M10" s="142">
        <v>2</v>
      </c>
      <c r="N10" s="29"/>
      <c r="O10" s="29"/>
      <c r="P10" s="30"/>
      <c r="Q10" s="30"/>
      <c r="R10" s="30"/>
      <c r="S10" s="30"/>
      <c r="T10" s="30"/>
      <c r="U10" s="30"/>
      <c r="V10" s="30"/>
      <c r="W10" s="30"/>
    </row>
    <row r="11" spans="1:23" s="31" customFormat="1" ht="20.100000000000001" customHeight="1" x14ac:dyDescent="0.15">
      <c r="A11" s="63" t="str">
        <f>IFERROR(IF(HLOOKUP($L$6,Unitsets!$K$3:$Z$19,M11,FALSE)=0,"",HLOOKUP($L$6,Unitsets!$K$3:$Z$19,M11,FALSE)),"")</f>
        <v>COMS5003</v>
      </c>
      <c r="B11" s="56">
        <f>IFERROR(IF(VLOOKUP($A11,TableHandbook[],2,FALSE)=0,"",VLOOKUP($A11,TableHandbook[],2,FALSE)),"")</f>
        <v>1</v>
      </c>
      <c r="C11" s="56" t="str">
        <f>IFERROR(IF(VLOOKUP($A11,TableHandbook[],3,FALSE)=0,"",VLOOKUP($A11,TableHandbook[],3,FALSE)),"")</f>
        <v/>
      </c>
      <c r="D11" s="64" t="str">
        <f>IFERROR(IF(VLOOKUP($A11,TableHandbook[],4,FALSE)=0,"",VLOOKUP($A11,TableHandbook[],4,FALSE)),"")</f>
        <v>Approaches to Arts Research Projects</v>
      </c>
      <c r="E11" s="56" t="str">
        <f>IF(A11="","",E10)</f>
        <v>Sem2</v>
      </c>
      <c r="F11" s="283" t="str">
        <f>IFERROR(IF(VLOOKUP($A11,TableHandbook[],6,FALSE)=0,"",VLOOKUP($A11,TableHandbook[],6,FALSE)),"")</f>
        <v>None</v>
      </c>
      <c r="G11" s="56">
        <f>IFERROR(IF(VLOOKUP($A11,TableHandbook[],5,FALSE)=0,"",VLOOKUP($A11,TableHandbook[],5,FALSE)),"")</f>
        <v>25</v>
      </c>
      <c r="H11" s="67" t="str">
        <f>IFERROR(VLOOKUP($A11,TableHandbook[],H$2,FALSE),"")</f>
        <v>Y</v>
      </c>
      <c r="I11" s="56" t="str">
        <f>IFERROR(VLOOKUP($A11,TableHandbook[],I$2,FALSE),"")</f>
        <v/>
      </c>
      <c r="J11" s="56" t="str">
        <f>IFERROR(VLOOKUP($A11,TableHandbook[],J$2,FALSE),"")</f>
        <v>Y</v>
      </c>
      <c r="K11" s="68" t="str">
        <f>IFERROR(VLOOKUP($A11,TableHandbook[],K$2,FALSE),"")</f>
        <v/>
      </c>
      <c r="L11" s="65"/>
      <c r="M11" s="142">
        <v>3</v>
      </c>
      <c r="N11" s="29"/>
      <c r="O11" s="29"/>
      <c r="P11" s="30"/>
      <c r="Q11" s="30"/>
      <c r="R11" s="30"/>
      <c r="S11" s="30"/>
      <c r="T11" s="30"/>
      <c r="U11" s="30"/>
      <c r="V11" s="30"/>
      <c r="W11" s="30"/>
    </row>
    <row r="12" spans="1:23" s="31" customFormat="1" ht="20.100000000000001" customHeight="1" x14ac:dyDescent="0.15">
      <c r="A12" s="63" t="str">
        <f>IFERROR(IF(HLOOKUP($L$6,Unitsets!$K$3:$Z$19,M12,FALSE)=0,"",HLOOKUP($L$6,Unitsets!$K$3:$Z$19,M12,FALSE)),"")</f>
        <v>SPRO5005</v>
      </c>
      <c r="B12" s="56">
        <f>IFERROR(IF(VLOOKUP($A12,TableHandbook[],2,FALSE)=0,"",VLOOKUP($A12,TableHandbook[],2,FALSE)),"")</f>
        <v>2</v>
      </c>
      <c r="C12" s="56" t="str">
        <f>IFERROR(IF(VLOOKUP($A12,TableHandbook[],3,FALSE)=0,"",VLOOKUP($A12,TableHandbook[],3,FALSE)),"")</f>
        <v/>
      </c>
      <c r="D12" s="64" t="str">
        <f>IFERROR(IF(VLOOKUP($A12,TableHandbook[],4,FALSE)=0,"",VLOOKUP($A12,TableHandbook[],4,FALSE)),"")</f>
        <v>Introduction to Screen Industries</v>
      </c>
      <c r="E12" s="56" t="str">
        <f t="shared" ref="E12:E13" si="0">IF(A12="","",E11)</f>
        <v>Sem2</v>
      </c>
      <c r="F12" s="283" t="str">
        <f>IFERROR(IF(VLOOKUP($A12,TableHandbook[],6,FALSE)=0,"",VLOOKUP($A12,TableHandbook[],6,FALSE)),"")</f>
        <v>None</v>
      </c>
      <c r="G12" s="56">
        <f>IFERROR(IF(VLOOKUP($A12,TableHandbook[],5,FALSE)=0,"",VLOOKUP($A12,TableHandbook[],5,FALSE)),"")</f>
        <v>25</v>
      </c>
      <c r="H12" s="67" t="str">
        <f>IFERROR(VLOOKUP($A12,TableHandbook[],H$2,FALSE),"")</f>
        <v>Y</v>
      </c>
      <c r="I12" s="56" t="str">
        <f>IFERROR(VLOOKUP($A12,TableHandbook[],I$2,FALSE),"")</f>
        <v/>
      </c>
      <c r="J12" s="56" t="str">
        <f>IFERROR(VLOOKUP($A12,TableHandbook[],J$2,FALSE),"")</f>
        <v>Y</v>
      </c>
      <c r="K12" s="68" t="str">
        <f>IFERROR(VLOOKUP($A12,TableHandbook[],K$2,FALSE),"")</f>
        <v/>
      </c>
      <c r="L12" s="66"/>
      <c r="M12" s="142">
        <v>4</v>
      </c>
      <c r="N12" s="29"/>
      <c r="O12" s="29"/>
      <c r="P12" s="30"/>
      <c r="Q12" s="30"/>
      <c r="R12" s="30"/>
      <c r="S12" s="30"/>
      <c r="T12" s="30"/>
      <c r="U12" s="30"/>
      <c r="V12" s="30"/>
      <c r="W12" s="30"/>
    </row>
    <row r="13" spans="1:23" s="31" customFormat="1" ht="20.100000000000001" customHeight="1" x14ac:dyDescent="0.15">
      <c r="A13" s="63" t="str">
        <f>IFERROR(IF(HLOOKUP($L$6,Unitsets!$K$3:$Z$19,M13,FALSE)=0,"",HLOOKUP($L$6,Unitsets!$K$3:$Z$19,M13,FALSE)),"")</f>
        <v>SCST5008</v>
      </c>
      <c r="B13" s="56">
        <f>IFERROR(IF(VLOOKUP($A13,TableHandbook[],2,FALSE)=0,"",VLOOKUP($A13,TableHandbook[],2,FALSE)),"")</f>
        <v>2</v>
      </c>
      <c r="C13" s="56" t="str">
        <f>IFERROR(IF(VLOOKUP($A13,TableHandbook[],3,FALSE)=0,"",VLOOKUP($A13,TableHandbook[],3,FALSE)),"")</f>
        <v/>
      </c>
      <c r="D13" s="64" t="str">
        <f>IFERROR(IF(VLOOKUP($A13,TableHandbook[],4,FALSE)=0,"",VLOOKUP($A13,TableHandbook[],4,FALSE)),"")</f>
        <v>Introduction to Screen Creativity</v>
      </c>
      <c r="E13" s="56" t="str">
        <f t="shared" si="0"/>
        <v>Sem2</v>
      </c>
      <c r="F13" s="283" t="str">
        <f>IFERROR(IF(VLOOKUP($A13,TableHandbook[],6,FALSE)=0,"",VLOOKUP($A13,TableHandbook[],6,FALSE)),"")</f>
        <v>None</v>
      </c>
      <c r="G13" s="56">
        <f>IFERROR(IF(VLOOKUP($A13,TableHandbook[],5,FALSE)=0,"",VLOOKUP($A13,TableHandbook[],5,FALSE)),"")</f>
        <v>25</v>
      </c>
      <c r="H13" s="67" t="str">
        <f>IFERROR(VLOOKUP($A13,TableHandbook[],H$2,FALSE),"")</f>
        <v>Y</v>
      </c>
      <c r="I13" s="56" t="str">
        <f>IFERROR(VLOOKUP($A13,TableHandbook[],I$2,FALSE),"")</f>
        <v/>
      </c>
      <c r="J13" s="56" t="str">
        <f>IFERROR(VLOOKUP($A13,TableHandbook[],J$2,FALSE),"")</f>
        <v>Y</v>
      </c>
      <c r="K13" s="68" t="str">
        <f>IFERROR(VLOOKUP($A13,TableHandbook[],K$2,FALSE),"")</f>
        <v/>
      </c>
      <c r="L13" s="65"/>
      <c r="M13" s="142">
        <v>5</v>
      </c>
      <c r="N13" s="29"/>
      <c r="O13" s="29"/>
      <c r="P13" s="30"/>
      <c r="Q13" s="30"/>
      <c r="R13" s="30"/>
      <c r="S13" s="30"/>
      <c r="T13" s="30"/>
      <c r="U13" s="30"/>
      <c r="V13" s="30"/>
      <c r="W13" s="30"/>
    </row>
    <row r="14" spans="1:23" s="31" customFormat="1" ht="5.0999999999999996" customHeight="1" x14ac:dyDescent="0.15">
      <c r="A14" s="233"/>
      <c r="B14" s="234"/>
      <c r="C14" s="234"/>
      <c r="D14" s="235"/>
      <c r="E14" s="234"/>
      <c r="F14" s="284"/>
      <c r="G14" s="234"/>
      <c r="H14" s="236"/>
      <c r="I14" s="234"/>
      <c r="J14" s="234"/>
      <c r="K14" s="237"/>
      <c r="L14" s="238"/>
      <c r="M14" s="142"/>
      <c r="N14" s="29"/>
      <c r="O14" s="29"/>
      <c r="P14" s="29"/>
      <c r="Q14" s="30"/>
      <c r="R14" s="30"/>
      <c r="S14" s="30"/>
      <c r="T14" s="30"/>
      <c r="U14" s="30"/>
      <c r="V14" s="30"/>
      <c r="W14" s="30"/>
    </row>
    <row r="15" spans="1:23" s="31" customFormat="1" ht="20.100000000000001" customHeight="1" x14ac:dyDescent="0.15">
      <c r="A15" s="63" t="str">
        <f>IFERROR(IF(HLOOKUP($L$6,Unitsets!$K$3:$Z$19,M15,FALSE)=0,"",HLOOKUP($L$6,Unitsets!$K$3:$Z$19,M15,FALSE)),"")</f>
        <v>SCWR5000</v>
      </c>
      <c r="B15" s="58">
        <f>IFERROR(IF(VLOOKUP($A15,TableHandbook[],2,FALSE)=0,"",VLOOKUP($A15,TableHandbook[],2,FALSE)),"")</f>
        <v>2</v>
      </c>
      <c r="C15" s="58" t="str">
        <f>IFERROR(IF(VLOOKUP($A15,TableHandbook[],3,FALSE)=0,"",VLOOKUP($A15,TableHandbook[],3,FALSE)),"")</f>
        <v/>
      </c>
      <c r="D15" s="64" t="str">
        <f>IFERROR(IF(VLOOKUP($A15,TableHandbook[],4,FALSE)=0,"",VLOOKUP($A15,TableHandbook[],4,FALSE)),"")</f>
        <v>Introduction to Screenwriting for Graduates</v>
      </c>
      <c r="E15" s="56" t="str">
        <f>IF(A15="","",VLOOKUP($D$7,TableStudyPeriods[],3,FALSE))</f>
        <v>Sem1</v>
      </c>
      <c r="F15" s="283" t="str">
        <f>IFERROR(IF(VLOOKUP($A15,TableHandbook[],6,FALSE)=0,"",VLOOKUP($A15,TableHandbook[],6,FALSE)),"")</f>
        <v>None</v>
      </c>
      <c r="G15" s="58">
        <f>IFERROR(IF(VLOOKUP($A15,TableHandbook[],5,FALSE)=0,"",VLOOKUP($A15,TableHandbook[],5,FALSE)),"")</f>
        <v>25</v>
      </c>
      <c r="H15" s="71" t="str">
        <f>IFERROR(VLOOKUP($A15,TableHandbook[],H$2,FALSE),"")</f>
        <v>Y</v>
      </c>
      <c r="I15" s="58" t="str">
        <f>IFERROR(VLOOKUP($A15,TableHandbook[],I$2,FALSE),"")</f>
        <v/>
      </c>
      <c r="J15" s="58" t="str">
        <f>IFERROR(VLOOKUP($A15,TableHandbook[],J$2,FALSE),"")</f>
        <v/>
      </c>
      <c r="K15" s="72" t="str">
        <f>IFERROR(VLOOKUP($A15,TableHandbook[],K$2,FALSE),"")</f>
        <v/>
      </c>
      <c r="L15" s="66"/>
      <c r="M15" s="142">
        <v>6</v>
      </c>
      <c r="N15" s="29"/>
      <c r="O15" s="29"/>
      <c r="P15" s="30"/>
      <c r="Q15" s="30"/>
      <c r="R15" s="30"/>
      <c r="S15" s="30"/>
      <c r="T15" s="30"/>
      <c r="U15" s="30"/>
      <c r="V15" s="30"/>
      <c r="W15" s="30"/>
    </row>
    <row r="16" spans="1:23" s="39" customFormat="1" ht="20.100000000000001" customHeight="1" x14ac:dyDescent="0.15">
      <c r="A16" s="63" t="str">
        <f>IFERROR(IF(HLOOKUP($L$6,Unitsets!$K$3:$Z$19,M16,FALSE)=0,"",HLOOKUP($L$6,Unitsets!$K$3:$Z$19,M16,FALSE)),"")</f>
        <v>SPRO5006</v>
      </c>
      <c r="B16" s="58">
        <f>IFERROR(IF(VLOOKUP($A16,TableHandbook[],2,FALSE)=0,"",VLOOKUP($A16,TableHandbook[],2,FALSE)),"")</f>
        <v>3</v>
      </c>
      <c r="C16" s="58" t="str">
        <f>IFERROR(IF(VLOOKUP($A16,TableHandbook[],3,FALSE)=0,"",VLOOKUP($A16,TableHandbook[],3,FALSE)),"")</f>
        <v/>
      </c>
      <c r="D16" s="64" t="str">
        <f>IFERROR(IF(VLOOKUP($A16,TableHandbook[],4,FALSE)=0,"",VLOOKUP($A16,TableHandbook[],4,FALSE)),"")</f>
        <v>Studio Production</v>
      </c>
      <c r="E16" s="56" t="str">
        <f>IF(A16="","",E15)</f>
        <v>Sem1</v>
      </c>
      <c r="F16" s="283" t="str">
        <f>IFERROR(IF(VLOOKUP($A16,TableHandbook[],6,FALSE)=0,"",VLOOKUP($A16,TableHandbook[],6,FALSE)),"")</f>
        <v>SPRO5005</v>
      </c>
      <c r="G16" s="58">
        <f>IFERROR(IF(VLOOKUP($A16,TableHandbook[],5,FALSE)=0,"",VLOOKUP($A16,TableHandbook[],5,FALSE)),"")</f>
        <v>25</v>
      </c>
      <c r="H16" s="71" t="str">
        <f>IFERROR(VLOOKUP($A16,TableHandbook[],H$2,FALSE),"")</f>
        <v>Y</v>
      </c>
      <c r="I16" s="58" t="str">
        <f>IFERROR(VLOOKUP($A16,TableHandbook[],I$2,FALSE),"")</f>
        <v/>
      </c>
      <c r="J16" s="58" t="str">
        <f>IFERROR(VLOOKUP($A16,TableHandbook[],J$2,FALSE),"")</f>
        <v>Y</v>
      </c>
      <c r="K16" s="72" t="str">
        <f>IFERROR(VLOOKUP($A16,TableHandbook[],K$2,FALSE),"")</f>
        <v/>
      </c>
      <c r="L16" s="66"/>
      <c r="M16" s="142">
        <v>7</v>
      </c>
      <c r="N16" s="37"/>
      <c r="O16" s="37"/>
      <c r="P16" s="38"/>
      <c r="Q16" s="38"/>
      <c r="R16" s="38"/>
      <c r="S16" s="38"/>
      <c r="T16" s="38"/>
      <c r="U16" s="38"/>
      <c r="V16" s="38"/>
      <c r="W16" s="38"/>
    </row>
    <row r="17" spans="1:23" s="39" customFormat="1" ht="20.100000000000001" customHeight="1" x14ac:dyDescent="0.15">
      <c r="A17" s="63" t="str">
        <f>IFERROR(IF(HLOOKUP($L$6,Unitsets!$K$3:$Z$19,M17,FALSE)=0,"",HLOOKUP($L$6,Unitsets!$K$3:$Z$19,M17,FALSE)),"")</f>
        <v>COMS6005</v>
      </c>
      <c r="B17" s="58">
        <f>IFERROR(IF(VLOOKUP($A17,TableHandbook[],2,FALSE)=0,"",VLOOKUP($A17,TableHandbook[],2,FALSE)),"")</f>
        <v>1</v>
      </c>
      <c r="C17" s="58" t="str">
        <f>IFERROR(IF(VLOOKUP($A17,TableHandbook[],3,FALSE)=0,"",VLOOKUP($A17,TableHandbook[],3,FALSE)),"")</f>
        <v/>
      </c>
      <c r="D17" s="64" t="str">
        <f>IFERROR(IF(VLOOKUP($A17,TableHandbook[],4,FALSE)=0,"",VLOOKUP($A17,TableHandbook[],4,FALSE)),"")</f>
        <v>Planning an Arts Research Project</v>
      </c>
      <c r="E17" s="56" t="str">
        <f t="shared" ref="E17:E18" si="1">IF(A17="","",E16)</f>
        <v>Sem1</v>
      </c>
      <c r="F17" s="283" t="str">
        <f>IFERROR(IF(VLOOKUP($A17,TableHandbook[],6,FALSE)=0,"",VLOOKUP($A17,TableHandbook[],6,FALSE)),"")</f>
        <v>COMS5003</v>
      </c>
      <c r="G17" s="58">
        <f>IFERROR(IF(VLOOKUP($A17,TableHandbook[],5,FALSE)=0,"",VLOOKUP($A17,TableHandbook[],5,FALSE)),"")</f>
        <v>25</v>
      </c>
      <c r="H17" s="71" t="str">
        <f>IFERROR(VLOOKUP($A17,TableHandbook[],H$2,FALSE),"")</f>
        <v>Y</v>
      </c>
      <c r="I17" s="58" t="str">
        <f>IFERROR(VLOOKUP($A17,TableHandbook[],I$2,FALSE),"")</f>
        <v/>
      </c>
      <c r="J17" s="58" t="str">
        <f>IFERROR(VLOOKUP($A17,TableHandbook[],J$2,FALSE),"")</f>
        <v>Y</v>
      </c>
      <c r="K17" s="72" t="str">
        <f>IFERROR(VLOOKUP($A17,TableHandbook[],K$2,FALSE),"")</f>
        <v/>
      </c>
      <c r="L17" s="66"/>
      <c r="M17" s="142">
        <v>8</v>
      </c>
      <c r="N17" s="37"/>
      <c r="O17" s="37"/>
      <c r="P17" s="38"/>
      <c r="Q17" s="38"/>
      <c r="R17" s="38"/>
      <c r="S17" s="38"/>
      <c r="T17" s="38"/>
      <c r="U17" s="38"/>
      <c r="V17" s="38"/>
      <c r="W17" s="38"/>
    </row>
    <row r="18" spans="1:23" s="39" customFormat="1" ht="20.100000000000001" customHeight="1" x14ac:dyDescent="0.15">
      <c r="A18" s="63" t="str">
        <f>IFERROR(IF(HLOOKUP($L$6,Unitsets!$K$3:$Z$19,M18,FALSE)=0,"",HLOOKUP($L$6,Unitsets!$K$3:$Z$19,M18,FALSE)),"")</f>
        <v>AC-SCRAR1</v>
      </c>
      <c r="B18" s="58" t="str">
        <f>IFERROR(IF(VLOOKUP($A18,TableHandbook[],2,FALSE)=0,"",VLOOKUP($A18,TableHandbook[],2,FALSE)),"")</f>
        <v/>
      </c>
      <c r="C18" s="58" t="str">
        <f>IFERROR(IF(VLOOKUP($A18,TableHandbook[],3,FALSE)=0,"",VLOOKUP($A18,TableHandbook[],3,FALSE)),"")</f>
        <v/>
      </c>
      <c r="D18" s="62" t="str">
        <f>IFERROR(IF(VLOOKUP($A18,TableHandbook[],4,FALSE)=0,"",VLOOKUP($A18,TableHandbook[],4,FALSE)),"")</f>
        <v>Study either CWRI6000 or NETS5010</v>
      </c>
      <c r="E18" s="58" t="str">
        <f t="shared" si="1"/>
        <v>Sem1</v>
      </c>
      <c r="F18" s="283" t="str">
        <f>IFERROR(IF(VLOOKUP($A18,TableHandbook[],6,FALSE)=0,"",VLOOKUP($A18,TableHandbook[],6,FALSE)),"")</f>
        <v>See below</v>
      </c>
      <c r="G18" s="58">
        <f>IFERROR(IF(VLOOKUP($A18,TableHandbook[],5,FALSE)=0,"",VLOOKUP($A18,TableHandbook[],5,FALSE)),"")</f>
        <v>25</v>
      </c>
      <c r="H18" s="71" t="str">
        <f>IFERROR(VLOOKUP($A18,TableHandbook[],H$2,FALSE),"")</f>
        <v/>
      </c>
      <c r="I18" s="58" t="str">
        <f>IFERROR(VLOOKUP($A18,TableHandbook[],I$2,FALSE),"")</f>
        <v/>
      </c>
      <c r="J18" s="58" t="str">
        <f>IFERROR(VLOOKUP($A18,TableHandbook[],J$2,FALSE),"")</f>
        <v/>
      </c>
      <c r="K18" s="72" t="str">
        <f>IFERROR(VLOOKUP($A18,TableHandbook[],K$2,FALSE),"")</f>
        <v/>
      </c>
      <c r="L18" s="66"/>
      <c r="M18" s="142">
        <v>9</v>
      </c>
      <c r="N18" s="37"/>
      <c r="O18" s="37"/>
      <c r="P18" s="38"/>
      <c r="Q18" s="38"/>
      <c r="R18" s="38"/>
      <c r="S18" s="38"/>
      <c r="T18" s="38"/>
      <c r="U18" s="38"/>
      <c r="V18" s="38"/>
      <c r="W18" s="38"/>
    </row>
    <row r="19" spans="1:23" s="28" customFormat="1" ht="21" x14ac:dyDescent="0.25">
      <c r="A19" s="159" t="s">
        <v>29</v>
      </c>
      <c r="B19" s="159"/>
      <c r="C19" s="159"/>
      <c r="D19" s="160" t="s">
        <v>3</v>
      </c>
      <c r="E19" s="165" t="s">
        <v>21</v>
      </c>
      <c r="F19" s="276" t="s">
        <v>22</v>
      </c>
      <c r="G19" s="159" t="s">
        <v>23</v>
      </c>
      <c r="H19" s="166" t="s">
        <v>24</v>
      </c>
      <c r="I19" s="165" t="s">
        <v>25</v>
      </c>
      <c r="J19" s="165" t="s">
        <v>26</v>
      </c>
      <c r="K19" s="167" t="s">
        <v>27</v>
      </c>
      <c r="L19" s="168" t="s">
        <v>28</v>
      </c>
      <c r="M19" s="141"/>
      <c r="N19" s="26"/>
      <c r="O19" s="26"/>
      <c r="P19" s="27"/>
      <c r="Q19" s="27"/>
      <c r="R19" s="27"/>
      <c r="S19" s="27"/>
      <c r="T19" s="27"/>
      <c r="U19" s="27"/>
      <c r="V19" s="27"/>
      <c r="W19" s="27"/>
    </row>
    <row r="20" spans="1:23" s="31" customFormat="1" ht="20.100000000000001" customHeight="1" x14ac:dyDescent="0.15">
      <c r="A20" s="63" t="str">
        <f>IFERROR(IF(HLOOKUP($L$6,Unitsets!$K$3:$Z$19,M20,FALSE)=0,"",HLOOKUP($L$6,Unitsets!$K$3:$Z$19,M20,FALSE)),"")</f>
        <v>Opt-SCRAR</v>
      </c>
      <c r="B20" s="58" t="str">
        <f>IFERROR(IF(VLOOKUP($A20,TableHandbook[],2,FALSE)=0,"",VLOOKUP($A20,TableHandbook[],2,FALSE)),"")</f>
        <v/>
      </c>
      <c r="C20" s="58" t="str">
        <f>IFERROR(IF(VLOOKUP($A20,TableHandbook[],3,FALSE)=0,"",VLOOKUP($A20,TableHandbook[],3,FALSE)),"")</f>
        <v/>
      </c>
      <c r="D20" s="60" t="str">
        <f>IFERROR(IF(VLOOKUP($A20,TableHandbook[],4,FALSE)=0,"",VLOOKUP($A20,TableHandbook[],4,FALSE)),"")</f>
        <v>Study a Screen Arts Option unit (see below)</v>
      </c>
      <c r="E20" s="58" t="str">
        <f>IF(A20="","",VLOOKUP($D$7,TableStudyPeriods[],2,FALSE))</f>
        <v>Sem2</v>
      </c>
      <c r="F20" s="283" t="str">
        <f>IFERROR(IF(VLOOKUP($A20,TableHandbook[],6,FALSE)=0,"",VLOOKUP($A20,TableHandbook[],6,FALSE)),"")</f>
        <v>See below</v>
      </c>
      <c r="G20" s="56">
        <f>IFERROR(IF(VLOOKUP($A20,TableHandbook[],5,FALSE)=0,"",VLOOKUP($A20,TableHandbook[],5,FALSE)),"")</f>
        <v>25</v>
      </c>
      <c r="H20" s="67" t="str">
        <f>IFERROR(VLOOKUP($A20,TableHandbook[],H$2,FALSE),"")</f>
        <v/>
      </c>
      <c r="I20" s="56" t="str">
        <f>IFERROR(VLOOKUP($A20,TableHandbook[],I$2,FALSE),"")</f>
        <v/>
      </c>
      <c r="J20" s="56" t="str">
        <f>IFERROR(VLOOKUP($A20,TableHandbook[],J$2,FALSE),"")</f>
        <v/>
      </c>
      <c r="K20" s="68" t="str">
        <f>IFERROR(VLOOKUP($A20,TableHandbook[],K$2,FALSE),"")</f>
        <v/>
      </c>
      <c r="L20" s="61"/>
      <c r="M20" s="142">
        <v>10</v>
      </c>
      <c r="N20" s="29"/>
      <c r="O20" s="29"/>
      <c r="P20" s="30"/>
      <c r="Q20" s="30"/>
      <c r="R20" s="30"/>
      <c r="S20" s="30"/>
      <c r="T20" s="30"/>
      <c r="U20" s="30"/>
      <c r="V20" s="30"/>
      <c r="W20" s="30"/>
    </row>
    <row r="21" spans="1:23" s="31" customFormat="1" ht="20.100000000000001" customHeight="1" x14ac:dyDescent="0.15">
      <c r="A21" s="63" t="str">
        <f>IFERROR(IF(HLOOKUP($L$6,Unitsets!$K$3:$Z$19,M21,FALSE)=0,"",HLOOKUP($L$6,Unitsets!$K$3:$Z$19,M21,FALSE)),"")</f>
        <v>Opt-SCRAR</v>
      </c>
      <c r="B21" s="58" t="str">
        <f>IFERROR(IF(VLOOKUP($A21,TableHandbook[],2,FALSE)=0,"",VLOOKUP($A21,TableHandbook[],2,FALSE)),"")</f>
        <v/>
      </c>
      <c r="C21" s="58" t="str">
        <f>IFERROR(IF(VLOOKUP($A21,TableHandbook[],3,FALSE)=0,"",VLOOKUP($A21,TableHandbook[],3,FALSE)),"")</f>
        <v/>
      </c>
      <c r="D21" s="62" t="str">
        <f>IFERROR(IF(VLOOKUP($A21,TableHandbook[],4,FALSE)=0,"",VLOOKUP($A21,TableHandbook[],4,FALSE)),"")</f>
        <v>Study a Screen Arts Option unit (see below)</v>
      </c>
      <c r="E21" s="58" t="str">
        <f>IF(A21="","",E20)</f>
        <v>Sem2</v>
      </c>
      <c r="F21" s="283" t="str">
        <f>IFERROR(IF(VLOOKUP($A21,TableHandbook[],6,FALSE)=0,"",VLOOKUP($A21,TableHandbook[],6,FALSE)),"")</f>
        <v>See below</v>
      </c>
      <c r="G21" s="56">
        <f>IFERROR(IF(VLOOKUP($A21,TableHandbook[],5,FALSE)=0,"",VLOOKUP($A21,TableHandbook[],5,FALSE)),"")</f>
        <v>25</v>
      </c>
      <c r="H21" s="67" t="str">
        <f>IFERROR(VLOOKUP($A21,TableHandbook[],H$2,FALSE),"")</f>
        <v/>
      </c>
      <c r="I21" s="56" t="str">
        <f>IFERROR(VLOOKUP($A21,TableHandbook[],I$2,FALSE),"")</f>
        <v/>
      </c>
      <c r="J21" s="56" t="str">
        <f>IFERROR(VLOOKUP($A21,TableHandbook[],J$2,FALSE),"")</f>
        <v/>
      </c>
      <c r="K21" s="68" t="str">
        <f>IFERROR(VLOOKUP($A21,TableHandbook[],K$2,FALSE),"")</f>
        <v/>
      </c>
      <c r="L21" s="61"/>
      <c r="M21" s="142">
        <v>11</v>
      </c>
      <c r="N21" s="29"/>
      <c r="O21" s="29"/>
      <c r="P21" s="30"/>
      <c r="Q21" s="30"/>
      <c r="R21" s="30"/>
      <c r="S21" s="30"/>
      <c r="T21" s="30"/>
      <c r="U21" s="30"/>
      <c r="V21" s="30"/>
      <c r="W21" s="30"/>
    </row>
    <row r="22" spans="1:23" s="31" customFormat="1" ht="20.100000000000001" customHeight="1" x14ac:dyDescent="0.15">
      <c r="A22" s="63" t="str">
        <f>IFERROR(IF(HLOOKUP($L$6,Unitsets!$K$3:$Z$19,M22,FALSE)=0,"",HLOOKUP($L$6,Unitsets!$K$3:$Z$19,M22,FALSE)),"")</f>
        <v>Opt-SCRAR</v>
      </c>
      <c r="B22" s="58" t="str">
        <f>IFERROR(IF(VLOOKUP($A22,TableHandbook[],2,FALSE)=0,"",VLOOKUP($A22,TableHandbook[],2,FALSE)),"")</f>
        <v/>
      </c>
      <c r="C22" s="58" t="str">
        <f>IFERROR(IF(VLOOKUP($A22,TableHandbook[],3,FALSE)=0,"",VLOOKUP($A22,TableHandbook[],3,FALSE)),"")</f>
        <v/>
      </c>
      <c r="D22" s="62" t="str">
        <f>IFERROR(IF(VLOOKUP($A22,TableHandbook[],4,FALSE)=0,"",VLOOKUP($A22,TableHandbook[],4,FALSE)),"")</f>
        <v>Study a Screen Arts Option unit (see below)</v>
      </c>
      <c r="E22" s="58" t="str">
        <f t="shared" ref="E22:E23" si="2">IF(A22="","",E21)</f>
        <v>Sem2</v>
      </c>
      <c r="F22" s="283" t="str">
        <f>IFERROR(IF(VLOOKUP($A22,TableHandbook[],6,FALSE)=0,"",VLOOKUP($A22,TableHandbook[],6,FALSE)),"")</f>
        <v>See below</v>
      </c>
      <c r="G22" s="56">
        <f>IFERROR(IF(VLOOKUP($A22,TableHandbook[],5,FALSE)=0,"",VLOOKUP($A22,TableHandbook[],5,FALSE)),"")</f>
        <v>25</v>
      </c>
      <c r="H22" s="67" t="str">
        <f>IFERROR(VLOOKUP($A22,TableHandbook[],H$2,FALSE),"")</f>
        <v/>
      </c>
      <c r="I22" s="56" t="str">
        <f>IFERROR(VLOOKUP($A22,TableHandbook[],I$2,FALSE),"")</f>
        <v/>
      </c>
      <c r="J22" s="56" t="str">
        <f>IFERROR(VLOOKUP($A22,TableHandbook[],J$2,FALSE),"")</f>
        <v/>
      </c>
      <c r="K22" s="68" t="str">
        <f>IFERROR(VLOOKUP($A22,TableHandbook[],K$2,FALSE),"")</f>
        <v/>
      </c>
      <c r="L22" s="61"/>
      <c r="M22" s="142">
        <v>12</v>
      </c>
      <c r="N22" s="29"/>
      <c r="O22" s="29"/>
      <c r="P22" s="30"/>
      <c r="Q22" s="30"/>
      <c r="R22" s="30"/>
      <c r="S22" s="30"/>
      <c r="T22" s="30"/>
      <c r="U22" s="30"/>
      <c r="V22" s="30"/>
      <c r="W22" s="30"/>
    </row>
    <row r="23" spans="1:23" s="31" customFormat="1" ht="20.100000000000001" customHeight="1" x14ac:dyDescent="0.15">
      <c r="A23" s="63" t="str">
        <f>IFERROR(IF(HLOOKUP($L$6,Unitsets!$K$3:$Z$19,M23,FALSE)=0,"",HLOOKUP($L$6,Unitsets!$K$3:$Z$19,M23,FALSE)),"")</f>
        <v>Opt-SCRAR</v>
      </c>
      <c r="B23" s="58" t="str">
        <f>IFERROR(IF(VLOOKUP($A23,TableHandbook[],2,FALSE)=0,"",VLOOKUP($A23,TableHandbook[],2,FALSE)),"")</f>
        <v/>
      </c>
      <c r="C23" s="58" t="str">
        <f>IFERROR(IF(VLOOKUP($A23,TableHandbook[],3,FALSE)=0,"",VLOOKUP($A23,TableHandbook[],3,FALSE)),"")</f>
        <v/>
      </c>
      <c r="D23" s="62" t="str">
        <f>IFERROR(IF(VLOOKUP($A23,TableHandbook[],4,FALSE)=0,"",VLOOKUP($A23,TableHandbook[],4,FALSE)),"")</f>
        <v>Study a Screen Arts Option unit (see below)</v>
      </c>
      <c r="E23" s="58" t="str">
        <f t="shared" si="2"/>
        <v>Sem2</v>
      </c>
      <c r="F23" s="283" t="str">
        <f>IFERROR(IF(VLOOKUP($A23,TableHandbook[],6,FALSE)=0,"",VLOOKUP($A23,TableHandbook[],6,FALSE)),"")</f>
        <v>See below</v>
      </c>
      <c r="G23" s="56">
        <f>IFERROR(IF(VLOOKUP($A23,TableHandbook[],5,FALSE)=0,"",VLOOKUP($A23,TableHandbook[],5,FALSE)),"")</f>
        <v>25</v>
      </c>
      <c r="H23" s="67" t="str">
        <f>IFERROR(VLOOKUP($A23,TableHandbook[],H$2,FALSE),"")</f>
        <v/>
      </c>
      <c r="I23" s="56" t="str">
        <f>IFERROR(VLOOKUP($A23,TableHandbook[],I$2,FALSE),"")</f>
        <v/>
      </c>
      <c r="J23" s="56" t="str">
        <f>IFERROR(VLOOKUP($A23,TableHandbook[],J$2,FALSE),"")</f>
        <v/>
      </c>
      <c r="K23" s="68" t="str">
        <f>IFERROR(VLOOKUP($A23,TableHandbook[],K$2,FALSE),"")</f>
        <v/>
      </c>
      <c r="L23" s="61"/>
      <c r="M23" s="142">
        <v>13</v>
      </c>
      <c r="N23" s="29"/>
      <c r="O23" s="29"/>
      <c r="P23" s="30"/>
      <c r="Q23" s="30"/>
      <c r="R23" s="30"/>
      <c r="S23" s="30"/>
      <c r="T23" s="30"/>
      <c r="U23" s="30"/>
      <c r="V23" s="30"/>
      <c r="W23" s="30"/>
    </row>
    <row r="24" spans="1:23" s="31" customFormat="1" ht="5.0999999999999996" customHeight="1" x14ac:dyDescent="0.15">
      <c r="A24" s="233"/>
      <c r="B24" s="234"/>
      <c r="C24" s="234"/>
      <c r="D24" s="235"/>
      <c r="E24" s="234"/>
      <c r="F24" s="284"/>
      <c r="G24" s="234"/>
      <c r="H24" s="236"/>
      <c r="I24" s="234"/>
      <c r="J24" s="234"/>
      <c r="K24" s="237"/>
      <c r="L24" s="238"/>
      <c r="M24" s="142"/>
      <c r="N24" s="29"/>
      <c r="O24" s="29"/>
      <c r="P24" s="29"/>
      <c r="Q24" s="30"/>
      <c r="R24" s="30"/>
      <c r="S24" s="30"/>
      <c r="T24" s="30"/>
      <c r="U24" s="30"/>
      <c r="V24" s="30"/>
      <c r="W24" s="30"/>
    </row>
    <row r="25" spans="1:23" s="31" customFormat="1" ht="20.100000000000001" customHeight="1" x14ac:dyDescent="0.15">
      <c r="A25" s="63" t="str">
        <f>IFERROR(IF(HLOOKUP($L$6,Unitsets!$K$3:$Z$19,M25,FALSE)=0,"",HLOOKUP($L$6,Unitsets!$K$3:$Z$19,M25,FALSE)),"")</f>
        <v>SPRO5008</v>
      </c>
      <c r="B25" s="58">
        <f>IFERROR(IF(VLOOKUP($A25,TableHandbook[],2,FALSE)=0,"",VLOOKUP($A25,TableHandbook[],2,FALSE)),"")</f>
        <v>1</v>
      </c>
      <c r="C25" s="58" t="str">
        <f>IFERROR(IF(VLOOKUP($A25,TableHandbook[],3,FALSE)=0,"",VLOOKUP($A25,TableHandbook[],3,FALSE)),"")</f>
        <v/>
      </c>
      <c r="D25" s="62" t="str">
        <f>IFERROR(IF(VLOOKUP($A25,TableHandbook[],4,FALSE)=0,"",VLOOKUP($A25,TableHandbook[],4,FALSE)),"")</f>
        <v>Advanced Studio Production</v>
      </c>
      <c r="E25" s="58" t="str">
        <f>IF(A25="","",VLOOKUP($D$7,TableStudyPeriods[],3,FALSE))</f>
        <v>Sem1</v>
      </c>
      <c r="F25" s="283" t="str">
        <f>IFERROR(IF(VLOOKUP($A25,TableHandbook[],6,FALSE)=0,"",VLOOKUP($A25,TableHandbook[],6,FALSE)),"")</f>
        <v>SPRO5000 or SPRO5001 or SPRO5006</v>
      </c>
      <c r="G25" s="56">
        <f>IFERROR(IF(VLOOKUP($A25,TableHandbook[],5,FALSE)=0,"",VLOOKUP($A25,TableHandbook[],5,FALSE)),"")</f>
        <v>25</v>
      </c>
      <c r="H25" s="67" t="str">
        <f>IFERROR(VLOOKUP($A25,TableHandbook[],H$2,FALSE),"")</f>
        <v>Y</v>
      </c>
      <c r="I25" s="56" t="str">
        <f>IFERROR(VLOOKUP($A25,TableHandbook[],I$2,FALSE),"")</f>
        <v/>
      </c>
      <c r="J25" s="56" t="str">
        <f>IFERROR(VLOOKUP($A25,TableHandbook[],J$2,FALSE),"")</f>
        <v/>
      </c>
      <c r="K25" s="68" t="str">
        <f>IFERROR(VLOOKUP($A25,TableHandbook[],K$2,FALSE),"")</f>
        <v/>
      </c>
      <c r="L25" s="61"/>
      <c r="M25" s="142">
        <v>14</v>
      </c>
      <c r="N25" s="29"/>
      <c r="O25" s="29"/>
      <c r="P25" s="30"/>
      <c r="Q25" s="30"/>
      <c r="R25" s="30"/>
      <c r="S25" s="30"/>
      <c r="T25" s="30"/>
      <c r="U25" s="30"/>
      <c r="V25" s="30"/>
      <c r="W25" s="30"/>
    </row>
    <row r="26" spans="1:23" s="31" customFormat="1" ht="20.100000000000001" customHeight="1" x14ac:dyDescent="0.15">
      <c r="A26" s="63" t="str">
        <f>IFERROR(IF(HLOOKUP($L$6,Unitsets!$K$3:$Z$19,M26,FALSE)=0,"",HLOOKUP($L$6,Unitsets!$K$3:$Z$19,M26,FALSE)),"")</f>
        <v>AC-SCRAR2</v>
      </c>
      <c r="B26" s="58" t="str">
        <f>IFERROR(IF(VLOOKUP($A26,TableHandbook[],2,FALSE)=0,"",VLOOKUP($A26,TableHandbook[],2,FALSE)),"")</f>
        <v/>
      </c>
      <c r="C26" s="58" t="str">
        <f>IFERROR(IF(VLOOKUP($A26,TableHandbook[],3,FALSE)=0,"",VLOOKUP($A26,TableHandbook[],3,FALSE)),"")</f>
        <v/>
      </c>
      <c r="D26" s="62" t="str">
        <f>IFERROR(IF(VLOOKUP($A26,TableHandbook[],4,FALSE)=0,"",VLOOKUP($A26,TableHandbook[],4,FALSE)),"")</f>
        <v>Study either COMS6004 or HUMN6003</v>
      </c>
      <c r="E26" s="58" t="str">
        <f>IF(A26="","",E25)</f>
        <v>Sem1</v>
      </c>
      <c r="F26" s="283" t="str">
        <f>IFERROR(IF(VLOOKUP($A26,TableHandbook[],6,FALSE)=0,"",VLOOKUP($A26,TableHandbook[],6,FALSE)),"")</f>
        <v>See below</v>
      </c>
      <c r="G26" s="56">
        <f>IFERROR(IF(VLOOKUP($A26,TableHandbook[],5,FALSE)=0,"",VLOOKUP($A26,TableHandbook[],5,FALSE)),"")</f>
        <v>50</v>
      </c>
      <c r="H26" s="67" t="str">
        <f>IFERROR(VLOOKUP($A26,TableHandbook[],H$2,FALSE),"")</f>
        <v/>
      </c>
      <c r="I26" s="56" t="str">
        <f>IFERROR(VLOOKUP($A26,TableHandbook[],I$2,FALSE),"")</f>
        <v/>
      </c>
      <c r="J26" s="56" t="str">
        <f>IFERROR(VLOOKUP($A26,TableHandbook[],J$2,FALSE),"")</f>
        <v/>
      </c>
      <c r="K26" s="68" t="str">
        <f>IFERROR(VLOOKUP($A26,TableHandbook[],K$2,FALSE),"")</f>
        <v/>
      </c>
      <c r="L26" s="61"/>
      <c r="M26" s="142">
        <v>15</v>
      </c>
      <c r="N26" s="29"/>
      <c r="O26" s="29"/>
      <c r="P26" s="30"/>
      <c r="Q26" s="30"/>
      <c r="R26" s="30"/>
      <c r="S26" s="30"/>
      <c r="T26" s="30"/>
      <c r="U26" s="30"/>
      <c r="V26" s="30"/>
      <c r="W26" s="30"/>
    </row>
    <row r="27" spans="1:23" s="39" customFormat="1" ht="20.100000000000001" customHeight="1" x14ac:dyDescent="0.15">
      <c r="A27" s="63" t="str">
        <f>IFERROR(IF(HLOOKUP($L$6,Unitsets!$K$3:$Z$19,M27,FALSE)=0,"",HLOOKUP($L$6,Unitsets!$K$3:$Z$19,M27,FALSE)),"")</f>
        <v>-</v>
      </c>
      <c r="B27" s="58" t="str">
        <f>IFERROR(IF(VLOOKUP($A27,TableHandbook[],2,FALSE)=0,"",VLOOKUP($A27,TableHandbook[],2,FALSE)),"")</f>
        <v/>
      </c>
      <c r="C27" s="58" t="str">
        <f>IFERROR(IF(VLOOKUP($A27,TableHandbook[],3,FALSE)=0,"",VLOOKUP($A27,TableHandbook[],3,FALSE)),"")</f>
        <v/>
      </c>
      <c r="D27" s="62" t="str">
        <f>IFERROR(IF(VLOOKUP($A27,TableHandbook[],4,FALSE)=0,"",VLOOKUP($A27,TableHandbook[],4,FALSE)),"")</f>
        <v>Please note this is a 50CP Unit</v>
      </c>
      <c r="E27" s="58" t="str">
        <f t="shared" ref="E27:E28" si="3">IF(A27="","",E26)</f>
        <v>Sem1</v>
      </c>
      <c r="F27" s="283" t="str">
        <f>IFERROR(IF(VLOOKUP($A27,TableHandbook[],6,FALSE)=0,"",VLOOKUP($A27,TableHandbook[],6,FALSE)),"")</f>
        <v/>
      </c>
      <c r="G27" s="56"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61"/>
      <c r="M27" s="142">
        <v>16</v>
      </c>
      <c r="N27" s="37"/>
      <c r="O27" s="37"/>
      <c r="P27" s="38"/>
      <c r="Q27" s="38"/>
      <c r="R27" s="38"/>
      <c r="S27" s="38"/>
      <c r="T27" s="38"/>
      <c r="U27" s="38"/>
      <c r="V27" s="38"/>
      <c r="W27" s="38"/>
    </row>
    <row r="28" spans="1:23" s="39" customFormat="1" ht="20.100000000000001" customHeight="1" x14ac:dyDescent="0.15">
      <c r="A28" s="63" t="str">
        <f>IFERROR(IF(HLOOKUP($L$6,Unitsets!$K$3:$Z$19,M28,FALSE)=0,"",HLOOKUP($L$6,Unitsets!$K$3:$Z$19,M28,FALSE)),"")</f>
        <v>Opt-SCRAR</v>
      </c>
      <c r="B28" s="58" t="str">
        <f>IFERROR(IF(VLOOKUP($A28,TableHandbook[],2,FALSE)=0,"",VLOOKUP($A28,TableHandbook[],2,FALSE)),"")</f>
        <v/>
      </c>
      <c r="C28" s="58" t="str">
        <f>IFERROR(IF(VLOOKUP($A28,TableHandbook[],3,FALSE)=0,"",VLOOKUP($A28,TableHandbook[],3,FALSE)),"")</f>
        <v/>
      </c>
      <c r="D28" s="62" t="str">
        <f>IFERROR(IF(VLOOKUP($A28,TableHandbook[],4,FALSE)=0,"",VLOOKUP($A28,TableHandbook[],4,FALSE)),"")</f>
        <v>Study a Screen Arts Option unit (see below)</v>
      </c>
      <c r="E28" s="56" t="str">
        <f t="shared" si="3"/>
        <v>Sem1</v>
      </c>
      <c r="F28" s="283" t="str">
        <f>IFERROR(IF(VLOOKUP($A28,TableHandbook[],6,FALSE)=0,"",VLOOKUP($A28,TableHandbook[],6,FALSE)),"")</f>
        <v>See below</v>
      </c>
      <c r="G28" s="56">
        <f>IFERROR(IF(VLOOKUP($A28,TableHandbook[],5,FALSE)=0,"",VLOOKUP($A28,TableHandbook[],5,FALSE)),"")</f>
        <v>25</v>
      </c>
      <c r="H28" s="67" t="str">
        <f>IFERROR(VLOOKUP($A28,TableHandbook[],H$2,FALSE),"")</f>
        <v/>
      </c>
      <c r="I28" s="56" t="str">
        <f>IFERROR(VLOOKUP($A28,TableHandbook[],I$2,FALSE),"")</f>
        <v/>
      </c>
      <c r="J28" s="56" t="str">
        <f>IFERROR(VLOOKUP($A28,TableHandbook[],J$2,FALSE),"")</f>
        <v/>
      </c>
      <c r="K28" s="68" t="str">
        <f>IFERROR(VLOOKUP($A28,TableHandbook[],K$2,FALSE),"")</f>
        <v/>
      </c>
      <c r="L28" s="61"/>
      <c r="M28" s="142">
        <v>17</v>
      </c>
      <c r="N28" s="37"/>
      <c r="O28" s="37"/>
      <c r="P28" s="38"/>
      <c r="Q28" s="38"/>
      <c r="R28" s="38"/>
      <c r="S28" s="38"/>
      <c r="T28" s="38"/>
      <c r="U28" s="38"/>
      <c r="V28" s="38"/>
      <c r="W28" s="38"/>
    </row>
    <row r="29" spans="1:23" s="39" customFormat="1" ht="20.100000000000001" customHeight="1" x14ac:dyDescent="0.15">
      <c r="A29" s="148"/>
      <c r="B29" s="149"/>
      <c r="C29" s="149"/>
      <c r="D29" s="173"/>
      <c r="E29" s="148"/>
      <c r="F29" s="285"/>
      <c r="G29" s="148"/>
      <c r="H29" s="148"/>
      <c r="I29" s="148"/>
      <c r="J29" s="148"/>
      <c r="K29" s="148"/>
      <c r="L29" s="175"/>
      <c r="M29" s="142"/>
      <c r="N29" s="37"/>
      <c r="O29" s="37"/>
      <c r="P29" s="38"/>
      <c r="Q29" s="38"/>
      <c r="R29" s="38"/>
      <c r="S29" s="38"/>
      <c r="T29" s="38"/>
      <c r="U29" s="38"/>
      <c r="V29" s="38"/>
      <c r="W29" s="38"/>
    </row>
    <row r="30" spans="1:23" ht="17.25" x14ac:dyDescent="0.25">
      <c r="A30" s="227" t="str">
        <f>CONCATENATE("Alternate Core units for ",D6)</f>
        <v>Alternate Core units for Screen Arts Major (MArts)</v>
      </c>
      <c r="B30" s="228"/>
      <c r="C30" s="228"/>
      <c r="D30" s="229"/>
      <c r="E30" s="230"/>
      <c r="F30" s="294"/>
      <c r="G30" s="230"/>
      <c r="H30" s="223" t="s">
        <v>19</v>
      </c>
      <c r="I30" s="224"/>
      <c r="J30" s="225"/>
      <c r="K30" s="226"/>
      <c r="L30" s="222" t="str">
        <f>VLOOKUP($D$6,TableMajors[],2,FALSE)</f>
        <v>MJRP-SCRAR</v>
      </c>
      <c r="M30" s="144"/>
      <c r="N30" s="25"/>
      <c r="O30" s="25"/>
      <c r="P30" s="25"/>
      <c r="Q30" s="25"/>
      <c r="R30" s="25"/>
      <c r="S30" s="25"/>
      <c r="T30" s="25"/>
      <c r="U30" s="25"/>
      <c r="V30" s="25"/>
      <c r="W30" s="25"/>
    </row>
    <row r="31" spans="1:23" s="48" customFormat="1" ht="21" x14ac:dyDescent="0.25">
      <c r="A31" s="159"/>
      <c r="B31" s="159"/>
      <c r="C31" s="159"/>
      <c r="D31" s="160" t="s">
        <v>3</v>
      </c>
      <c r="E31" s="165"/>
      <c r="F31" s="276" t="s">
        <v>22</v>
      </c>
      <c r="G31" s="159" t="s">
        <v>23</v>
      </c>
      <c r="H31" s="166" t="s">
        <v>24</v>
      </c>
      <c r="I31" s="165" t="s">
        <v>25</v>
      </c>
      <c r="J31" s="165" t="s">
        <v>26</v>
      </c>
      <c r="K31" s="167" t="s">
        <v>27</v>
      </c>
      <c r="L31" s="158"/>
      <c r="M31" s="144"/>
      <c r="N31" s="47"/>
      <c r="O31" s="47"/>
      <c r="P31" s="47"/>
      <c r="Q31" s="47"/>
      <c r="R31" s="47"/>
      <c r="S31" s="47"/>
      <c r="T31" s="47"/>
      <c r="U31" s="47"/>
      <c r="V31" s="47"/>
      <c r="W31" s="47"/>
    </row>
    <row r="32" spans="1:23" x14ac:dyDescent="0.25">
      <c r="A32" s="199" t="str">
        <f t="shared" ref="A32:A38" si="4">IFERROR(IF(HLOOKUP($L$30,RangeMARTSAltCore,$M32,FALSE)=0,"",HLOOKUP($L$30,RangeMARTSAltCore,$M32,FALSE)),"")</f>
        <v>AC-SCRAR1</v>
      </c>
      <c r="B32" s="125" t="str">
        <f>IFERROR(IF(VLOOKUP($A32,TableHandbook[],2,FALSE)=0,"",VLOOKUP($A32,TableHandbook[],2,FALSE)),"")</f>
        <v/>
      </c>
      <c r="C32" s="49" t="str">
        <f>IFERROR(IF(VLOOKUP($A32,TableHandbook[],3,FALSE)=0,"",VLOOKUP($A32,TableHandbook[],3,FALSE)),"")</f>
        <v/>
      </c>
      <c r="D32" s="49" t="str">
        <f>IFERROR(IF(VLOOKUP($A32,TableHandbook[],4,FALSE)=0,"",VLOOKUP($A32,TableHandbook[],4,FALSE)),"")</f>
        <v>Study either CWRI6000 or NETS5010</v>
      </c>
      <c r="E32" s="50"/>
      <c r="F32" s="293" t="str">
        <f>IFERROR(IF(VLOOKUP($A32,TableHandbook[],6,FALSE)=0,"",VLOOKUP($A32,TableHandbook[],6,FALSE)),"")</f>
        <v>See below</v>
      </c>
      <c r="G32" s="51">
        <f>IFERROR(IF(VLOOKUP($A32,TableHandbook[],5,FALSE)=0,"",VLOOKUP($A32,TableHandbook[],5,FALSE)),"")</f>
        <v>25</v>
      </c>
      <c r="H32" s="67" t="str">
        <f>IFERROR(VLOOKUP($A32,TableHandbook[],H$2,FALSE),"")</f>
        <v/>
      </c>
      <c r="I32" s="56" t="str">
        <f>IFERROR(VLOOKUP($A32,TableHandbook[],I$2,FALSE),"")</f>
        <v/>
      </c>
      <c r="J32" s="56" t="str">
        <f>IFERROR(VLOOKUP($A32,TableHandbook[],J$2,FALSE),"")</f>
        <v/>
      </c>
      <c r="K32" s="68" t="str">
        <f>IFERROR(VLOOKUP($A32,TableHandbook[],K$2,FALSE),"")</f>
        <v/>
      </c>
      <c r="L32" s="57"/>
      <c r="M32" s="142">
        <v>2</v>
      </c>
      <c r="N32" s="25"/>
      <c r="O32" s="25"/>
      <c r="P32" s="25"/>
      <c r="Q32" s="25"/>
      <c r="R32" s="25"/>
      <c r="S32" s="25"/>
      <c r="T32" s="25"/>
      <c r="U32" s="25"/>
      <c r="V32" s="25"/>
      <c r="W32" s="25"/>
    </row>
    <row r="33" spans="1:23" x14ac:dyDescent="0.25">
      <c r="A33" s="199" t="str">
        <f t="shared" si="4"/>
        <v>CWRI6000</v>
      </c>
      <c r="B33" s="125">
        <f>IFERROR(IF(VLOOKUP($A33,TableHandbook[],2,FALSE)=0,"",VLOOKUP($A33,TableHandbook[],2,FALSE)),"")</f>
        <v>2</v>
      </c>
      <c r="C33" s="49" t="str">
        <f>IFERROR(IF(VLOOKUP($A33,TableHandbook[],3,FALSE)=0,"",VLOOKUP($A33,TableHandbook[],3,FALSE)),"")</f>
        <v/>
      </c>
      <c r="D33" s="49" t="str">
        <f>IFERROR(IF(VLOOKUP($A33,TableHandbook[],4,FALSE)=0,"",VLOOKUP($A33,TableHandbook[],4,FALSE)),"")</f>
        <v>Engaging Narrative</v>
      </c>
      <c r="E33" s="50"/>
      <c r="F33" s="293" t="str">
        <f>IFERROR(IF(VLOOKUP($A33,TableHandbook[],6,FALSE)=0,"",VLOOKUP($A33,TableHandbook[],6,FALSE)),"")</f>
        <v>None</v>
      </c>
      <c r="G33" s="51">
        <f>IFERROR(IF(VLOOKUP($A33,TableHandbook[],5,FALSE)=0,"",VLOOKUP($A33,TableHandbook[],5,FALSE)),"")</f>
        <v>25</v>
      </c>
      <c r="H33" s="67" t="str">
        <f>IFERROR(VLOOKUP($A33,TableHandbook[],H$2,FALSE),"")</f>
        <v/>
      </c>
      <c r="I33" s="56" t="str">
        <f>IFERROR(VLOOKUP($A33,TableHandbook[],I$2,FALSE),"")</f>
        <v/>
      </c>
      <c r="J33" s="56" t="str">
        <f>IFERROR(VLOOKUP($A33,TableHandbook[],J$2,FALSE),"")</f>
        <v>Y</v>
      </c>
      <c r="K33" s="68" t="str">
        <f>IFERROR(VLOOKUP($A33,TableHandbook[],K$2,FALSE),"")</f>
        <v/>
      </c>
      <c r="L33" s="57"/>
      <c r="M33" s="142">
        <v>3</v>
      </c>
      <c r="N33" s="25"/>
      <c r="O33" s="25"/>
      <c r="P33" s="25"/>
      <c r="Q33" s="25"/>
      <c r="R33" s="25"/>
      <c r="S33" s="25"/>
      <c r="T33" s="25"/>
      <c r="U33" s="25"/>
      <c r="V33" s="25"/>
      <c r="W33" s="25"/>
    </row>
    <row r="34" spans="1:23" x14ac:dyDescent="0.25">
      <c r="A34" s="199" t="str">
        <f t="shared" si="4"/>
        <v>NETS5010</v>
      </c>
      <c r="B34" s="125">
        <f>IFERROR(IF(VLOOKUP($A34,TableHandbook[],2,FALSE)=0,"",VLOOKUP($A34,TableHandbook[],2,FALSE)),"")</f>
        <v>1</v>
      </c>
      <c r="C34" s="49" t="str">
        <f>IFERROR(IF(VLOOKUP($A34,TableHandbook[],3,FALSE)=0,"",VLOOKUP($A34,TableHandbook[],3,FALSE)),"")</f>
        <v/>
      </c>
      <c r="D34" s="49" t="str">
        <f>IFERROR(IF(VLOOKUP($A34,TableHandbook[],4,FALSE)=0,"",VLOOKUP($A34,TableHandbook[],4,FALSE)),"")</f>
        <v>Web Media</v>
      </c>
      <c r="E34" s="50"/>
      <c r="F34" s="293" t="str">
        <f>IFERROR(IF(VLOOKUP($A34,TableHandbook[],6,FALSE)=0,"",VLOOKUP($A34,TableHandbook[],6,FALSE)),"")</f>
        <v>None</v>
      </c>
      <c r="G34" s="51">
        <f>IFERROR(IF(VLOOKUP($A34,TableHandbook[],5,FALSE)=0,"",VLOOKUP($A34,TableHandbook[],5,FALSE)),"")</f>
        <v>25</v>
      </c>
      <c r="H34" s="67" t="str">
        <f>IFERROR(VLOOKUP($A34,TableHandbook[],H$2,FALSE),"")</f>
        <v>Y</v>
      </c>
      <c r="I34" s="56" t="str">
        <f>IFERROR(VLOOKUP($A34,TableHandbook[],I$2,FALSE),"")</f>
        <v>Y</v>
      </c>
      <c r="J34" s="56" t="str">
        <f>IFERROR(VLOOKUP($A34,TableHandbook[],J$2,FALSE),"")</f>
        <v/>
      </c>
      <c r="K34" s="68" t="str">
        <f>IFERROR(VLOOKUP($A34,TableHandbook[],K$2,FALSE),"")</f>
        <v/>
      </c>
      <c r="L34" s="57"/>
      <c r="M34" s="142">
        <v>4</v>
      </c>
      <c r="N34" s="25"/>
      <c r="O34" s="25"/>
      <c r="P34" s="25"/>
      <c r="Q34" s="25"/>
      <c r="R34" s="25"/>
      <c r="S34" s="25"/>
      <c r="T34" s="25"/>
      <c r="U34" s="25"/>
      <c r="V34" s="25"/>
      <c r="W34" s="25"/>
    </row>
    <row r="35" spans="1:23" x14ac:dyDescent="0.25">
      <c r="A35" s="199" t="str">
        <f t="shared" si="4"/>
        <v xml:space="preserve"> </v>
      </c>
      <c r="B35" s="125" t="str">
        <f>IFERROR(IF(VLOOKUP($A35,TableHandbook[],2,FALSE)=0,"",VLOOKUP($A35,TableHandbook[],2,FALSE)),"")</f>
        <v/>
      </c>
      <c r="C35" s="49" t="str">
        <f>IFERROR(IF(VLOOKUP($A35,TableHandbook[],3,FALSE)=0,"",VLOOKUP($A35,TableHandbook[],3,FALSE)),"")</f>
        <v/>
      </c>
      <c r="D35" s="49" t="str">
        <f>IFERROR(IF(VLOOKUP($A35,TableHandbook[],4,FALSE)=0,"",VLOOKUP($A35,TableHandbook[],4,FALSE)),"")</f>
        <v/>
      </c>
      <c r="E35" s="50"/>
      <c r="F35" s="293" t="str">
        <f>IFERROR(IF(VLOOKUP($A35,TableHandbook[],6,FALSE)=0,"",VLOOKUP($A35,TableHandbook[],6,FALSE)),"")</f>
        <v/>
      </c>
      <c r="G35" s="51" t="str">
        <f>IFERROR(IF(VLOOKUP($A35,TableHandbook[],5,FALSE)=0,"",VLOOKUP($A35,TableHandbook[],5,FALSE)),"")</f>
        <v/>
      </c>
      <c r="H35" s="67" t="str">
        <f>IFERROR(VLOOKUP($A35,TableHandbook[],H$2,FALSE),"")</f>
        <v/>
      </c>
      <c r="I35" s="56" t="str">
        <f>IFERROR(VLOOKUP($A35,TableHandbook[],I$2,FALSE),"")</f>
        <v/>
      </c>
      <c r="J35" s="56" t="str">
        <f>IFERROR(VLOOKUP($A35,TableHandbook[],J$2,FALSE),"")</f>
        <v/>
      </c>
      <c r="K35" s="68" t="str">
        <f>IFERROR(VLOOKUP($A35,TableHandbook[],K$2,FALSE),"")</f>
        <v/>
      </c>
      <c r="L35" s="57"/>
      <c r="M35" s="142">
        <v>5</v>
      </c>
      <c r="N35" s="25"/>
      <c r="O35" s="25"/>
      <c r="P35" s="25"/>
      <c r="Q35" s="25"/>
      <c r="R35" s="25"/>
      <c r="S35" s="25"/>
      <c r="T35" s="25"/>
      <c r="U35" s="25"/>
      <c r="V35" s="25"/>
      <c r="W35" s="25"/>
    </row>
    <row r="36" spans="1:23" x14ac:dyDescent="0.25">
      <c r="A36" s="199" t="str">
        <f t="shared" si="4"/>
        <v>AC-SCRAR2</v>
      </c>
      <c r="B36" s="125" t="str">
        <f>IFERROR(IF(VLOOKUP($A36,TableHandbook[],2,FALSE)=0,"",VLOOKUP($A36,TableHandbook[],2,FALSE)),"")</f>
        <v/>
      </c>
      <c r="C36" s="49" t="str">
        <f>IFERROR(IF(VLOOKUP($A36,TableHandbook[],3,FALSE)=0,"",VLOOKUP($A36,TableHandbook[],3,FALSE)),"")</f>
        <v/>
      </c>
      <c r="D36" s="49" t="str">
        <f>IFERROR(IF(VLOOKUP($A36,TableHandbook[],4,FALSE)=0,"",VLOOKUP($A36,TableHandbook[],4,FALSE)),"")</f>
        <v>Study either COMS6004 or HUMN6003</v>
      </c>
      <c r="E36" s="50"/>
      <c r="F36" s="293" t="str">
        <f>IFERROR(IF(VLOOKUP($A36,TableHandbook[],6,FALSE)=0,"",VLOOKUP($A36,TableHandbook[],6,FALSE)),"")</f>
        <v>See below</v>
      </c>
      <c r="G36" s="51">
        <f>IFERROR(IF(VLOOKUP($A36,TableHandbook[],5,FALSE)=0,"",VLOOKUP($A36,TableHandbook[],5,FALSE)),"")</f>
        <v>50</v>
      </c>
      <c r="H36" s="67" t="str">
        <f>IFERROR(VLOOKUP($A36,TableHandbook[],H$2,FALSE),"")</f>
        <v/>
      </c>
      <c r="I36" s="56" t="str">
        <f>IFERROR(VLOOKUP($A36,TableHandbook[],I$2,FALSE),"")</f>
        <v/>
      </c>
      <c r="J36" s="56" t="str">
        <f>IFERROR(VLOOKUP($A36,TableHandbook[],J$2,FALSE),"")</f>
        <v/>
      </c>
      <c r="K36" s="68" t="str">
        <f>IFERROR(VLOOKUP($A36,TableHandbook[],K$2,FALSE),"")</f>
        <v/>
      </c>
      <c r="L36" s="57"/>
      <c r="M36" s="142">
        <v>6</v>
      </c>
      <c r="N36" s="25"/>
      <c r="O36" s="25"/>
      <c r="P36" s="25"/>
      <c r="Q36" s="25"/>
      <c r="R36" s="25"/>
      <c r="S36" s="25"/>
      <c r="T36" s="25"/>
      <c r="U36" s="25"/>
      <c r="V36" s="25"/>
      <c r="W36" s="25"/>
    </row>
    <row r="37" spans="1:23" x14ac:dyDescent="0.25">
      <c r="A37" s="199" t="str">
        <f t="shared" si="4"/>
        <v>COMS6004</v>
      </c>
      <c r="B37" s="125">
        <f>IFERROR(IF(VLOOKUP($A37,TableHandbook[],2,FALSE)=0,"",VLOOKUP($A37,TableHandbook[],2,FALSE)),"")</f>
        <v>2</v>
      </c>
      <c r="C37" s="49" t="str">
        <f>IFERROR(IF(VLOOKUP($A37,TableHandbook[],3,FALSE)=0,"",VLOOKUP($A37,TableHandbook[],3,FALSE)),"")</f>
        <v/>
      </c>
      <c r="D37" s="49" t="str">
        <f>IFERROR(IF(VLOOKUP($A37,TableHandbook[],4,FALSE)=0,"",VLOOKUP($A37,TableHandbook[],4,FALSE)),"")</f>
        <v>Masters Professional or Creative Project</v>
      </c>
      <c r="E37" s="50"/>
      <c r="F37" s="293" t="str">
        <f>IFERROR(IF(VLOOKUP($A37,TableHandbook[],6,FALSE)=0,"",VLOOKUP($A37,TableHandbook[],6,FALSE)),"")</f>
        <v>Course specific - See Handbook</v>
      </c>
      <c r="G37" s="51">
        <f>IFERROR(IF(VLOOKUP($A37,TableHandbook[],5,FALSE)=0,"",VLOOKUP($A37,TableHandbook[],5,FALSE)),"")</f>
        <v>50</v>
      </c>
      <c r="H37" s="67" t="str">
        <f>IFERROR(VLOOKUP($A37,TableHandbook[],H$2,FALSE),"")</f>
        <v>Y</v>
      </c>
      <c r="I37" s="56" t="str">
        <f>IFERROR(VLOOKUP($A37,TableHandbook[],I$2,FALSE),"")</f>
        <v>Y</v>
      </c>
      <c r="J37" s="56" t="str">
        <f>IFERROR(VLOOKUP($A37,TableHandbook[],J$2,FALSE),"")</f>
        <v>Y</v>
      </c>
      <c r="K37" s="68" t="str">
        <f>IFERROR(VLOOKUP($A37,TableHandbook[],K$2,FALSE),"")</f>
        <v>Y</v>
      </c>
      <c r="L37" s="57"/>
      <c r="M37" s="142">
        <v>7</v>
      </c>
      <c r="N37" s="25"/>
      <c r="O37" s="25"/>
      <c r="P37" s="25"/>
      <c r="Q37" s="25"/>
      <c r="R37" s="25"/>
      <c r="S37" s="25"/>
      <c r="T37" s="25"/>
      <c r="U37" s="25"/>
      <c r="V37" s="25"/>
      <c r="W37" s="25"/>
    </row>
    <row r="38" spans="1:23" x14ac:dyDescent="0.25">
      <c r="A38" s="199" t="str">
        <f t="shared" si="4"/>
        <v>HUMN6003</v>
      </c>
      <c r="B38" s="125">
        <f>IFERROR(IF(VLOOKUP($A38,TableHandbook[],2,FALSE)=0,"",VLOOKUP($A38,TableHandbook[],2,FALSE)),"")</f>
        <v>1</v>
      </c>
      <c r="C38" s="49" t="str">
        <f>IFERROR(IF(VLOOKUP($A38,TableHandbook[],3,FALSE)=0,"",VLOOKUP($A38,TableHandbook[],3,FALSE)),"")</f>
        <v/>
      </c>
      <c r="D38" s="49" t="str">
        <f>IFERROR(IF(VLOOKUP($A38,TableHandbook[],4,FALSE)=0,"",VLOOKUP($A38,TableHandbook[],4,FALSE)),"")</f>
        <v>Masters Research Project 2 (* must study HUMN6001 first)</v>
      </c>
      <c r="E38" s="50"/>
      <c r="F38" s="293" t="str">
        <f>IFERROR(IF(VLOOKUP($A38,TableHandbook[],6,FALSE)=0,"",VLOOKUP($A38,TableHandbook[],6,FALSE)),"")</f>
        <v>HUMN6001</v>
      </c>
      <c r="G38" s="51">
        <f>IFERROR(IF(VLOOKUP($A38,TableHandbook[],5,FALSE)=0,"",VLOOKUP($A38,TableHandbook[],5,FALSE)),"")</f>
        <v>50</v>
      </c>
      <c r="H38" s="67" t="str">
        <f>IFERROR(VLOOKUP($A38,TableHandbook[],H$2,FALSE),"")</f>
        <v>Y</v>
      </c>
      <c r="I38" s="56" t="str">
        <f>IFERROR(VLOOKUP($A38,TableHandbook[],I$2,FALSE),"")</f>
        <v>Y</v>
      </c>
      <c r="J38" s="56" t="str">
        <f>IFERROR(VLOOKUP($A38,TableHandbook[],J$2,FALSE),"")</f>
        <v>Y</v>
      </c>
      <c r="K38" s="68" t="str">
        <f>IFERROR(VLOOKUP($A38,TableHandbook[],K$2,FALSE),"")</f>
        <v>Y</v>
      </c>
      <c r="L38" s="57"/>
      <c r="M38" s="142">
        <v>8</v>
      </c>
      <c r="N38" s="25"/>
      <c r="O38" s="25"/>
      <c r="P38" s="25"/>
      <c r="Q38" s="25"/>
      <c r="R38" s="25"/>
      <c r="S38" s="25"/>
      <c r="T38" s="25"/>
      <c r="U38" s="25"/>
      <c r="V38" s="25"/>
      <c r="W38" s="25"/>
    </row>
    <row r="39" spans="1:23" s="39" customFormat="1" ht="20.100000000000001" customHeight="1" x14ac:dyDescent="0.15">
      <c r="A39" s="148"/>
      <c r="B39" s="149"/>
      <c r="C39" s="149"/>
      <c r="D39" s="173"/>
      <c r="E39" s="148"/>
      <c r="F39" s="285"/>
      <c r="G39" s="148"/>
      <c r="H39" s="148"/>
      <c r="I39" s="148"/>
      <c r="J39" s="148"/>
      <c r="K39" s="148"/>
      <c r="L39" s="175"/>
      <c r="M39" s="142"/>
      <c r="N39" s="37"/>
      <c r="O39" s="37"/>
      <c r="P39" s="38"/>
      <c r="Q39" s="38"/>
      <c r="R39" s="38"/>
      <c r="S39" s="38"/>
      <c r="T39" s="38"/>
      <c r="U39" s="38"/>
      <c r="V39" s="38"/>
      <c r="W39" s="38"/>
    </row>
    <row r="40" spans="1:23" ht="17.25" x14ac:dyDescent="0.25">
      <c r="A40" s="157" t="str">
        <f>CONCATENATE("Option Units for ",D6)</f>
        <v>Option Units for Screen Arts Major (MArts)</v>
      </c>
      <c r="B40" s="150"/>
      <c r="C40" s="150"/>
      <c r="D40" s="151"/>
      <c r="E40" s="152"/>
      <c r="F40" s="295"/>
      <c r="G40" s="152"/>
      <c r="H40" s="202" t="s">
        <v>19</v>
      </c>
      <c r="I40" s="153"/>
      <c r="J40" s="154"/>
      <c r="K40" s="155"/>
      <c r="L40" s="156"/>
      <c r="M40" s="144"/>
      <c r="N40" s="25"/>
      <c r="O40" s="25"/>
      <c r="P40" s="25"/>
      <c r="Q40" s="25"/>
      <c r="R40" s="25"/>
      <c r="S40" s="25"/>
      <c r="T40" s="25"/>
      <c r="U40" s="25"/>
      <c r="V40" s="25"/>
      <c r="W40" s="25"/>
    </row>
    <row r="41" spans="1:23" s="48" customFormat="1" ht="21" x14ac:dyDescent="0.25">
      <c r="A41" s="255"/>
      <c r="B41" s="159"/>
      <c r="C41" s="159"/>
      <c r="D41" s="160" t="s">
        <v>3</v>
      </c>
      <c r="E41" s="165"/>
      <c r="F41" s="276" t="s">
        <v>22</v>
      </c>
      <c r="G41" s="159" t="s">
        <v>23</v>
      </c>
      <c r="H41" s="166" t="s">
        <v>24</v>
      </c>
      <c r="I41" s="165" t="s">
        <v>25</v>
      </c>
      <c r="J41" s="165" t="s">
        <v>26</v>
      </c>
      <c r="K41" s="167" t="s">
        <v>27</v>
      </c>
      <c r="L41" s="158"/>
      <c r="M41" s="144"/>
      <c r="N41" s="47"/>
      <c r="O41" s="47"/>
      <c r="P41" s="47"/>
      <c r="Q41" s="47"/>
      <c r="R41" s="47"/>
      <c r="S41" s="47"/>
      <c r="T41" s="47"/>
      <c r="U41" s="47"/>
      <c r="V41" s="47"/>
      <c r="W41" s="47"/>
    </row>
    <row r="42" spans="1:23" x14ac:dyDescent="0.25">
      <c r="A42" s="199" t="str">
        <f t="shared" ref="A42:A64" si="5">IFERROR(IF(HLOOKUP($L$30,RangeMARTSOptions,$M42,FALSE)=0,"",HLOOKUP($L$30,RangeMARTSOptions,$M42,FALSE)),"")</f>
        <v>50CP</v>
      </c>
      <c r="B42" s="125" t="str">
        <f>IFERROR(IF(VLOOKUP($A42,TableHandbook[],2,FALSE)=0,"",VLOOKUP($A42,TableHandbook[],2,FALSE)),"")</f>
        <v/>
      </c>
      <c r="C42" s="49" t="str">
        <f>IFERROR(IF(VLOOKUP($A42,TableHandbook[],3,FALSE)=0,"",VLOOKUP($A42,TableHandbook[],3,FALSE)),"")</f>
        <v/>
      </c>
      <c r="D42" s="49" t="str">
        <f>IFERROR(IF(VLOOKUP($A42,TableHandbook[],4,FALSE)=0,"",VLOOKUP($A42,TableHandbook[],4,FALSE)),"")</f>
        <v>50 Credit Point Units</v>
      </c>
      <c r="E42" s="50"/>
      <c r="F42" s="293" t="str">
        <f>IFERROR(IF(VLOOKUP($A42,TableHandbook[],6,FALSE)=0,"",VLOOKUP($A42,TableHandbook[],6,FALSE)),"")</f>
        <v/>
      </c>
      <c r="G42" s="51" t="str">
        <f>IFERROR(IF(VLOOKUP($A42,TableHandbook[],5,FALSE)=0,"",VLOOKUP($A42,TableHandbook[],5,FALSE)),"")</f>
        <v/>
      </c>
      <c r="H42" s="67" t="str">
        <f>IFERROR(VLOOKUP($A42,TableHandbook[],H$2,FALSE),"")</f>
        <v/>
      </c>
      <c r="I42" s="56" t="str">
        <f>IFERROR(VLOOKUP($A42,TableHandbook[],I$2,FALSE),"")</f>
        <v/>
      </c>
      <c r="J42" s="56" t="str">
        <f>IFERROR(VLOOKUP($A42,TableHandbook[],J$2,FALSE),"")</f>
        <v/>
      </c>
      <c r="K42" s="68" t="str">
        <f>IFERROR(VLOOKUP($A42,TableHandbook[],K$2,FALSE),"")</f>
        <v/>
      </c>
      <c r="L42" s="57"/>
      <c r="M42" s="142">
        <v>2</v>
      </c>
      <c r="N42" s="25"/>
      <c r="O42" s="25"/>
      <c r="P42" s="25"/>
      <c r="Q42" s="25"/>
      <c r="R42" s="25"/>
      <c r="S42" s="25"/>
      <c r="T42" s="25"/>
      <c r="U42" s="25"/>
      <c r="V42" s="25"/>
      <c r="W42" s="25"/>
    </row>
    <row r="43" spans="1:23" x14ac:dyDescent="0.25">
      <c r="A43" s="199" t="str">
        <f t="shared" si="5"/>
        <v>COMS6002</v>
      </c>
      <c r="B43" s="125">
        <f>IFERROR(IF(VLOOKUP($A43,TableHandbook[],2,FALSE)=0,"",VLOOKUP($A43,TableHandbook[],2,FALSE)),"")</f>
        <v>3</v>
      </c>
      <c r="C43" s="49" t="str">
        <f>IFERROR(IF(VLOOKUP($A43,TableHandbook[],3,FALSE)=0,"",VLOOKUP($A43,TableHandbook[],3,FALSE)),"")</f>
        <v/>
      </c>
      <c r="D43" s="49" t="str">
        <f>IFERROR(IF(VLOOKUP($A43,TableHandbook[],4,FALSE)=0,"",VLOOKUP($A43,TableHandbook[],4,FALSE)),"")</f>
        <v>Masters Professional Experience</v>
      </c>
      <c r="E43" s="50"/>
      <c r="F43" s="293" t="str">
        <f>IFERROR(IF(VLOOKUP($A43,TableHandbook[],6,FALSE)=0,"",VLOOKUP($A43,TableHandbook[],6,FALSE)),"")</f>
        <v>Course specific - See Handbook</v>
      </c>
      <c r="G43" s="51">
        <f>IFERROR(IF(VLOOKUP($A43,TableHandbook[],5,FALSE)=0,"",VLOOKUP($A43,TableHandbook[],5,FALSE)),"")</f>
        <v>50</v>
      </c>
      <c r="H43" s="67" t="str">
        <f>IFERROR(VLOOKUP($A43,TableHandbook[],H$2,FALSE),"")</f>
        <v>Y</v>
      </c>
      <c r="I43" s="56" t="str">
        <f>IFERROR(VLOOKUP($A43,TableHandbook[],I$2,FALSE),"")</f>
        <v>Y</v>
      </c>
      <c r="J43" s="56" t="str">
        <f>IFERROR(VLOOKUP($A43,TableHandbook[],J$2,FALSE),"")</f>
        <v>Y</v>
      </c>
      <c r="K43" s="68" t="str">
        <f>IFERROR(VLOOKUP($A43,TableHandbook[],K$2,FALSE),"")</f>
        <v>Y</v>
      </c>
      <c r="L43" s="57"/>
      <c r="M43" s="142">
        <v>3</v>
      </c>
      <c r="N43" s="25"/>
      <c r="O43" s="25"/>
      <c r="P43" s="25"/>
      <c r="Q43" s="25"/>
      <c r="R43" s="25"/>
      <c r="S43" s="25"/>
      <c r="T43" s="25"/>
      <c r="U43" s="25"/>
      <c r="V43" s="25"/>
      <c r="W43" s="25"/>
    </row>
    <row r="44" spans="1:23" x14ac:dyDescent="0.25">
      <c r="A44" s="199" t="str">
        <f t="shared" si="5"/>
        <v>HUMN6001</v>
      </c>
      <c r="B44" s="125">
        <f>IFERROR(IF(VLOOKUP($A44,TableHandbook[],2,FALSE)=0,"",VLOOKUP($A44,TableHandbook[],2,FALSE)),"")</f>
        <v>1</v>
      </c>
      <c r="C44" s="49" t="str">
        <f>IFERROR(IF(VLOOKUP($A44,TableHandbook[],3,FALSE)=0,"",VLOOKUP($A44,TableHandbook[],3,FALSE)),"")</f>
        <v/>
      </c>
      <c r="D44" s="49" t="str">
        <f>IFERROR(IF(VLOOKUP($A44,TableHandbook[],4,FALSE)=0,"",VLOOKUP($A44,TableHandbook[],4,FALSE)),"")</f>
        <v>Masters Research Project 1 (* pre requisite to HUMN6003)</v>
      </c>
      <c r="E44" s="50"/>
      <c r="F44" s="293" t="str">
        <f>IFERROR(IF(VLOOKUP($A44,TableHandbook[],6,FALSE)=0,"",VLOOKUP($A44,TableHandbook[],6,FALSE)),"")</f>
        <v>Course specific - See Handbook</v>
      </c>
      <c r="G44" s="51">
        <f>IFERROR(IF(VLOOKUP($A44,TableHandbook[],5,FALSE)=0,"",VLOOKUP($A44,TableHandbook[],5,FALSE)),"")</f>
        <v>50</v>
      </c>
      <c r="H44" s="67" t="str">
        <f>IFERROR(VLOOKUP($A44,TableHandbook[],H$2,FALSE),"")</f>
        <v>Y</v>
      </c>
      <c r="I44" s="56" t="str">
        <f>IFERROR(VLOOKUP($A44,TableHandbook[],I$2,FALSE),"")</f>
        <v>Y</v>
      </c>
      <c r="J44" s="56" t="str">
        <f>IFERROR(VLOOKUP($A44,TableHandbook[],J$2,FALSE),"")</f>
        <v>Y</v>
      </c>
      <c r="K44" s="68" t="str">
        <f>IFERROR(VLOOKUP($A44,TableHandbook[],K$2,FALSE),"")</f>
        <v>Y</v>
      </c>
      <c r="L44" s="57"/>
      <c r="M44" s="142">
        <v>4</v>
      </c>
      <c r="N44" s="25"/>
      <c r="O44" s="25"/>
      <c r="P44" s="25"/>
      <c r="Q44" s="25"/>
      <c r="R44" s="25"/>
      <c r="S44" s="25"/>
      <c r="T44" s="25"/>
      <c r="U44" s="25"/>
      <c r="V44" s="25"/>
      <c r="W44" s="25"/>
    </row>
    <row r="45" spans="1:23" x14ac:dyDescent="0.25">
      <c r="A45" s="199" t="str">
        <f t="shared" si="5"/>
        <v xml:space="preserve"> </v>
      </c>
      <c r="B45" s="125" t="str">
        <f>IFERROR(IF(VLOOKUP($A45,TableHandbook[],2,FALSE)=0,"",VLOOKUP($A45,TableHandbook[],2,FALSE)),"")</f>
        <v/>
      </c>
      <c r="C45" s="49" t="str">
        <f>IFERROR(IF(VLOOKUP($A45,TableHandbook[],3,FALSE)=0,"",VLOOKUP($A45,TableHandbook[],3,FALSE)),"")</f>
        <v/>
      </c>
      <c r="D45" s="49" t="str">
        <f>IFERROR(IF(VLOOKUP($A45,TableHandbook[],4,FALSE)=0,"",VLOOKUP($A45,TableHandbook[],4,FALSE)),"")</f>
        <v/>
      </c>
      <c r="E45" s="50"/>
      <c r="F45" s="293" t="str">
        <f>IFERROR(IF(VLOOKUP($A45,TableHandbook[],6,FALSE)=0,"",VLOOKUP($A45,TableHandbook[],6,FALSE)),"")</f>
        <v/>
      </c>
      <c r="G45" s="51" t="str">
        <f>IFERROR(IF(VLOOKUP($A45,TableHandbook[],5,FALSE)=0,"",VLOOKUP($A45,TableHandbook[],5,FALSE)),"")</f>
        <v/>
      </c>
      <c r="H45" s="67" t="str">
        <f>IFERROR(VLOOKUP($A45,TableHandbook[],H$2,FALSE),"")</f>
        <v/>
      </c>
      <c r="I45" s="56" t="str">
        <f>IFERROR(VLOOKUP($A45,TableHandbook[],I$2,FALSE),"")</f>
        <v/>
      </c>
      <c r="J45" s="56" t="str">
        <f>IFERROR(VLOOKUP($A45,TableHandbook[],J$2,FALSE),"")</f>
        <v/>
      </c>
      <c r="K45" s="68" t="str">
        <f>IFERROR(VLOOKUP($A45,TableHandbook[],K$2,FALSE),"")</f>
        <v/>
      </c>
      <c r="L45" s="57"/>
      <c r="M45" s="142">
        <v>5</v>
      </c>
      <c r="N45" s="25"/>
      <c r="O45" s="25"/>
      <c r="P45" s="25"/>
      <c r="Q45" s="25"/>
      <c r="R45" s="25"/>
      <c r="S45" s="25"/>
      <c r="T45" s="25"/>
      <c r="U45" s="25"/>
      <c r="V45" s="25"/>
      <c r="W45" s="25"/>
    </row>
    <row r="46" spans="1:23" x14ac:dyDescent="0.25">
      <c r="A46" s="199" t="str">
        <f t="shared" si="5"/>
        <v>25CP</v>
      </c>
      <c r="B46" s="125" t="str">
        <f>IFERROR(IF(VLOOKUP($A46,TableHandbook[],2,FALSE)=0,"",VLOOKUP($A46,TableHandbook[],2,FALSE)),"")</f>
        <v/>
      </c>
      <c r="C46" s="49" t="str">
        <f>IFERROR(IF(VLOOKUP($A46,TableHandbook[],3,FALSE)=0,"",VLOOKUP($A46,TableHandbook[],3,FALSE)),"")</f>
        <v/>
      </c>
      <c r="D46" s="49" t="str">
        <f>IFERROR(IF(VLOOKUP($A46,TableHandbook[],4,FALSE)=0,"",VLOOKUP($A46,TableHandbook[],4,FALSE)),"")</f>
        <v>25 Credit Point Units</v>
      </c>
      <c r="E46" s="50"/>
      <c r="F46" s="293" t="str">
        <f>IFERROR(IF(VLOOKUP($A46,TableHandbook[],6,FALSE)=0,"",VLOOKUP($A46,TableHandbook[],6,FALSE)),"")</f>
        <v/>
      </c>
      <c r="G46" s="51" t="str">
        <f>IFERROR(IF(VLOOKUP($A46,TableHandbook[],5,FALSE)=0,"",VLOOKUP($A46,TableHandbook[],5,FALSE)),"")</f>
        <v/>
      </c>
      <c r="H46" s="67" t="str">
        <f>IFERROR(VLOOKUP($A46,TableHandbook[],H$2,FALSE),"")</f>
        <v/>
      </c>
      <c r="I46" s="56" t="str">
        <f>IFERROR(VLOOKUP($A46,TableHandbook[],I$2,FALSE),"")</f>
        <v/>
      </c>
      <c r="J46" s="56" t="str">
        <f>IFERROR(VLOOKUP($A46,TableHandbook[],J$2,FALSE),"")</f>
        <v/>
      </c>
      <c r="K46" s="68" t="str">
        <f>IFERROR(VLOOKUP($A46,TableHandbook[],K$2,FALSE),"")</f>
        <v/>
      </c>
      <c r="L46" s="57"/>
      <c r="M46" s="142">
        <v>6</v>
      </c>
      <c r="N46" s="25"/>
      <c r="O46" s="25"/>
      <c r="P46" s="25"/>
      <c r="Q46" s="25"/>
      <c r="R46" s="25"/>
      <c r="S46" s="25"/>
      <c r="T46" s="25"/>
      <c r="U46" s="25"/>
      <c r="V46" s="25"/>
      <c r="W46" s="25"/>
    </row>
    <row r="47" spans="1:23" x14ac:dyDescent="0.25">
      <c r="A47" s="199" t="str">
        <f t="shared" si="5"/>
        <v>CWRI6000</v>
      </c>
      <c r="B47" s="125">
        <f>IFERROR(IF(VLOOKUP($A47,TableHandbook[],2,FALSE)=0,"",VLOOKUP($A47,TableHandbook[],2,FALSE)),"")</f>
        <v>2</v>
      </c>
      <c r="C47" s="49" t="str">
        <f>IFERROR(IF(VLOOKUP($A47,TableHandbook[],3,FALSE)=0,"",VLOOKUP($A47,TableHandbook[],3,FALSE)),"")</f>
        <v/>
      </c>
      <c r="D47" s="49" t="str">
        <f>IFERROR(IF(VLOOKUP($A47,TableHandbook[],4,FALSE)=0,"",VLOOKUP($A47,TableHandbook[],4,FALSE)),"")</f>
        <v>Engaging Narrative</v>
      </c>
      <c r="E47" s="50"/>
      <c r="F47" s="293" t="str">
        <f>IFERROR(IF(VLOOKUP($A47,TableHandbook[],6,FALSE)=0,"",VLOOKUP($A47,TableHandbook[],6,FALSE)),"")</f>
        <v>None</v>
      </c>
      <c r="G47" s="51">
        <f>IFERROR(IF(VLOOKUP($A47,TableHandbook[],5,FALSE)=0,"",VLOOKUP($A47,TableHandbook[],5,FALSE)),"")</f>
        <v>25</v>
      </c>
      <c r="H47" s="67" t="str">
        <f>IFERROR(VLOOKUP($A47,TableHandbook[],H$2,FALSE),"")</f>
        <v/>
      </c>
      <c r="I47" s="56" t="str">
        <f>IFERROR(VLOOKUP($A47,TableHandbook[],I$2,FALSE),"")</f>
        <v/>
      </c>
      <c r="J47" s="56" t="str">
        <f>IFERROR(VLOOKUP($A47,TableHandbook[],J$2,FALSE),"")</f>
        <v>Y</v>
      </c>
      <c r="K47" s="68" t="str">
        <f>IFERROR(VLOOKUP($A47,TableHandbook[],K$2,FALSE),"")</f>
        <v/>
      </c>
      <c r="L47" s="57"/>
      <c r="M47" s="142">
        <v>7</v>
      </c>
      <c r="N47" s="25"/>
      <c r="O47" s="25"/>
      <c r="P47" s="25"/>
      <c r="Q47" s="25"/>
      <c r="R47" s="25"/>
      <c r="S47" s="25"/>
      <c r="T47" s="25"/>
      <c r="U47" s="25"/>
      <c r="V47" s="25"/>
      <c r="W47" s="25"/>
    </row>
    <row r="48" spans="1:23" x14ac:dyDescent="0.25">
      <c r="A48" s="199" t="str">
        <f t="shared" si="5"/>
        <v>INDS6001</v>
      </c>
      <c r="B48" s="125">
        <f>IFERROR(IF(VLOOKUP($A48,TableHandbook[],2,FALSE)=0,"",VLOOKUP($A48,TableHandbook[],2,FALSE)),"")</f>
        <v>1</v>
      </c>
      <c r="C48" s="49" t="str">
        <f>IFERROR(IF(VLOOKUP($A48,TableHandbook[],3,FALSE)=0,"",VLOOKUP($A48,TableHandbook[],3,FALSE)),"")</f>
        <v/>
      </c>
      <c r="D48" s="49" t="str">
        <f>IFERROR(IF(VLOOKUP($A48,TableHandbook[],4,FALSE)=0,"",VLOOKUP($A48,TableHandbook[],4,FALSE)),"")</f>
        <v>Australian Indigenous Literature Creative Perspectives</v>
      </c>
      <c r="E48" s="50"/>
      <c r="F48" s="293" t="str">
        <f>IFERROR(IF(VLOOKUP($A48,TableHandbook[],6,FALSE)=0,"",VLOOKUP($A48,TableHandbook[],6,FALSE)),"")</f>
        <v>None</v>
      </c>
      <c r="G48" s="51">
        <f>IFERROR(IF(VLOOKUP($A48,TableHandbook[],5,FALSE)=0,"",VLOOKUP($A48,TableHandbook[],5,FALSE)),"")</f>
        <v>25</v>
      </c>
      <c r="H48" s="67" t="str">
        <f>IFERROR(VLOOKUP($A48,TableHandbook[],H$2,FALSE),"")</f>
        <v/>
      </c>
      <c r="I48" s="56" t="str">
        <f>IFERROR(VLOOKUP($A48,TableHandbook[],I$2,FALSE),"")</f>
        <v/>
      </c>
      <c r="J48" s="56" t="str">
        <f>IFERROR(VLOOKUP($A48,TableHandbook[],J$2,FALSE),"")</f>
        <v>Y</v>
      </c>
      <c r="K48" s="68" t="str">
        <f>IFERROR(VLOOKUP($A48,TableHandbook[],K$2,FALSE),"")</f>
        <v>Y</v>
      </c>
      <c r="L48" s="57"/>
      <c r="M48" s="142">
        <v>8</v>
      </c>
      <c r="N48" s="25"/>
      <c r="O48" s="25"/>
      <c r="P48" s="25"/>
      <c r="Q48" s="25"/>
      <c r="R48" s="25"/>
      <c r="S48" s="25"/>
      <c r="T48" s="25"/>
      <c r="U48" s="25"/>
      <c r="V48" s="25"/>
      <c r="W48" s="25"/>
    </row>
    <row r="49" spans="1:23" x14ac:dyDescent="0.25">
      <c r="A49" s="199" t="str">
        <f t="shared" si="5"/>
        <v>ISYS5001</v>
      </c>
      <c r="B49" s="125">
        <f>IFERROR(IF(VLOOKUP($A49,TableHandbook[],2,FALSE)=0,"",VLOOKUP($A49,TableHandbook[],2,FALSE)),"")</f>
        <v>1</v>
      </c>
      <c r="C49" s="49" t="str">
        <f>IFERROR(IF(VLOOKUP($A49,TableHandbook[],3,FALSE)=0,"",VLOOKUP($A49,TableHandbook[],3,FALSE)),"")</f>
        <v/>
      </c>
      <c r="D49" s="49" t="str">
        <f>IFERROR(IF(VLOOKUP($A49,TableHandbook[],4,FALSE)=0,"",VLOOKUP($A49,TableHandbook[],4,FALSE)),"")</f>
        <v>Business Project Management</v>
      </c>
      <c r="E49" s="50"/>
      <c r="F49" s="293" t="str">
        <f>IFERROR(IF(VLOOKUP($A49,TableHandbook[],6,FALSE)=0,"",VLOOKUP($A49,TableHandbook[],6,FALSE)),"")</f>
        <v>None</v>
      </c>
      <c r="G49" s="51">
        <f>IFERROR(IF(VLOOKUP($A49,TableHandbook[],5,FALSE)=0,"",VLOOKUP($A49,TableHandbook[],5,FALSE)),"")</f>
        <v>25</v>
      </c>
      <c r="H49" s="67" t="str">
        <f>IFERROR(VLOOKUP($A49,TableHandbook[],H$2,FALSE),"")</f>
        <v>Y</v>
      </c>
      <c r="I49" s="56" t="str">
        <f>IFERROR(VLOOKUP($A49,TableHandbook[],I$2,FALSE),"")</f>
        <v>Y</v>
      </c>
      <c r="J49" s="56" t="str">
        <f>IFERROR(VLOOKUP($A49,TableHandbook[],J$2,FALSE),"")</f>
        <v>Y</v>
      </c>
      <c r="K49" s="68" t="str">
        <f>IFERROR(VLOOKUP($A49,TableHandbook[],K$2,FALSE),"")</f>
        <v>Y</v>
      </c>
      <c r="L49" s="57"/>
      <c r="M49" s="142">
        <v>9</v>
      </c>
      <c r="N49" s="25"/>
      <c r="O49" s="25"/>
      <c r="P49" s="25"/>
      <c r="Q49" s="25"/>
      <c r="R49" s="25"/>
      <c r="S49" s="25"/>
      <c r="T49" s="25"/>
      <c r="U49" s="25"/>
      <c r="V49" s="25"/>
      <c r="W49" s="25"/>
    </row>
    <row r="50" spans="1:23" x14ac:dyDescent="0.25">
      <c r="A50" s="199" t="str">
        <f t="shared" si="5"/>
        <v>NETS5010</v>
      </c>
      <c r="B50" s="125">
        <f>IFERROR(IF(VLOOKUP($A50,TableHandbook[],2,FALSE)=0,"",VLOOKUP($A50,TableHandbook[],2,FALSE)),"")</f>
        <v>1</v>
      </c>
      <c r="C50" s="49" t="str">
        <f>IFERROR(IF(VLOOKUP($A50,TableHandbook[],3,FALSE)=0,"",VLOOKUP($A50,TableHandbook[],3,FALSE)),"")</f>
        <v/>
      </c>
      <c r="D50" s="49" t="str">
        <f>IFERROR(IF(VLOOKUP($A50,TableHandbook[],4,FALSE)=0,"",VLOOKUP($A50,TableHandbook[],4,FALSE)),"")</f>
        <v>Web Media</v>
      </c>
      <c r="E50" s="50"/>
      <c r="F50" s="293" t="str">
        <f>IFERROR(IF(VLOOKUP($A50,TableHandbook[],6,FALSE)=0,"",VLOOKUP($A50,TableHandbook[],6,FALSE)),"")</f>
        <v>None</v>
      </c>
      <c r="G50" s="51">
        <f>IFERROR(IF(VLOOKUP($A50,TableHandbook[],5,FALSE)=0,"",VLOOKUP($A50,TableHandbook[],5,FALSE)),"")</f>
        <v>25</v>
      </c>
      <c r="H50" s="67" t="str">
        <f>IFERROR(VLOOKUP($A50,TableHandbook[],H$2,FALSE),"")</f>
        <v>Y</v>
      </c>
      <c r="I50" s="56" t="str">
        <f>IFERROR(VLOOKUP($A50,TableHandbook[],I$2,FALSE),"")</f>
        <v>Y</v>
      </c>
      <c r="J50" s="56" t="str">
        <f>IFERROR(VLOOKUP($A50,TableHandbook[],J$2,FALSE),"")</f>
        <v/>
      </c>
      <c r="K50" s="68" t="str">
        <f>IFERROR(VLOOKUP($A50,TableHandbook[],K$2,FALSE),"")</f>
        <v/>
      </c>
      <c r="L50" s="57"/>
      <c r="M50" s="142">
        <v>10</v>
      </c>
      <c r="N50" s="25"/>
      <c r="O50" s="25"/>
      <c r="P50" s="25"/>
      <c r="Q50" s="25"/>
      <c r="R50" s="25"/>
      <c r="S50" s="25"/>
      <c r="T50" s="25"/>
      <c r="U50" s="25"/>
      <c r="V50" s="25"/>
      <c r="W50" s="25"/>
    </row>
    <row r="51" spans="1:23" x14ac:dyDescent="0.25">
      <c r="A51" s="199" t="str">
        <f t="shared" si="5"/>
        <v>SPRO5001</v>
      </c>
      <c r="B51" s="125">
        <f>IFERROR(IF(VLOOKUP($A51,TableHandbook[],2,FALSE)=0,"",VLOOKUP($A51,TableHandbook[],2,FALSE)),"")</f>
        <v>3</v>
      </c>
      <c r="C51" s="49" t="str">
        <f>IFERROR(IF(VLOOKUP($A51,TableHandbook[],3,FALSE)=0,"",VLOOKUP($A51,TableHandbook[],3,FALSE)),"")</f>
        <v/>
      </c>
      <c r="D51" s="49" t="str">
        <f>IFERROR(IF(VLOOKUP($A51,TableHandbook[],4,FALSE)=0,"",VLOOKUP($A51,TableHandbook[],4,FALSE)),"")</f>
        <v>Drama Narratives</v>
      </c>
      <c r="E51" s="50"/>
      <c r="F51" s="293" t="str">
        <f>IFERROR(IF(VLOOKUP($A51,TableHandbook[],6,FALSE)=0,"",VLOOKUP($A51,TableHandbook[],6,FALSE)),"")</f>
        <v>SPRO5005</v>
      </c>
      <c r="G51" s="51">
        <f>IFERROR(IF(VLOOKUP($A51,TableHandbook[],5,FALSE)=0,"",VLOOKUP($A51,TableHandbook[],5,FALSE)),"")</f>
        <v>25</v>
      </c>
      <c r="H51" s="67" t="str">
        <f>IFERROR(VLOOKUP($A51,TableHandbook[],H$2,FALSE),"")</f>
        <v>Y</v>
      </c>
      <c r="I51" s="56" t="str">
        <f>IFERROR(VLOOKUP($A51,TableHandbook[],I$2,FALSE),"")</f>
        <v/>
      </c>
      <c r="J51" s="56" t="str">
        <f>IFERROR(VLOOKUP($A51,TableHandbook[],J$2,FALSE),"")</f>
        <v/>
      </c>
      <c r="K51" s="68" t="str">
        <f>IFERROR(VLOOKUP($A51,TableHandbook[],K$2,FALSE),"")</f>
        <v/>
      </c>
      <c r="L51" s="57"/>
      <c r="M51" s="142">
        <v>11</v>
      </c>
      <c r="N51" s="25"/>
      <c r="O51" s="25"/>
      <c r="P51" s="25"/>
      <c r="Q51" s="25"/>
      <c r="R51" s="25"/>
      <c r="S51" s="25"/>
      <c r="T51" s="25"/>
      <c r="U51" s="25"/>
      <c r="V51" s="25"/>
      <c r="W51" s="25"/>
    </row>
    <row r="52" spans="1:23" x14ac:dyDescent="0.25">
      <c r="A52" s="199" t="str">
        <f t="shared" si="5"/>
        <v>SPRO5004</v>
      </c>
      <c r="B52" s="125">
        <f>IFERROR(IF(VLOOKUP($A52,TableHandbook[],2,FALSE)=0,"",VLOOKUP($A52,TableHandbook[],2,FALSE)),"")</f>
        <v>5</v>
      </c>
      <c r="C52" s="49" t="str">
        <f>IFERROR(IF(VLOOKUP($A52,TableHandbook[],3,FALSE)=0,"",VLOOKUP($A52,TableHandbook[],3,FALSE)),"")</f>
        <v/>
      </c>
      <c r="D52" s="49" t="str">
        <f>IFERROR(IF(VLOOKUP($A52,TableHandbook[],4,FALSE)=0,"",VLOOKUP($A52,TableHandbook[],4,FALSE)),"")</f>
        <v>Community Media Production</v>
      </c>
      <c r="E52" s="50"/>
      <c r="F52" s="293" t="str">
        <f>IFERROR(IF(VLOOKUP($A52,TableHandbook[],6,FALSE)=0,"",VLOOKUP($A52,TableHandbook[],6,FALSE)),"")</f>
        <v>SPRO5005</v>
      </c>
      <c r="G52" s="51">
        <f>IFERROR(IF(VLOOKUP($A52,TableHandbook[],5,FALSE)=0,"",VLOOKUP($A52,TableHandbook[],5,FALSE)),"")</f>
        <v>25</v>
      </c>
      <c r="H52" s="67" t="str">
        <f>IFERROR(VLOOKUP($A52,TableHandbook[],H$2,FALSE),"")</f>
        <v>Y</v>
      </c>
      <c r="I52" s="56" t="str">
        <f>IFERROR(VLOOKUP($A52,TableHandbook[],I$2,FALSE),"")</f>
        <v/>
      </c>
      <c r="J52" s="56" t="str">
        <f>IFERROR(VLOOKUP($A52,TableHandbook[],J$2,FALSE),"")</f>
        <v/>
      </c>
      <c r="K52" s="68" t="str">
        <f>IFERROR(VLOOKUP($A52,TableHandbook[],K$2,FALSE),"")</f>
        <v/>
      </c>
      <c r="L52" s="57"/>
      <c r="M52" s="142">
        <v>12</v>
      </c>
      <c r="N52" s="25"/>
      <c r="O52" s="25"/>
      <c r="P52" s="25"/>
      <c r="Q52" s="25"/>
      <c r="R52" s="25"/>
      <c r="S52" s="25"/>
      <c r="T52" s="25"/>
      <c r="U52" s="25"/>
      <c r="V52" s="25"/>
      <c r="W52" s="25"/>
    </row>
    <row r="53" spans="1:23" x14ac:dyDescent="0.25">
      <c r="A53" s="199" t="str">
        <f t="shared" si="5"/>
        <v/>
      </c>
      <c r="B53" s="125" t="str">
        <f>IFERROR(IF(VLOOKUP($A53,TableHandbook[],2,FALSE)=0,"",VLOOKUP($A53,TableHandbook[],2,FALSE)),"")</f>
        <v/>
      </c>
      <c r="C53" s="49" t="str">
        <f>IFERROR(IF(VLOOKUP($A53,TableHandbook[],3,FALSE)=0,"",VLOOKUP($A53,TableHandbook[],3,FALSE)),"")</f>
        <v/>
      </c>
      <c r="D53" s="49" t="str">
        <f>IFERROR(IF(VLOOKUP($A53,TableHandbook[],4,FALSE)=0,"",VLOOKUP($A53,TableHandbook[],4,FALSE)),"")</f>
        <v/>
      </c>
      <c r="E53" s="50"/>
      <c r="F53" s="293" t="str">
        <f>IFERROR(IF(VLOOKUP($A53,TableHandbook[],6,FALSE)=0,"",VLOOKUP($A53,TableHandbook[],6,FALSE)),"")</f>
        <v/>
      </c>
      <c r="G53" s="51" t="str">
        <f>IFERROR(IF(VLOOKUP($A53,TableHandbook[],5,FALSE)=0,"",VLOOKUP($A53,TableHandbook[],5,FALSE)),"")</f>
        <v/>
      </c>
      <c r="H53" s="67" t="str">
        <f>IFERROR(VLOOKUP($A53,TableHandbook[],H$2,FALSE),"")</f>
        <v/>
      </c>
      <c r="I53" s="56" t="str">
        <f>IFERROR(VLOOKUP($A53,TableHandbook[],I$2,FALSE),"")</f>
        <v/>
      </c>
      <c r="J53" s="56" t="str">
        <f>IFERROR(VLOOKUP($A53,TableHandbook[],J$2,FALSE),"")</f>
        <v/>
      </c>
      <c r="K53" s="68" t="str">
        <f>IFERROR(VLOOKUP($A53,TableHandbook[],K$2,FALSE),"")</f>
        <v/>
      </c>
      <c r="L53" s="57"/>
      <c r="M53" s="142">
        <v>13</v>
      </c>
      <c r="N53" s="25"/>
      <c r="O53" s="25"/>
      <c r="P53" s="25"/>
      <c r="Q53" s="25"/>
      <c r="R53" s="25"/>
      <c r="S53" s="25"/>
      <c r="T53" s="25"/>
      <c r="U53" s="25"/>
      <c r="V53" s="25"/>
      <c r="W53" s="25"/>
    </row>
    <row r="54" spans="1:23" x14ac:dyDescent="0.25">
      <c r="A54" s="199" t="str">
        <f t="shared" si="5"/>
        <v/>
      </c>
      <c r="B54" s="125" t="str">
        <f>IFERROR(IF(VLOOKUP($A54,TableHandbook[],2,FALSE)=0,"",VLOOKUP($A54,TableHandbook[],2,FALSE)),"")</f>
        <v/>
      </c>
      <c r="C54" s="49" t="str">
        <f>IFERROR(IF(VLOOKUP($A54,TableHandbook[],3,FALSE)=0,"",VLOOKUP($A54,TableHandbook[],3,FALSE)),"")</f>
        <v/>
      </c>
      <c r="D54" s="49" t="str">
        <f>IFERROR(IF(VLOOKUP($A54,TableHandbook[],4,FALSE)=0,"",VLOOKUP($A54,TableHandbook[],4,FALSE)),"")</f>
        <v/>
      </c>
      <c r="E54" s="50"/>
      <c r="F54" s="293" t="str">
        <f>IFERROR(IF(VLOOKUP($A54,TableHandbook[],6,FALSE)=0,"",VLOOKUP($A54,TableHandbook[],6,FALSE)),"")</f>
        <v/>
      </c>
      <c r="G54" s="51" t="str">
        <f>IFERROR(IF(VLOOKUP($A54,TableHandbook[],5,FALSE)=0,"",VLOOKUP($A54,TableHandbook[],5,FALSE)),"")</f>
        <v/>
      </c>
      <c r="H54" s="67" t="str">
        <f>IFERROR(VLOOKUP($A54,TableHandbook[],H$2,FALSE),"")</f>
        <v/>
      </c>
      <c r="I54" s="56" t="str">
        <f>IFERROR(VLOOKUP($A54,TableHandbook[],I$2,FALSE),"")</f>
        <v/>
      </c>
      <c r="J54" s="56" t="str">
        <f>IFERROR(VLOOKUP($A54,TableHandbook[],J$2,FALSE),"")</f>
        <v/>
      </c>
      <c r="K54" s="68" t="str">
        <f>IFERROR(VLOOKUP($A54,TableHandbook[],K$2,FALSE),"")</f>
        <v/>
      </c>
      <c r="L54" s="57"/>
      <c r="M54" s="142">
        <v>14</v>
      </c>
      <c r="N54" s="25"/>
      <c r="O54" s="25"/>
      <c r="P54" s="25"/>
      <c r="Q54" s="25"/>
      <c r="R54" s="25"/>
      <c r="S54" s="25"/>
      <c r="T54" s="25"/>
      <c r="U54" s="25"/>
      <c r="V54" s="25"/>
      <c r="W54" s="25"/>
    </row>
    <row r="55" spans="1:23" x14ac:dyDescent="0.25">
      <c r="A55" s="199" t="str">
        <f t="shared" si="5"/>
        <v/>
      </c>
      <c r="B55" s="125" t="str">
        <f>IFERROR(IF(VLOOKUP($A55,TableHandbook[],2,FALSE)=0,"",VLOOKUP($A55,TableHandbook[],2,FALSE)),"")</f>
        <v/>
      </c>
      <c r="C55" s="49" t="str">
        <f>IFERROR(IF(VLOOKUP($A55,TableHandbook[],3,FALSE)=0,"",VLOOKUP($A55,TableHandbook[],3,FALSE)),"")</f>
        <v/>
      </c>
      <c r="D55" s="49" t="str">
        <f>IFERROR(IF(VLOOKUP($A55,TableHandbook[],4,FALSE)=0,"",VLOOKUP($A55,TableHandbook[],4,FALSE)),"")</f>
        <v/>
      </c>
      <c r="E55" s="50"/>
      <c r="F55" s="293" t="str">
        <f>IFERROR(IF(VLOOKUP($A55,TableHandbook[],6,FALSE)=0,"",VLOOKUP($A55,TableHandbook[],6,FALSE)),"")</f>
        <v/>
      </c>
      <c r="G55" s="51" t="str">
        <f>IFERROR(IF(VLOOKUP($A55,TableHandbook[],5,FALSE)=0,"",VLOOKUP($A55,TableHandbook[],5,FALSE)),"")</f>
        <v/>
      </c>
      <c r="H55" s="67" t="str">
        <f>IFERROR(VLOOKUP($A55,TableHandbook[],H$2,FALSE),"")</f>
        <v/>
      </c>
      <c r="I55" s="56" t="str">
        <f>IFERROR(VLOOKUP($A55,TableHandbook[],I$2,FALSE),"")</f>
        <v/>
      </c>
      <c r="J55" s="56" t="str">
        <f>IFERROR(VLOOKUP($A55,TableHandbook[],J$2,FALSE),"")</f>
        <v/>
      </c>
      <c r="K55" s="68" t="str">
        <f>IFERROR(VLOOKUP($A55,TableHandbook[],K$2,FALSE),"")</f>
        <v/>
      </c>
      <c r="L55" s="57"/>
      <c r="M55" s="142">
        <v>15</v>
      </c>
      <c r="N55" s="25"/>
      <c r="O55" s="25"/>
      <c r="P55" s="25"/>
      <c r="Q55" s="25"/>
      <c r="R55" s="25"/>
      <c r="S55" s="25"/>
      <c r="T55" s="25"/>
      <c r="U55" s="25"/>
      <c r="V55" s="25"/>
      <c r="W55" s="25"/>
    </row>
    <row r="56" spans="1:23" x14ac:dyDescent="0.25">
      <c r="A56" s="199" t="str">
        <f t="shared" si="5"/>
        <v/>
      </c>
      <c r="B56" s="125" t="str">
        <f>IFERROR(IF(VLOOKUP($A56,TableHandbook[],2,FALSE)=0,"",VLOOKUP($A56,TableHandbook[],2,FALSE)),"")</f>
        <v/>
      </c>
      <c r="C56" s="49" t="str">
        <f>IFERROR(IF(VLOOKUP($A56,TableHandbook[],3,FALSE)=0,"",VLOOKUP($A56,TableHandbook[],3,FALSE)),"")</f>
        <v/>
      </c>
      <c r="D56" s="49" t="str">
        <f>IFERROR(IF(VLOOKUP($A56,TableHandbook[],4,FALSE)=0,"",VLOOKUP($A56,TableHandbook[],4,FALSE)),"")</f>
        <v/>
      </c>
      <c r="E56" s="49"/>
      <c r="F56" s="293" t="str">
        <f>IFERROR(IF(VLOOKUP($A56,TableHandbook[],6,FALSE)=0,"",VLOOKUP($A56,TableHandbook[],6,FALSE)),"")</f>
        <v/>
      </c>
      <c r="G56" s="125" t="str">
        <f>IFERROR(IF(VLOOKUP($A56,TableHandbook[],5,FALSE)=0,"",VLOOKUP($A56,TableHandbook[],5,FALSE)),"")</f>
        <v/>
      </c>
      <c r="H56" s="67" t="str">
        <f>IFERROR(VLOOKUP($A56,TableHandbook[],H$2,FALSE),"")</f>
        <v/>
      </c>
      <c r="I56" s="56" t="str">
        <f>IFERROR(VLOOKUP($A56,TableHandbook[],I$2,FALSE),"")</f>
        <v/>
      </c>
      <c r="J56" s="56" t="str">
        <f>IFERROR(VLOOKUP($A56,TableHandbook[],J$2,FALSE),"")</f>
        <v/>
      </c>
      <c r="K56" s="68" t="str">
        <f>IFERROR(VLOOKUP($A56,TableHandbook[],K$2,FALSE),"")</f>
        <v/>
      </c>
      <c r="L56" s="59"/>
      <c r="M56" s="142">
        <v>16</v>
      </c>
      <c r="N56" s="25"/>
      <c r="O56" s="25"/>
      <c r="P56" s="25"/>
      <c r="Q56" s="25"/>
      <c r="R56" s="25"/>
      <c r="S56" s="25"/>
      <c r="T56" s="25"/>
      <c r="U56" s="25"/>
      <c r="V56" s="25"/>
      <c r="W56" s="25"/>
    </row>
    <row r="57" spans="1:23" x14ac:dyDescent="0.25">
      <c r="A57" s="199" t="str">
        <f t="shared" si="5"/>
        <v/>
      </c>
      <c r="B57" s="125" t="str">
        <f>IFERROR(IF(VLOOKUP($A57,TableHandbook[],2,FALSE)=0,"",VLOOKUP($A57,TableHandbook[],2,FALSE)),"")</f>
        <v/>
      </c>
      <c r="C57" s="49" t="str">
        <f>IFERROR(IF(VLOOKUP($A57,TableHandbook[],3,FALSE)=0,"",VLOOKUP($A57,TableHandbook[],3,FALSE)),"")</f>
        <v/>
      </c>
      <c r="D57" s="49" t="str">
        <f>IFERROR(IF(VLOOKUP($A57,TableHandbook[],4,FALSE)=0,"",VLOOKUP($A57,TableHandbook[],4,FALSE)),"")</f>
        <v/>
      </c>
      <c r="E57" s="50"/>
      <c r="F57" s="293" t="str">
        <f>IFERROR(IF(VLOOKUP($A57,TableHandbook[],6,FALSE)=0,"",VLOOKUP($A57,TableHandbook[],6,FALSE)),"")</f>
        <v/>
      </c>
      <c r="G57" s="51" t="str">
        <f>IFERROR(IF(VLOOKUP($A57,TableHandbook[],5,FALSE)=0,"",VLOOKUP($A57,TableHandbook[],5,FALSE)),"")</f>
        <v/>
      </c>
      <c r="H57" s="67" t="str">
        <f>IFERROR(VLOOKUP($A57,TableHandbook[],H$2,FALSE),"")</f>
        <v/>
      </c>
      <c r="I57" s="56" t="str">
        <f>IFERROR(VLOOKUP($A57,TableHandbook[],I$2,FALSE),"")</f>
        <v/>
      </c>
      <c r="J57" s="56" t="str">
        <f>IFERROR(VLOOKUP($A57,TableHandbook[],J$2,FALSE),"")</f>
        <v/>
      </c>
      <c r="K57" s="68" t="str">
        <f>IFERROR(VLOOKUP($A57,TableHandbook[],K$2,FALSE),"")</f>
        <v/>
      </c>
      <c r="L57" s="59"/>
      <c r="M57" s="142">
        <v>17</v>
      </c>
      <c r="N57" s="25"/>
      <c r="O57" s="25"/>
      <c r="P57" s="25"/>
      <c r="Q57" s="25"/>
      <c r="R57" s="25"/>
      <c r="S57" s="25"/>
      <c r="T57" s="25"/>
      <c r="U57" s="25"/>
      <c r="V57" s="25"/>
      <c r="W57" s="25"/>
    </row>
    <row r="58" spans="1:23" x14ac:dyDescent="0.25">
      <c r="A58" s="199" t="str">
        <f t="shared" si="5"/>
        <v/>
      </c>
      <c r="B58" s="125" t="str">
        <f>IFERROR(IF(VLOOKUP($A58,TableHandbook[],2,FALSE)=0,"",VLOOKUP($A58,TableHandbook[],2,FALSE)),"")</f>
        <v/>
      </c>
      <c r="C58" s="49" t="str">
        <f>IFERROR(IF(VLOOKUP($A58,TableHandbook[],3,FALSE)=0,"",VLOOKUP($A58,TableHandbook[],3,FALSE)),"")</f>
        <v/>
      </c>
      <c r="D58" s="49" t="str">
        <f>IFERROR(IF(VLOOKUP($A58,TableHandbook[],4,FALSE)=0,"",VLOOKUP($A58,TableHandbook[],4,FALSE)),"")</f>
        <v/>
      </c>
      <c r="E58" s="50"/>
      <c r="F58" s="293" t="str">
        <f>IFERROR(IF(VLOOKUP($A58,TableHandbook[],6,FALSE)=0,"",VLOOKUP($A58,TableHandbook[],6,FALSE)),"")</f>
        <v/>
      </c>
      <c r="G58" s="51" t="str">
        <f>IFERROR(IF(VLOOKUP($A58,TableHandbook[],5,FALSE)=0,"",VLOOKUP($A58,TableHandbook[],5,FALSE)),"")</f>
        <v/>
      </c>
      <c r="H58" s="67" t="str">
        <f>IFERROR(VLOOKUP($A58,TableHandbook[],H$2,FALSE),"")</f>
        <v/>
      </c>
      <c r="I58" s="56" t="str">
        <f>IFERROR(VLOOKUP($A58,TableHandbook[],I$2,FALSE),"")</f>
        <v/>
      </c>
      <c r="J58" s="56" t="str">
        <f>IFERROR(VLOOKUP($A58,TableHandbook[],J$2,FALSE),"")</f>
        <v/>
      </c>
      <c r="K58" s="68" t="str">
        <f>IFERROR(VLOOKUP($A58,TableHandbook[],K$2,FALSE),"")</f>
        <v/>
      </c>
      <c r="L58" s="57"/>
      <c r="M58" s="142">
        <v>18</v>
      </c>
      <c r="N58" s="25"/>
      <c r="O58" s="25"/>
      <c r="P58" s="25"/>
      <c r="Q58" s="25"/>
      <c r="R58" s="25"/>
      <c r="S58" s="25"/>
      <c r="T58" s="25"/>
      <c r="U58" s="25"/>
      <c r="V58" s="25"/>
      <c r="W58" s="25"/>
    </row>
    <row r="59" spans="1:23" x14ac:dyDescent="0.25">
      <c r="A59" s="199" t="str">
        <f t="shared" si="5"/>
        <v/>
      </c>
      <c r="B59" s="125" t="str">
        <f>IFERROR(IF(VLOOKUP($A59,TableHandbook[],2,FALSE)=0,"",VLOOKUP($A59,TableHandbook[],2,FALSE)),"")</f>
        <v/>
      </c>
      <c r="C59" s="49" t="str">
        <f>IFERROR(IF(VLOOKUP($A59,TableHandbook[],3,FALSE)=0,"",VLOOKUP($A59,TableHandbook[],3,FALSE)),"")</f>
        <v/>
      </c>
      <c r="D59" s="49" t="str">
        <f>IFERROR(IF(VLOOKUP($A59,TableHandbook[],4,FALSE)=0,"",VLOOKUP($A59,TableHandbook[],4,FALSE)),"")</f>
        <v/>
      </c>
      <c r="E59" s="50"/>
      <c r="F59" s="293" t="str">
        <f>IFERROR(IF(VLOOKUP($A59,TableHandbook[],6,FALSE)=0,"",VLOOKUP($A59,TableHandbook[],6,FALSE)),"")</f>
        <v/>
      </c>
      <c r="G59" s="51" t="str">
        <f>IFERROR(IF(VLOOKUP($A59,TableHandbook[],5,FALSE)=0,"",VLOOKUP($A59,TableHandbook[],5,FALSE)),"")</f>
        <v/>
      </c>
      <c r="H59" s="67" t="str">
        <f>IFERROR(VLOOKUP($A59,TableHandbook[],H$2,FALSE),"")</f>
        <v/>
      </c>
      <c r="I59" s="56" t="str">
        <f>IFERROR(VLOOKUP($A59,TableHandbook[],I$2,FALSE),"")</f>
        <v/>
      </c>
      <c r="J59" s="56" t="str">
        <f>IFERROR(VLOOKUP($A59,TableHandbook[],J$2,FALSE),"")</f>
        <v/>
      </c>
      <c r="K59" s="68" t="str">
        <f>IFERROR(VLOOKUP($A59,TableHandbook[],K$2,FALSE),"")</f>
        <v/>
      </c>
      <c r="L59" s="57"/>
      <c r="M59" s="142">
        <v>19</v>
      </c>
      <c r="N59" s="25"/>
      <c r="O59" s="25"/>
      <c r="P59" s="25"/>
      <c r="Q59" s="25"/>
      <c r="R59" s="25"/>
      <c r="S59" s="25"/>
      <c r="T59" s="25"/>
      <c r="U59" s="25"/>
      <c r="V59" s="25"/>
      <c r="W59" s="25"/>
    </row>
    <row r="60" spans="1:23" x14ac:dyDescent="0.25">
      <c r="A60" s="199" t="str">
        <f t="shared" si="5"/>
        <v/>
      </c>
      <c r="B60" s="125" t="str">
        <f>IFERROR(IF(VLOOKUP($A60,TableHandbook[],2,FALSE)=0,"",VLOOKUP($A60,TableHandbook[],2,FALSE)),"")</f>
        <v/>
      </c>
      <c r="C60" s="49" t="str">
        <f>IFERROR(IF(VLOOKUP($A60,TableHandbook[],3,FALSE)=0,"",VLOOKUP($A60,TableHandbook[],3,FALSE)),"")</f>
        <v/>
      </c>
      <c r="D60" s="49" t="str">
        <f>IFERROR(IF(VLOOKUP($A60,TableHandbook[],4,FALSE)=0,"",VLOOKUP($A60,TableHandbook[],4,FALSE)),"")</f>
        <v/>
      </c>
      <c r="E60" s="49"/>
      <c r="F60" s="293" t="str">
        <f>IFERROR(IF(VLOOKUP($A60,TableHandbook[],6,FALSE)=0,"",VLOOKUP($A60,TableHandbook[],6,FALSE)),"")</f>
        <v/>
      </c>
      <c r="G60" s="51" t="str">
        <f>IFERROR(IF(VLOOKUP($A60,TableHandbook[],5,FALSE)=0,"",VLOOKUP($A60,TableHandbook[],5,FALSE)),"")</f>
        <v/>
      </c>
      <c r="H60" s="67" t="str">
        <f>IFERROR(VLOOKUP($A60,TableHandbook[],H$2,FALSE),"")</f>
        <v/>
      </c>
      <c r="I60" s="56" t="str">
        <f>IFERROR(VLOOKUP($A60,TableHandbook[],I$2,FALSE),"")</f>
        <v/>
      </c>
      <c r="J60" s="56" t="str">
        <f>IFERROR(VLOOKUP($A60,TableHandbook[],J$2,FALSE),"")</f>
        <v/>
      </c>
      <c r="K60" s="68" t="str">
        <f>IFERROR(VLOOKUP($A60,TableHandbook[],K$2,FALSE),"")</f>
        <v/>
      </c>
      <c r="L60" s="57"/>
      <c r="M60" s="142">
        <v>20</v>
      </c>
      <c r="N60" s="25"/>
      <c r="O60" s="25"/>
      <c r="P60" s="25"/>
      <c r="Q60" s="25"/>
      <c r="R60" s="25"/>
      <c r="S60" s="25"/>
      <c r="T60" s="25"/>
      <c r="U60" s="25"/>
      <c r="V60" s="25"/>
      <c r="W60" s="25"/>
    </row>
    <row r="61" spans="1:23" x14ac:dyDescent="0.25">
      <c r="A61" s="199" t="str">
        <f t="shared" si="5"/>
        <v/>
      </c>
      <c r="B61" s="125" t="str">
        <f>IFERROR(IF(VLOOKUP($A61,TableHandbook[],2,FALSE)=0,"",VLOOKUP($A61,TableHandbook[],2,FALSE)),"")</f>
        <v/>
      </c>
      <c r="C61" s="49" t="str">
        <f>IFERROR(IF(VLOOKUP($A61,TableHandbook[],3,FALSE)=0,"",VLOOKUP($A61,TableHandbook[],3,FALSE)),"")</f>
        <v/>
      </c>
      <c r="D61" s="49" t="str">
        <f>IFERROR(IF(VLOOKUP($A61,TableHandbook[],4,FALSE)=0,"",VLOOKUP($A61,TableHandbook[],4,FALSE)),"")</f>
        <v/>
      </c>
      <c r="E61" s="49"/>
      <c r="F61" s="293" t="str">
        <f>IFERROR(IF(VLOOKUP($A61,TableHandbook[],6,FALSE)=0,"",VLOOKUP($A61,TableHandbook[],6,FALSE)),"")</f>
        <v/>
      </c>
      <c r="G61" s="51" t="str">
        <f>IFERROR(IF(VLOOKUP($A61,TableHandbook[],5,FALSE)=0,"",VLOOKUP($A61,TableHandbook[],5,FALSE)),"")</f>
        <v/>
      </c>
      <c r="H61" s="67" t="str">
        <f>IFERROR(VLOOKUP($A61,TableHandbook[],H$2,FALSE),"")</f>
        <v/>
      </c>
      <c r="I61" s="56" t="str">
        <f>IFERROR(VLOOKUP($A61,TableHandbook[],I$2,FALSE),"")</f>
        <v/>
      </c>
      <c r="J61" s="56" t="str">
        <f>IFERROR(VLOOKUP($A61,TableHandbook[],J$2,FALSE),"")</f>
        <v/>
      </c>
      <c r="K61" s="68" t="str">
        <f>IFERROR(VLOOKUP($A61,TableHandbook[],K$2,FALSE),"")</f>
        <v/>
      </c>
      <c r="L61" s="57"/>
      <c r="M61" s="142">
        <v>21</v>
      </c>
      <c r="N61" s="25"/>
      <c r="O61" s="25"/>
      <c r="P61" s="25"/>
      <c r="Q61" s="25"/>
      <c r="R61" s="25"/>
      <c r="S61" s="25"/>
      <c r="T61" s="25"/>
      <c r="U61" s="25"/>
      <c r="V61" s="25"/>
      <c r="W61" s="25"/>
    </row>
    <row r="62" spans="1:23" x14ac:dyDescent="0.25">
      <c r="A62" s="199" t="str">
        <f t="shared" si="5"/>
        <v/>
      </c>
      <c r="B62" s="125" t="str">
        <f>IFERROR(IF(VLOOKUP($A62,TableHandbook[],2,FALSE)=0,"",VLOOKUP($A62,TableHandbook[],2,FALSE)),"")</f>
        <v/>
      </c>
      <c r="C62" s="49" t="str">
        <f>IFERROR(IF(VLOOKUP($A62,TableHandbook[],3,FALSE)=0,"",VLOOKUP($A62,TableHandbook[],3,FALSE)),"")</f>
        <v/>
      </c>
      <c r="D62" s="49" t="str">
        <f>IFERROR(IF(VLOOKUP($A62,TableHandbook[],4,FALSE)=0,"",VLOOKUP($A62,TableHandbook[],4,FALSE)),"")</f>
        <v/>
      </c>
      <c r="E62" s="49"/>
      <c r="F62" s="293" t="str">
        <f>IFERROR(IF(VLOOKUP($A62,TableHandbook[],6,FALSE)=0,"",VLOOKUP($A62,TableHandbook[],6,FALSE)),"")</f>
        <v/>
      </c>
      <c r="G62" s="51" t="str">
        <f>IFERROR(IF(VLOOKUP($A62,TableHandbook[],5,FALSE)=0,"",VLOOKUP($A62,TableHandbook[],5,FALSE)),"")</f>
        <v/>
      </c>
      <c r="H62" s="67" t="str">
        <f>IFERROR(VLOOKUP($A62,TableHandbook[],H$2,FALSE),"")</f>
        <v/>
      </c>
      <c r="I62" s="56" t="str">
        <f>IFERROR(VLOOKUP($A62,TableHandbook[],I$2,FALSE),"")</f>
        <v/>
      </c>
      <c r="J62" s="56" t="str">
        <f>IFERROR(VLOOKUP($A62,TableHandbook[],J$2,FALSE),"")</f>
        <v/>
      </c>
      <c r="K62" s="68" t="str">
        <f>IFERROR(VLOOKUP($A62,TableHandbook[],K$2,FALSE),"")</f>
        <v/>
      </c>
      <c r="L62" s="57"/>
      <c r="M62" s="142">
        <v>22</v>
      </c>
      <c r="N62" s="25"/>
      <c r="O62" s="25"/>
      <c r="P62" s="25"/>
      <c r="Q62" s="25"/>
      <c r="R62" s="25"/>
      <c r="S62" s="25"/>
      <c r="T62" s="25"/>
      <c r="U62" s="25"/>
      <c r="V62" s="25"/>
      <c r="W62" s="25"/>
    </row>
    <row r="63" spans="1:23" x14ac:dyDescent="0.25">
      <c r="A63" s="199" t="str">
        <f t="shared" si="5"/>
        <v/>
      </c>
      <c r="B63" s="125" t="str">
        <f>IFERROR(IF(VLOOKUP($A63,TableHandbook[],2,FALSE)=0,"",VLOOKUP($A63,TableHandbook[],2,FALSE)),"")</f>
        <v/>
      </c>
      <c r="C63" s="49" t="str">
        <f>IFERROR(IF(VLOOKUP($A63,TableHandbook[],3,FALSE)=0,"",VLOOKUP($A63,TableHandbook[],3,FALSE)),"")</f>
        <v/>
      </c>
      <c r="D63" s="49" t="str">
        <f>IFERROR(IF(VLOOKUP($A63,TableHandbook[],4,FALSE)=0,"",VLOOKUP($A63,TableHandbook[],4,FALSE)),"")</f>
        <v/>
      </c>
      <c r="E63" s="49"/>
      <c r="F63" s="293" t="str">
        <f>IFERROR(IF(VLOOKUP($A63,TableHandbook[],6,FALSE)=0,"",VLOOKUP($A63,TableHandbook[],6,FALSE)),"")</f>
        <v/>
      </c>
      <c r="G63" s="51" t="str">
        <f>IFERROR(IF(VLOOKUP($A63,TableHandbook[],5,FALSE)=0,"",VLOOKUP($A63,TableHandbook[],5,FALSE)),"")</f>
        <v/>
      </c>
      <c r="H63" s="67" t="str">
        <f>IFERROR(VLOOKUP($A63,TableHandbook[],H$2,FALSE),"")</f>
        <v/>
      </c>
      <c r="I63" s="56" t="str">
        <f>IFERROR(VLOOKUP($A63,TableHandbook[],I$2,FALSE),"")</f>
        <v/>
      </c>
      <c r="J63" s="56" t="str">
        <f>IFERROR(VLOOKUP($A63,TableHandbook[],J$2,FALSE),"")</f>
        <v/>
      </c>
      <c r="K63" s="68" t="str">
        <f>IFERROR(VLOOKUP($A63,TableHandbook[],K$2,FALSE),"")</f>
        <v/>
      </c>
      <c r="L63" s="57"/>
      <c r="M63" s="142">
        <v>23</v>
      </c>
      <c r="N63" s="25"/>
      <c r="O63" s="25"/>
      <c r="P63" s="25"/>
      <c r="Q63" s="25"/>
      <c r="R63" s="25"/>
      <c r="S63" s="25"/>
      <c r="T63" s="25"/>
      <c r="U63" s="25"/>
      <c r="V63" s="25"/>
      <c r="W63" s="25"/>
    </row>
    <row r="64" spans="1:23" x14ac:dyDescent="0.25">
      <c r="A64" s="199" t="str">
        <f t="shared" si="5"/>
        <v/>
      </c>
      <c r="B64" s="125" t="str">
        <f>IFERROR(IF(VLOOKUP($A64,TableHandbook[],2,FALSE)=0,"",VLOOKUP($A64,TableHandbook[],2,FALSE)),"")</f>
        <v/>
      </c>
      <c r="C64" s="49" t="str">
        <f>IFERROR(IF(VLOOKUP($A64,TableHandbook[],3,FALSE)=0,"",VLOOKUP($A64,TableHandbook[],3,FALSE)),"")</f>
        <v/>
      </c>
      <c r="D64" s="49" t="str">
        <f>IFERROR(IF(VLOOKUP($A64,TableHandbook[],4,FALSE)=0,"",VLOOKUP($A64,TableHandbook[],4,FALSE)),"")</f>
        <v/>
      </c>
      <c r="E64" s="49"/>
      <c r="F64" s="293" t="str">
        <f>IFERROR(IF(VLOOKUP($A64,TableHandbook[],6,FALSE)=0,"",VLOOKUP($A64,TableHandbook[],6,FALSE)),"")</f>
        <v/>
      </c>
      <c r="G64" s="51" t="str">
        <f>IFERROR(IF(VLOOKUP($A64,TableHandbook[],5,FALSE)=0,"",VLOOKUP($A64,TableHandbook[],5,FALSE)),"")</f>
        <v/>
      </c>
      <c r="H64" s="67" t="str">
        <f>IFERROR(VLOOKUP($A64,TableHandbook[],H$2,FALSE),"")</f>
        <v/>
      </c>
      <c r="I64" s="56" t="str">
        <f>IFERROR(VLOOKUP($A64,TableHandbook[],I$2,FALSE),"")</f>
        <v/>
      </c>
      <c r="J64" s="56" t="str">
        <f>IFERROR(VLOOKUP($A64,TableHandbook[],J$2,FALSE),"")</f>
        <v/>
      </c>
      <c r="K64" s="68" t="str">
        <f>IFERROR(VLOOKUP($A64,TableHandbook[],K$2,FALSE),"")</f>
        <v/>
      </c>
      <c r="L64" s="57"/>
      <c r="M64" s="142">
        <v>24</v>
      </c>
      <c r="N64" s="25"/>
      <c r="O64" s="25"/>
      <c r="P64" s="25"/>
      <c r="Q64" s="25"/>
      <c r="R64" s="25"/>
      <c r="S64" s="25"/>
      <c r="T64" s="25"/>
      <c r="U64" s="25"/>
      <c r="V64" s="25"/>
      <c r="W64" s="25"/>
    </row>
    <row r="65" spans="1:23" x14ac:dyDescent="0.25">
      <c r="A65" s="231"/>
      <c r="B65" s="231"/>
      <c r="C65" s="232"/>
      <c r="D65" s="232"/>
      <c r="E65" s="232"/>
      <c r="F65" s="149"/>
      <c r="G65" s="149"/>
      <c r="H65" s="148"/>
      <c r="I65" s="148"/>
      <c r="J65" s="148"/>
      <c r="K65" s="148"/>
      <c r="L65" s="149"/>
      <c r="M65" s="142"/>
      <c r="N65" s="25"/>
      <c r="O65" s="25"/>
      <c r="P65" s="25"/>
      <c r="Q65" s="25"/>
      <c r="R65" s="25"/>
      <c r="S65" s="25"/>
      <c r="T65" s="25"/>
      <c r="U65" s="25"/>
      <c r="V65" s="25"/>
      <c r="W65" s="25"/>
    </row>
    <row r="66" spans="1:23" s="25" customFormat="1" ht="32.25" customHeight="1" x14ac:dyDescent="0.25">
      <c r="A66" s="320" t="s">
        <v>30</v>
      </c>
      <c r="B66" s="320"/>
      <c r="C66" s="320"/>
      <c r="D66" s="320"/>
      <c r="E66" s="320"/>
      <c r="F66" s="320"/>
      <c r="G66" s="320"/>
      <c r="H66" s="320"/>
      <c r="I66" s="320"/>
      <c r="J66" s="320"/>
      <c r="K66" s="320"/>
      <c r="L66" s="320"/>
    </row>
    <row r="67" spans="1:23" s="44" customFormat="1" ht="24.95" customHeight="1" x14ac:dyDescent="0.3">
      <c r="A67" s="40" t="s">
        <v>31</v>
      </c>
      <c r="B67" s="40"/>
      <c r="C67" s="40"/>
      <c r="D67" s="41"/>
      <c r="E67" s="41"/>
      <c r="F67" s="41"/>
      <c r="G67" s="41"/>
      <c r="H67" s="41"/>
      <c r="I67" s="41"/>
      <c r="J67" s="41"/>
      <c r="K67" s="41"/>
      <c r="L67" s="41"/>
      <c r="M67" s="145"/>
      <c r="N67" s="42"/>
      <c r="O67" s="42"/>
      <c r="P67" s="43"/>
      <c r="Q67" s="43"/>
      <c r="R67" s="43"/>
      <c r="S67" s="43"/>
      <c r="T67" s="43"/>
      <c r="U67" s="43"/>
      <c r="V67" s="43"/>
      <c r="W67" s="43"/>
    </row>
    <row r="68" spans="1:23" s="25" customFormat="1" ht="15" customHeight="1" x14ac:dyDescent="0.25">
      <c r="A68" s="45" t="s">
        <v>32</v>
      </c>
      <c r="B68" s="45"/>
      <c r="C68" s="45"/>
      <c r="D68" s="45"/>
      <c r="E68" s="52"/>
      <c r="F68" s="46"/>
      <c r="G68" s="53"/>
      <c r="H68" s="53"/>
      <c r="I68" s="53"/>
      <c r="J68" s="53"/>
      <c r="K68" s="53"/>
      <c r="L68" s="53" t="s">
        <v>33</v>
      </c>
    </row>
  </sheetData>
  <sheetProtection formatCells="0"/>
  <mergeCells count="2">
    <mergeCell ref="A3:D3"/>
    <mergeCell ref="A66:L66"/>
  </mergeCells>
  <conditionalFormatting sqref="A32:L38 A42:L65">
    <cfRule type="expression" dxfId="485" priority="3">
      <formula>OR(LEFT($D32,5)="Study",LEFT($D32,4)="Year")</formula>
    </cfRule>
  </conditionalFormatting>
  <conditionalFormatting sqref="D5:D7">
    <cfRule type="containsText" dxfId="484" priority="7" operator="containsText" text="Choose">
      <formula>NOT(ISERROR(SEARCH("Choose",D5)))</formula>
    </cfRule>
  </conditionalFormatting>
  <conditionalFormatting sqref="A32:L38 A42:L64">
    <cfRule type="expression" dxfId="483" priority="1">
      <formula>$A32=""</formula>
    </cfRule>
  </conditionalFormatting>
  <dataValidations count="1">
    <dataValidation type="list" allowBlank="1" showInputMessage="1" showErrorMessage="1" sqref="L24 L14"/>
  </dataValidations>
  <hyperlinks>
    <hyperlink ref="A67:L6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1" orientation="portrait" r:id="rId2"/>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Unitsets!$A$27:$A$31</xm:f>
          </x14:formula1>
          <xm:sqref>D6</xm:sqref>
        </x14:dataValidation>
        <x14:dataValidation type="list" allowBlank="1" showInputMessage="1" showErrorMessage="1">
          <x14:formula1>
            <xm:f>Unitsets!$A$41:$A$43</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6"/>
  <sheetViews>
    <sheetView zoomScale="70" zoomScaleNormal="70" workbookViewId="0">
      <pane ySplit="1" topLeftCell="A380" activePane="bottomLeft" state="frozen"/>
      <selection activeCell="D5" sqref="D5"/>
      <selection pane="bottomLeft" activeCell="D5" sqref="D5"/>
    </sheetView>
  </sheetViews>
  <sheetFormatPr defaultRowHeight="15.75" x14ac:dyDescent="0.25"/>
  <cols>
    <col min="1" max="1" width="16.875" customWidth="1"/>
    <col min="2" max="2" width="12.375" style="1" bestFit="1" customWidth="1"/>
    <col min="3" max="3" width="12" bestFit="1" customWidth="1"/>
    <col min="4" max="4" width="48.75" bestFit="1" customWidth="1"/>
    <col min="5" max="5" width="8.625" style="1"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49.125" bestFit="1" customWidth="1"/>
    <col min="13" max="13" width="14.75" bestFit="1" customWidth="1"/>
    <col min="14" max="14" width="12.5" bestFit="1" customWidth="1"/>
    <col min="15" max="15" width="11.25" bestFit="1" customWidth="1"/>
    <col min="17" max="17" width="11.5" customWidth="1"/>
    <col min="18" max="18" width="7.125" bestFit="1" customWidth="1"/>
  </cols>
  <sheetData>
    <row r="1" spans="1:18" x14ac:dyDescent="0.25">
      <c r="A1" s="83" t="s">
        <v>572</v>
      </c>
    </row>
    <row r="2" spans="1:18" x14ac:dyDescent="0.25">
      <c r="B2"/>
      <c r="E2"/>
      <c r="F2" s="111"/>
      <c r="G2" s="112" t="s">
        <v>573</v>
      </c>
      <c r="H2" s="113">
        <v>44562</v>
      </c>
      <c r="I2" s="177"/>
      <c r="J2" s="253" t="s">
        <v>55</v>
      </c>
      <c r="K2" s="114" t="s">
        <v>56</v>
      </c>
      <c r="L2" s="177" t="s">
        <v>11</v>
      </c>
      <c r="M2" s="177"/>
      <c r="N2" s="250" t="s">
        <v>574</v>
      </c>
      <c r="O2" s="178">
        <v>45337</v>
      </c>
    </row>
    <row r="3" spans="1:18" x14ac:dyDescent="0.25">
      <c r="A3" t="s">
        <v>0</v>
      </c>
      <c r="B3" s="1" t="s">
        <v>46</v>
      </c>
      <c r="C3" t="s">
        <v>575</v>
      </c>
      <c r="D3" t="s">
        <v>3</v>
      </c>
      <c r="E3" s="115" t="s">
        <v>576</v>
      </c>
      <c r="F3" t="s">
        <v>577</v>
      </c>
      <c r="G3" t="s">
        <v>578</v>
      </c>
      <c r="H3" t="s">
        <v>579</v>
      </c>
      <c r="I3" t="s">
        <v>21</v>
      </c>
      <c r="J3" t="s">
        <v>580</v>
      </c>
      <c r="K3" t="s">
        <v>1</v>
      </c>
      <c r="L3" t="s">
        <v>581</v>
      </c>
      <c r="M3" t="s">
        <v>47</v>
      </c>
      <c r="N3" t="s">
        <v>582</v>
      </c>
      <c r="O3" t="s">
        <v>583</v>
      </c>
      <c r="Q3" t="s">
        <v>584</v>
      </c>
      <c r="R3" t="s">
        <v>1</v>
      </c>
    </row>
    <row r="4" spans="1:18" x14ac:dyDescent="0.25">
      <c r="A4" t="str">
        <f>TableMCARTS[[#This Row],[Study Package Code]]</f>
        <v/>
      </c>
      <c r="B4" s="1">
        <f>TableMCARTS[[#This Row],[Ver]]</f>
        <v>0</v>
      </c>
      <c r="D4" t="str">
        <f>TableMCARTS[[#This Row],[Structure Line]]</f>
        <v>Choose a Major</v>
      </c>
      <c r="E4" s="115">
        <f>TableMCARTS[[#This Row],[Credit Points]]</f>
        <v>400</v>
      </c>
      <c r="F4">
        <v>1</v>
      </c>
      <c r="G4" t="s">
        <v>585</v>
      </c>
      <c r="H4">
        <v>0</v>
      </c>
      <c r="I4" t="s">
        <v>586</v>
      </c>
      <c r="J4" t="s">
        <v>587</v>
      </c>
      <c r="K4">
        <v>0</v>
      </c>
      <c r="L4" t="s">
        <v>588</v>
      </c>
      <c r="M4">
        <v>400</v>
      </c>
      <c r="N4" s="178"/>
      <c r="O4" s="178"/>
      <c r="Q4" t="s">
        <v>587</v>
      </c>
      <c r="R4">
        <v>0</v>
      </c>
    </row>
    <row r="5" spans="1:18" x14ac:dyDescent="0.25">
      <c r="A5" t="str">
        <f>TableMCARTS[[#This Row],[Study Package Code]]</f>
        <v>MJRP-CWRIT</v>
      </c>
      <c r="B5" s="1">
        <f>TableMCARTS[[#This Row],[Ver]]</f>
        <v>2</v>
      </c>
      <c r="D5" t="str">
        <f>TableMCARTS[[#This Row],[Structure Line]]</f>
        <v>Creative Writing Major (MArts)</v>
      </c>
      <c r="E5" s="115">
        <f>TableMCARTS[[#This Row],[Credit Points]]</f>
        <v>400</v>
      </c>
      <c r="G5" t="s">
        <v>585</v>
      </c>
      <c r="J5" t="s">
        <v>133</v>
      </c>
      <c r="K5">
        <v>2</v>
      </c>
      <c r="L5" t="s">
        <v>142</v>
      </c>
      <c r="M5">
        <v>400</v>
      </c>
      <c r="N5" s="178">
        <v>45292</v>
      </c>
      <c r="O5" s="178"/>
      <c r="Q5" t="s">
        <v>133</v>
      </c>
      <c r="R5">
        <v>1</v>
      </c>
    </row>
    <row r="6" spans="1:18" x14ac:dyDescent="0.25">
      <c r="A6" t="str">
        <f>TableMCARTS[[#This Row],[Study Package Code]]</f>
        <v>MJRP-FINAR</v>
      </c>
      <c r="B6" s="1">
        <f>TableMCARTS[[#This Row],[Ver]]</f>
        <v>2</v>
      </c>
      <c r="D6" t="str">
        <f>TableMCARTS[[#This Row],[Structure Line]]</f>
        <v>Fine Art Major (MArts)</v>
      </c>
      <c r="E6" s="115">
        <f>TableMCARTS[[#This Row],[Credit Points]]</f>
        <v>400</v>
      </c>
      <c r="G6" t="s">
        <v>585</v>
      </c>
      <c r="J6" t="s">
        <v>134</v>
      </c>
      <c r="K6">
        <v>2</v>
      </c>
      <c r="L6" t="s">
        <v>147</v>
      </c>
      <c r="M6">
        <v>400</v>
      </c>
      <c r="N6" s="178">
        <v>45292</v>
      </c>
      <c r="O6" s="178"/>
      <c r="Q6" t="s">
        <v>134</v>
      </c>
      <c r="R6">
        <v>1</v>
      </c>
    </row>
    <row r="7" spans="1:18" x14ac:dyDescent="0.25">
      <c r="A7" t="str">
        <f>TableMCARTS[[#This Row],[Study Package Code]]</f>
        <v>MJRP-PWRIT</v>
      </c>
      <c r="B7" s="1">
        <f>TableMCARTS[[#This Row],[Ver]]</f>
        <v>2</v>
      </c>
      <c r="D7" t="str">
        <f>TableMCARTS[[#This Row],[Structure Line]]</f>
        <v>Professional Writing and Publishing Major (MArts)</v>
      </c>
      <c r="E7" s="115">
        <f>TableMCARTS[[#This Row],[Credit Points]]</f>
        <v>400</v>
      </c>
      <c r="G7" t="s">
        <v>585</v>
      </c>
      <c r="J7" t="s">
        <v>135</v>
      </c>
      <c r="K7">
        <v>2</v>
      </c>
      <c r="L7" t="s">
        <v>149</v>
      </c>
      <c r="M7">
        <v>400</v>
      </c>
      <c r="N7" s="178">
        <v>45292</v>
      </c>
      <c r="O7" s="178"/>
      <c r="Q7" t="s">
        <v>135</v>
      </c>
      <c r="R7">
        <v>1</v>
      </c>
    </row>
    <row r="8" spans="1:18" x14ac:dyDescent="0.25">
      <c r="A8" t="str">
        <f>TableMCARTS[[#This Row],[Study Package Code]]</f>
        <v>MJRP-SCRAR</v>
      </c>
      <c r="B8" s="1">
        <f>TableMCARTS[[#This Row],[Ver]]</f>
        <v>3</v>
      </c>
      <c r="D8" t="str">
        <f>TableMCARTS[[#This Row],[Structure Line]]</f>
        <v>Screen Arts Major (MArts)</v>
      </c>
      <c r="E8" s="115">
        <f>TableMCARTS[[#This Row],[Credit Points]]</f>
        <v>400</v>
      </c>
      <c r="G8" t="s">
        <v>585</v>
      </c>
      <c r="J8" t="s">
        <v>136</v>
      </c>
      <c r="K8">
        <v>3</v>
      </c>
      <c r="L8" t="s">
        <v>14</v>
      </c>
      <c r="M8">
        <v>400</v>
      </c>
      <c r="N8" s="178">
        <v>45292</v>
      </c>
      <c r="O8" s="178"/>
      <c r="Q8" t="s">
        <v>136</v>
      </c>
      <c r="R8">
        <v>2</v>
      </c>
    </row>
    <row r="9" spans="1:18" x14ac:dyDescent="0.25">
      <c r="B9"/>
      <c r="E9"/>
      <c r="F9" s="111"/>
      <c r="G9" s="112" t="s">
        <v>573</v>
      </c>
      <c r="H9" s="251">
        <v>45292</v>
      </c>
      <c r="I9" s="177"/>
      <c r="J9" s="253" t="s">
        <v>133</v>
      </c>
      <c r="K9" s="114" t="s">
        <v>64</v>
      </c>
      <c r="L9" s="240" t="s">
        <v>142</v>
      </c>
      <c r="M9" s="177"/>
      <c r="N9" s="250" t="s">
        <v>574</v>
      </c>
      <c r="O9" s="178">
        <v>45337</v>
      </c>
      <c r="R9" s="241"/>
    </row>
    <row r="10" spans="1:18" x14ac:dyDescent="0.25">
      <c r="A10" t="s">
        <v>0</v>
      </c>
      <c r="B10" s="1" t="s">
        <v>46</v>
      </c>
      <c r="C10" t="s">
        <v>575</v>
      </c>
      <c r="D10" t="s">
        <v>3</v>
      </c>
      <c r="E10" s="115" t="s">
        <v>576</v>
      </c>
      <c r="F10" t="s">
        <v>577</v>
      </c>
      <c r="G10" t="s">
        <v>578</v>
      </c>
      <c r="H10" t="s">
        <v>579</v>
      </c>
      <c r="I10" t="s">
        <v>21</v>
      </c>
      <c r="J10" t="s">
        <v>580</v>
      </c>
      <c r="K10" t="s">
        <v>1</v>
      </c>
      <c r="L10" t="s">
        <v>581</v>
      </c>
      <c r="M10" t="s">
        <v>47</v>
      </c>
      <c r="N10" t="s">
        <v>582</v>
      </c>
      <c r="O10" t="s">
        <v>583</v>
      </c>
      <c r="Q10" t="s">
        <v>584</v>
      </c>
      <c r="R10" t="s">
        <v>1</v>
      </c>
    </row>
    <row r="11" spans="1:18" x14ac:dyDescent="0.25">
      <c r="A11" t="str">
        <f>TableMJRPCWRIT[[#This Row],[Study Package Code]]</f>
        <v>COMS5003</v>
      </c>
      <c r="B11" s="1">
        <f>TableMJRPCWRIT[[#This Row],[Ver]]</f>
        <v>1</v>
      </c>
      <c r="D11" t="str">
        <f>TableMJRPCWRIT[[#This Row],[Structure Line]]</f>
        <v>Approaches to Arts Research Projects</v>
      </c>
      <c r="E11" s="115">
        <f>TableMJRPCWRIT[[#This Row],[Credit Points]]</f>
        <v>25</v>
      </c>
      <c r="F11">
        <v>1</v>
      </c>
      <c r="G11" t="s">
        <v>585</v>
      </c>
      <c r="H11">
        <v>1</v>
      </c>
      <c r="I11" t="s">
        <v>586</v>
      </c>
      <c r="J11" t="s">
        <v>51</v>
      </c>
      <c r="K11">
        <v>1</v>
      </c>
      <c r="L11" t="s">
        <v>367</v>
      </c>
      <c r="M11">
        <v>25</v>
      </c>
      <c r="N11" s="178">
        <v>43466</v>
      </c>
      <c r="O11" s="178" t="s">
        <v>587</v>
      </c>
      <c r="Q11" t="s">
        <v>51</v>
      </c>
      <c r="R11">
        <v>1</v>
      </c>
    </row>
    <row r="12" spans="1:18" x14ac:dyDescent="0.25">
      <c r="A12" t="str">
        <f>TableMJRPCWRIT[[#This Row],[Study Package Code]]</f>
        <v>COMS6005</v>
      </c>
      <c r="B12" s="1">
        <f>TableMJRPCWRIT[[#This Row],[Ver]]</f>
        <v>1</v>
      </c>
      <c r="D12" t="str">
        <f>TableMJRPCWRIT[[#This Row],[Structure Line]]</f>
        <v>Planning an Arts Research Project</v>
      </c>
      <c r="E12" s="115">
        <f>TableMJRPCWRIT[[#This Row],[Credit Points]]</f>
        <v>25</v>
      </c>
      <c r="F12">
        <v>2</v>
      </c>
      <c r="G12" t="s">
        <v>585</v>
      </c>
      <c r="H12">
        <v>1</v>
      </c>
      <c r="I12" t="s">
        <v>586</v>
      </c>
      <c r="J12" t="s">
        <v>77</v>
      </c>
      <c r="K12">
        <v>1</v>
      </c>
      <c r="L12" t="s">
        <v>379</v>
      </c>
      <c r="M12">
        <v>25</v>
      </c>
      <c r="N12" s="178">
        <v>43466</v>
      </c>
      <c r="O12" s="178" t="s">
        <v>587</v>
      </c>
      <c r="Q12" t="s">
        <v>589</v>
      </c>
      <c r="R12">
        <v>0</v>
      </c>
    </row>
    <row r="13" spans="1:18" x14ac:dyDescent="0.25">
      <c r="A13" t="str">
        <f>TableMJRPCWRIT[[#This Row],[Study Package Code]]</f>
        <v>AC-CWRIT</v>
      </c>
      <c r="B13" s="1">
        <f>TableMJRPCWRIT[[#This Row],[Ver]]</f>
        <v>0</v>
      </c>
      <c r="D13" t="str">
        <f>TableMJRPCWRIT[[#This Row],[Structure Line]]</f>
        <v>Choose COMS6004 or HUMN6003</v>
      </c>
      <c r="E13" s="115">
        <f>TableMJRPCWRIT[[#This Row],[Credit Points]]</f>
        <v>50</v>
      </c>
      <c r="F13">
        <v>3</v>
      </c>
      <c r="G13" t="s">
        <v>590</v>
      </c>
      <c r="H13">
        <v>2</v>
      </c>
      <c r="I13" t="s">
        <v>586</v>
      </c>
      <c r="J13" t="s">
        <v>106</v>
      </c>
      <c r="K13">
        <v>0</v>
      </c>
      <c r="L13" t="s">
        <v>591</v>
      </c>
      <c r="M13">
        <v>50</v>
      </c>
      <c r="N13" s="178"/>
      <c r="O13" s="178"/>
      <c r="Q13" t="s">
        <v>77</v>
      </c>
      <c r="R13">
        <v>1</v>
      </c>
    </row>
    <row r="14" spans="1:18" x14ac:dyDescent="0.25">
      <c r="A14" t="str">
        <f>TableMJRPCWRIT[[#This Row],[Study Package Code]]</f>
        <v>Opt-CWRIT</v>
      </c>
      <c r="B14" s="1">
        <f>TableMJRPCWRIT[[#This Row],[Ver]]</f>
        <v>0</v>
      </c>
      <c r="D14" t="str">
        <f>TableMJRPCWRIT[[#This Row],[Structure Line]]</f>
        <v>Choose Options</v>
      </c>
      <c r="E14" s="115">
        <f>TableMJRPCWRIT[[#This Row],[Credit Points]]</f>
        <v>300</v>
      </c>
      <c r="F14">
        <v>4</v>
      </c>
      <c r="G14" t="s">
        <v>335</v>
      </c>
      <c r="H14">
        <v>0</v>
      </c>
      <c r="I14" t="s">
        <v>586</v>
      </c>
      <c r="J14" t="s">
        <v>59</v>
      </c>
      <c r="K14">
        <v>0</v>
      </c>
      <c r="L14" t="s">
        <v>592</v>
      </c>
      <c r="M14">
        <v>300</v>
      </c>
      <c r="N14" s="178"/>
      <c r="O14" s="178"/>
      <c r="Q14" t="s">
        <v>589</v>
      </c>
      <c r="R14">
        <v>0</v>
      </c>
    </row>
    <row r="15" spans="1:18" x14ac:dyDescent="0.25">
      <c r="A15" t="str">
        <f>TableMJRPCWRIT[[#This Row],[Study Package Code]]</f>
        <v>COMS6004</v>
      </c>
      <c r="B15" s="1">
        <f>TableMJRPCWRIT[[#This Row],[Ver]]</f>
        <v>2</v>
      </c>
      <c r="D15" t="str">
        <f>TableMJRPCWRIT[[#This Row],[Structure Line]]</f>
        <v>Masters Professional or Creative Project</v>
      </c>
      <c r="E15" s="115">
        <f>TableMJRPCWRIT[[#This Row],[Credit Points]]</f>
        <v>50</v>
      </c>
      <c r="F15">
        <v>3</v>
      </c>
      <c r="G15" t="s">
        <v>590</v>
      </c>
      <c r="H15">
        <v>2</v>
      </c>
      <c r="I15" t="s">
        <v>586</v>
      </c>
      <c r="J15" t="s">
        <v>139</v>
      </c>
      <c r="K15">
        <v>2</v>
      </c>
      <c r="L15" t="s">
        <v>376</v>
      </c>
      <c r="M15">
        <v>50</v>
      </c>
      <c r="N15" s="178">
        <v>45292</v>
      </c>
      <c r="O15" s="178"/>
      <c r="Q15" t="s">
        <v>593</v>
      </c>
      <c r="R15">
        <v>0</v>
      </c>
    </row>
    <row r="16" spans="1:18" x14ac:dyDescent="0.25">
      <c r="A16" t="str">
        <f>TableMJRPCWRIT[[#This Row],[Study Package Code]]</f>
        <v>HUMN6003</v>
      </c>
      <c r="B16" s="1">
        <f>TableMJRPCWRIT[[#This Row],[Ver]]</f>
        <v>1</v>
      </c>
      <c r="D16" t="str">
        <f>TableMJRPCWRIT[[#This Row],[Structure Line]]</f>
        <v>Masters Research Project 2</v>
      </c>
      <c r="E16" s="115">
        <f>TableMJRPCWRIT[[#This Row],[Credit Points]]</f>
        <v>50</v>
      </c>
      <c r="F16">
        <v>3</v>
      </c>
      <c r="G16" t="s">
        <v>590</v>
      </c>
      <c r="H16">
        <v>2</v>
      </c>
      <c r="I16" t="s">
        <v>586</v>
      </c>
      <c r="J16" t="s">
        <v>144</v>
      </c>
      <c r="K16">
        <v>1</v>
      </c>
      <c r="L16" t="s">
        <v>594</v>
      </c>
      <c r="M16">
        <v>50</v>
      </c>
      <c r="N16" s="178">
        <v>45292</v>
      </c>
      <c r="O16" s="178"/>
      <c r="Q16" t="s">
        <v>595</v>
      </c>
    </row>
    <row r="17" spans="1:18" x14ac:dyDescent="0.25">
      <c r="A17" t="str">
        <f>TableMJRPCWRIT[[#This Row],[Study Package Code]]</f>
        <v>COMS6002</v>
      </c>
      <c r="B17" s="1">
        <f>TableMJRPCWRIT[[#This Row],[Ver]]</f>
        <v>3</v>
      </c>
      <c r="D17" t="str">
        <f>TableMJRPCWRIT[[#This Row],[Structure Line]]</f>
        <v>Masters Professional Experience</v>
      </c>
      <c r="E17" s="115">
        <f>TableMJRPCWRIT[[#This Row],[Credit Points]]</f>
        <v>50</v>
      </c>
      <c r="F17">
        <v>4</v>
      </c>
      <c r="G17" t="s">
        <v>335</v>
      </c>
      <c r="H17">
        <v>0</v>
      </c>
      <c r="I17" t="s">
        <v>586</v>
      </c>
      <c r="J17" t="s">
        <v>161</v>
      </c>
      <c r="K17">
        <v>3</v>
      </c>
      <c r="L17" t="s">
        <v>369</v>
      </c>
      <c r="M17">
        <v>50</v>
      </c>
      <c r="N17" s="178">
        <v>45292</v>
      </c>
      <c r="O17" s="178"/>
      <c r="Q17" t="s">
        <v>139</v>
      </c>
      <c r="R17">
        <v>1</v>
      </c>
    </row>
    <row r="18" spans="1:18" x14ac:dyDescent="0.25">
      <c r="A18" t="str">
        <f>TableMJRPCWRIT[[#This Row],[Study Package Code]]</f>
        <v>CWRI5000</v>
      </c>
      <c r="B18" s="1">
        <f>TableMJRPCWRIT[[#This Row],[Ver]]</f>
        <v>1</v>
      </c>
      <c r="D18" t="str">
        <f>TableMJRPCWRIT[[#This Row],[Structure Line]]</f>
        <v>Writing Long Fiction</v>
      </c>
      <c r="E18" s="115">
        <f>TableMJRPCWRIT[[#This Row],[Credit Points]]</f>
        <v>25</v>
      </c>
      <c r="F18">
        <v>4</v>
      </c>
      <c r="G18" t="s">
        <v>335</v>
      </c>
      <c r="H18">
        <v>0</v>
      </c>
      <c r="I18" t="s">
        <v>586</v>
      </c>
      <c r="J18" t="s">
        <v>174</v>
      </c>
      <c r="K18">
        <v>1</v>
      </c>
      <c r="L18" t="s">
        <v>380</v>
      </c>
      <c r="M18">
        <v>25</v>
      </c>
      <c r="N18" s="178">
        <v>42005</v>
      </c>
      <c r="O18" s="178"/>
      <c r="Q18" t="s">
        <v>596</v>
      </c>
      <c r="R18">
        <v>1</v>
      </c>
    </row>
    <row r="19" spans="1:18" x14ac:dyDescent="0.25">
      <c r="A19" t="str">
        <f>TableMJRPCWRIT[[#This Row],[Study Package Code]]</f>
        <v>CWRI5003</v>
      </c>
      <c r="B19" s="1">
        <f>TableMJRPCWRIT[[#This Row],[Ver]]</f>
        <v>1</v>
      </c>
      <c r="D19" t="str">
        <f>TableMJRPCWRIT[[#This Row],[Structure Line]]</f>
        <v>Writing for Children</v>
      </c>
      <c r="E19" s="115">
        <f>TableMJRPCWRIT[[#This Row],[Credit Points]]</f>
        <v>25</v>
      </c>
      <c r="F19">
        <v>4</v>
      </c>
      <c r="G19" t="s">
        <v>335</v>
      </c>
      <c r="H19">
        <v>0</v>
      </c>
      <c r="I19" t="s">
        <v>586</v>
      </c>
      <c r="J19" t="s">
        <v>180</v>
      </c>
      <c r="K19">
        <v>1</v>
      </c>
      <c r="L19" t="s">
        <v>381</v>
      </c>
      <c r="M19">
        <v>25</v>
      </c>
      <c r="N19" s="178">
        <v>42005</v>
      </c>
      <c r="O19" s="178"/>
      <c r="Q19" t="s">
        <v>593</v>
      </c>
      <c r="R19">
        <v>0</v>
      </c>
    </row>
    <row r="20" spans="1:18" x14ac:dyDescent="0.25">
      <c r="A20" t="str">
        <f>TableMJRPCWRIT[[#This Row],[Study Package Code]]</f>
        <v>CWRI5014</v>
      </c>
      <c r="B20" s="1">
        <f>TableMJRPCWRIT[[#This Row],[Ver]]</f>
        <v>1</v>
      </c>
      <c r="D20" t="str">
        <f>TableMJRPCWRIT[[#This Row],[Structure Line]]</f>
        <v>Writing Genre Fiction</v>
      </c>
      <c r="E20" s="115">
        <f>TableMJRPCWRIT[[#This Row],[Credit Points]]</f>
        <v>25</v>
      </c>
      <c r="F20">
        <v>4</v>
      </c>
      <c r="G20" t="s">
        <v>335</v>
      </c>
      <c r="H20">
        <v>0</v>
      </c>
      <c r="I20" t="s">
        <v>586</v>
      </c>
      <c r="J20" t="s">
        <v>186</v>
      </c>
      <c r="K20">
        <v>1</v>
      </c>
      <c r="L20" t="s">
        <v>382</v>
      </c>
      <c r="M20">
        <v>25</v>
      </c>
      <c r="N20" s="178">
        <v>42917</v>
      </c>
      <c r="O20" s="178"/>
      <c r="Q20" t="s">
        <v>174</v>
      </c>
      <c r="R20">
        <v>1</v>
      </c>
    </row>
    <row r="21" spans="1:18" x14ac:dyDescent="0.25">
      <c r="A21" t="str">
        <f>TableMJRPCWRIT[[#This Row],[Study Package Code]]</f>
        <v>CWRI5015</v>
      </c>
      <c r="B21" s="1">
        <f>TableMJRPCWRIT[[#This Row],[Ver]]</f>
        <v>1</v>
      </c>
      <c r="D21" t="str">
        <f>TableMJRPCWRIT[[#This Row],[Structure Line]]</f>
        <v>Travel Writing</v>
      </c>
      <c r="E21" s="115">
        <f>TableMJRPCWRIT[[#This Row],[Credit Points]]</f>
        <v>25</v>
      </c>
      <c r="F21">
        <v>4</v>
      </c>
      <c r="G21" t="s">
        <v>335</v>
      </c>
      <c r="H21">
        <v>0</v>
      </c>
      <c r="I21" t="s">
        <v>586</v>
      </c>
      <c r="J21" t="s">
        <v>190</v>
      </c>
      <c r="K21">
        <v>1</v>
      </c>
      <c r="L21" t="s">
        <v>383</v>
      </c>
      <c r="M21">
        <v>25</v>
      </c>
      <c r="N21" s="178">
        <v>42917</v>
      </c>
      <c r="O21" s="178"/>
      <c r="Q21" t="s">
        <v>180</v>
      </c>
      <c r="R21">
        <v>1</v>
      </c>
    </row>
    <row r="22" spans="1:18" x14ac:dyDescent="0.25">
      <c r="A22" t="str">
        <f>TableMJRPCWRIT[[#This Row],[Study Package Code]]</f>
        <v>CWRI5016</v>
      </c>
      <c r="B22" s="1">
        <f>TableMJRPCWRIT[[#This Row],[Ver]]</f>
        <v>1</v>
      </c>
      <c r="D22" t="str">
        <f>TableMJRPCWRIT[[#This Row],[Structure Line]]</f>
        <v>Writing Poetry</v>
      </c>
      <c r="E22" s="115">
        <f>TableMJRPCWRIT[[#This Row],[Credit Points]]</f>
        <v>25</v>
      </c>
      <c r="F22">
        <v>4</v>
      </c>
      <c r="G22" t="s">
        <v>335</v>
      </c>
      <c r="H22">
        <v>0</v>
      </c>
      <c r="I22" t="s">
        <v>586</v>
      </c>
      <c r="J22" t="s">
        <v>191</v>
      </c>
      <c r="K22">
        <v>1</v>
      </c>
      <c r="L22" t="s">
        <v>384</v>
      </c>
      <c r="M22">
        <v>25</v>
      </c>
      <c r="N22" s="178">
        <v>42917</v>
      </c>
      <c r="O22" s="178"/>
      <c r="Q22" t="s">
        <v>186</v>
      </c>
      <c r="R22">
        <v>1</v>
      </c>
    </row>
    <row r="23" spans="1:18" x14ac:dyDescent="0.25">
      <c r="A23" t="str">
        <f>TableMJRPCWRIT[[#This Row],[Study Package Code]]</f>
        <v>CWRI5017</v>
      </c>
      <c r="B23" s="1">
        <f>TableMJRPCWRIT[[#This Row],[Ver]]</f>
        <v>1</v>
      </c>
      <c r="D23" t="str">
        <f>TableMJRPCWRIT[[#This Row],[Structure Line]]</f>
        <v>Experimental Writing</v>
      </c>
      <c r="E23" s="115">
        <f>TableMJRPCWRIT[[#This Row],[Credit Points]]</f>
        <v>25</v>
      </c>
      <c r="F23">
        <v>4</v>
      </c>
      <c r="G23" t="s">
        <v>335</v>
      </c>
      <c r="H23">
        <v>0</v>
      </c>
      <c r="I23" t="s">
        <v>586</v>
      </c>
      <c r="J23" t="s">
        <v>194</v>
      </c>
      <c r="K23">
        <v>1</v>
      </c>
      <c r="L23" t="s">
        <v>385</v>
      </c>
      <c r="M23">
        <v>25</v>
      </c>
      <c r="N23" s="178">
        <v>42917</v>
      </c>
      <c r="O23" s="178"/>
      <c r="Q23" t="s">
        <v>190</v>
      </c>
      <c r="R23">
        <v>1</v>
      </c>
    </row>
    <row r="24" spans="1:18" x14ac:dyDescent="0.25">
      <c r="A24" t="str">
        <f>TableMJRPCWRIT[[#This Row],[Study Package Code]]</f>
        <v>CWRI5018</v>
      </c>
      <c r="B24" s="1">
        <f>TableMJRPCWRIT[[#This Row],[Ver]]</f>
        <v>1</v>
      </c>
      <c r="D24" t="str">
        <f>TableMJRPCWRIT[[#This Row],[Structure Line]]</f>
        <v>Writing Short Fiction</v>
      </c>
      <c r="E24" s="115">
        <f>TableMJRPCWRIT[[#This Row],[Credit Points]]</f>
        <v>25</v>
      </c>
      <c r="F24">
        <v>4</v>
      </c>
      <c r="G24" t="s">
        <v>335</v>
      </c>
      <c r="H24">
        <v>0</v>
      </c>
      <c r="I24" t="s">
        <v>586</v>
      </c>
      <c r="J24" t="s">
        <v>196</v>
      </c>
      <c r="K24">
        <v>1</v>
      </c>
      <c r="L24" t="s">
        <v>386</v>
      </c>
      <c r="M24">
        <v>25</v>
      </c>
      <c r="N24" s="178">
        <v>43466</v>
      </c>
      <c r="O24" s="178"/>
      <c r="Q24" t="s">
        <v>191</v>
      </c>
      <c r="R24">
        <v>1</v>
      </c>
    </row>
    <row r="25" spans="1:18" x14ac:dyDescent="0.25">
      <c r="A25" t="str">
        <f>TableMJRPCWRIT[[#This Row],[Study Package Code]]</f>
        <v>CWRI6000</v>
      </c>
      <c r="B25" s="1">
        <f>TableMJRPCWRIT[[#This Row],[Ver]]</f>
        <v>2</v>
      </c>
      <c r="D25" t="str">
        <f>TableMJRPCWRIT[[#This Row],[Structure Line]]</f>
        <v>Engaging Narrative</v>
      </c>
      <c r="E25" s="115">
        <f>TableMJRPCWRIT[[#This Row],[Credit Points]]</f>
        <v>25</v>
      </c>
      <c r="F25">
        <v>4</v>
      </c>
      <c r="G25" t="s">
        <v>335</v>
      </c>
      <c r="H25">
        <v>0</v>
      </c>
      <c r="I25" t="s">
        <v>586</v>
      </c>
      <c r="J25" t="s">
        <v>141</v>
      </c>
      <c r="K25">
        <v>2</v>
      </c>
      <c r="L25" t="s">
        <v>387</v>
      </c>
      <c r="M25">
        <v>25</v>
      </c>
      <c r="N25" s="178">
        <v>43831</v>
      </c>
      <c r="O25" s="178"/>
      <c r="Q25" t="s">
        <v>194</v>
      </c>
      <c r="R25">
        <v>1</v>
      </c>
    </row>
    <row r="26" spans="1:18" x14ac:dyDescent="0.25">
      <c r="A26" t="str">
        <f>TableMJRPCWRIT[[#This Row],[Study Package Code]]</f>
        <v>HUMN6001</v>
      </c>
      <c r="B26" s="1">
        <f>TableMJRPCWRIT[[#This Row],[Ver]]</f>
        <v>1</v>
      </c>
      <c r="D26" t="str">
        <f>TableMJRPCWRIT[[#This Row],[Structure Line]]</f>
        <v>Masters Research Project 1</v>
      </c>
      <c r="E26" s="115">
        <f>TableMJRPCWRIT[[#This Row],[Credit Points]]</f>
        <v>50</v>
      </c>
      <c r="F26">
        <v>4</v>
      </c>
      <c r="G26" t="s">
        <v>335</v>
      </c>
      <c r="H26">
        <v>0</v>
      </c>
      <c r="I26" t="s">
        <v>586</v>
      </c>
      <c r="J26" t="s">
        <v>165</v>
      </c>
      <c r="K26">
        <v>1</v>
      </c>
      <c r="L26" t="s">
        <v>597</v>
      </c>
      <c r="M26">
        <v>50</v>
      </c>
      <c r="N26" s="178">
        <v>45292</v>
      </c>
      <c r="O26" s="178"/>
      <c r="Q26" t="s">
        <v>196</v>
      </c>
      <c r="R26">
        <v>1</v>
      </c>
    </row>
    <row r="27" spans="1:18" x14ac:dyDescent="0.25">
      <c r="A27" t="str">
        <f>TableMJRPCWRIT[[#This Row],[Study Package Code]]</f>
        <v>INDS6001</v>
      </c>
      <c r="B27" s="1">
        <f>TableMJRPCWRIT[[#This Row],[Ver]]</f>
        <v>1</v>
      </c>
      <c r="D27" t="str">
        <f>TableMJRPCWRIT[[#This Row],[Structure Line]]</f>
        <v>Australian Indigenous Literature Creative Perspectives</v>
      </c>
      <c r="E27" s="115">
        <f>TableMJRPCWRIT[[#This Row],[Credit Points]]</f>
        <v>25</v>
      </c>
      <c r="F27">
        <v>4</v>
      </c>
      <c r="G27" t="s">
        <v>335</v>
      </c>
      <c r="H27">
        <v>0</v>
      </c>
      <c r="I27" t="s">
        <v>586</v>
      </c>
      <c r="J27" t="s">
        <v>182</v>
      </c>
      <c r="K27">
        <v>1</v>
      </c>
      <c r="L27" t="s">
        <v>426</v>
      </c>
      <c r="M27">
        <v>25</v>
      </c>
      <c r="N27" s="178">
        <v>44743</v>
      </c>
      <c r="O27" s="178"/>
      <c r="Q27" t="s">
        <v>141</v>
      </c>
      <c r="R27">
        <v>2</v>
      </c>
    </row>
    <row r="28" spans="1:18" x14ac:dyDescent="0.25">
      <c r="A28" t="str">
        <f>TableMJRPCWRIT[[#This Row],[Study Package Code]]</f>
        <v>PWRP5015</v>
      </c>
      <c r="B28" s="1">
        <f>TableMJRPCWRIT[[#This Row],[Ver]]</f>
        <v>2</v>
      </c>
      <c r="D28" t="str">
        <f>TableMJRPCWRIT[[#This Row],[Structure Line]]</f>
        <v>Advanced Narrative Nonfiction</v>
      </c>
      <c r="E28" s="115">
        <f>TableMJRPCWRIT[[#This Row],[Credit Points]]</f>
        <v>25</v>
      </c>
      <c r="F28">
        <v>4</v>
      </c>
      <c r="G28" t="s">
        <v>335</v>
      </c>
      <c r="H28">
        <v>0</v>
      </c>
      <c r="I28" t="s">
        <v>586</v>
      </c>
      <c r="J28" t="s">
        <v>197</v>
      </c>
      <c r="K28">
        <v>2</v>
      </c>
      <c r="L28" t="s">
        <v>529</v>
      </c>
      <c r="M28">
        <v>25</v>
      </c>
      <c r="N28" s="178">
        <v>45292</v>
      </c>
      <c r="O28" s="178"/>
      <c r="Q28" t="s">
        <v>519</v>
      </c>
      <c r="R28">
        <v>2</v>
      </c>
    </row>
    <row r="29" spans="1:18" x14ac:dyDescent="0.25">
      <c r="A29" t="str">
        <f>TableMJRPCWRIT[[#This Row],[Study Package Code]]</f>
        <v>PWRP5019</v>
      </c>
      <c r="B29" s="1">
        <f>TableMJRPCWRIT[[#This Row],[Ver]]</f>
        <v>2</v>
      </c>
      <c r="D29" t="str">
        <f>TableMJRPCWRIT[[#This Row],[Structure Line]]</f>
        <v>Narrative Nonfiction</v>
      </c>
      <c r="E29" s="115">
        <f>TableMJRPCWRIT[[#This Row],[Credit Points]]</f>
        <v>25</v>
      </c>
      <c r="F29">
        <v>4</v>
      </c>
      <c r="G29" t="s">
        <v>335</v>
      </c>
      <c r="H29">
        <v>0</v>
      </c>
      <c r="I29" t="s">
        <v>586</v>
      </c>
      <c r="J29" t="s">
        <v>172</v>
      </c>
      <c r="K29">
        <v>2</v>
      </c>
      <c r="L29" t="s">
        <v>534</v>
      </c>
      <c r="M29">
        <v>25</v>
      </c>
      <c r="N29" s="178">
        <v>45292</v>
      </c>
      <c r="O29" s="178"/>
      <c r="Q29" t="s">
        <v>197</v>
      </c>
      <c r="R29">
        <v>1</v>
      </c>
    </row>
    <row r="30" spans="1:18" x14ac:dyDescent="0.25">
      <c r="A30">
        <f>TableMJRPCWRIT[[#This Row],[Study Package Code]]</f>
        <v>0</v>
      </c>
      <c r="B30" s="1">
        <f>TableMJRPCWRIT[[#This Row],[Ver]]</f>
        <v>0</v>
      </c>
      <c r="D30">
        <f>TableMJRPCWRIT[[#This Row],[Structure Line]]</f>
        <v>0</v>
      </c>
      <c r="E30" s="115">
        <f>TableMJRPCWRIT[[#This Row],[Credit Points]]</f>
        <v>0</v>
      </c>
      <c r="N30" s="178"/>
      <c r="O30" s="178"/>
      <c r="Q30" t="s">
        <v>161</v>
      </c>
      <c r="R30">
        <v>2</v>
      </c>
    </row>
    <row r="31" spans="1:18" x14ac:dyDescent="0.25">
      <c r="A31">
        <f>TableMJRPCWRIT[[#This Row],[Study Package Code]]</f>
        <v>0</v>
      </c>
      <c r="B31" s="1">
        <f>TableMJRPCWRIT[[#This Row],[Ver]]</f>
        <v>0</v>
      </c>
      <c r="D31">
        <f>TableMJRPCWRIT[[#This Row],[Structure Line]]</f>
        <v>0</v>
      </c>
      <c r="E31" s="115">
        <f>TableMJRPCWRIT[[#This Row],[Credit Points]]</f>
        <v>0</v>
      </c>
      <c r="N31" s="178"/>
      <c r="O31" s="178"/>
      <c r="Q31" t="s">
        <v>174</v>
      </c>
      <c r="R31">
        <v>1</v>
      </c>
    </row>
    <row r="32" spans="1:18" x14ac:dyDescent="0.25">
      <c r="A32">
        <f>TableMJRPCWRIT[[#This Row],[Study Package Code]]</f>
        <v>0</v>
      </c>
      <c r="B32" s="1">
        <f>TableMJRPCWRIT[[#This Row],[Ver]]</f>
        <v>0</v>
      </c>
      <c r="D32">
        <f>TableMJRPCWRIT[[#This Row],[Structure Line]]</f>
        <v>0</v>
      </c>
      <c r="E32" s="115">
        <f>TableMJRPCWRIT[[#This Row],[Credit Points]]</f>
        <v>0</v>
      </c>
      <c r="N32" s="178"/>
      <c r="O32" s="178"/>
      <c r="Q32" t="s">
        <v>180</v>
      </c>
      <c r="R32">
        <v>1</v>
      </c>
    </row>
    <row r="33" spans="1:18" x14ac:dyDescent="0.25">
      <c r="A33">
        <f>TableMJRPCWRIT[[#This Row],[Study Package Code]]</f>
        <v>0</v>
      </c>
      <c r="B33" s="1">
        <f>TableMJRPCWRIT[[#This Row],[Ver]]</f>
        <v>0</v>
      </c>
      <c r="D33">
        <f>TableMJRPCWRIT[[#This Row],[Structure Line]]</f>
        <v>0</v>
      </c>
      <c r="E33" s="115">
        <f>TableMJRPCWRIT[[#This Row],[Credit Points]]</f>
        <v>0</v>
      </c>
      <c r="N33" s="178"/>
      <c r="O33" s="178"/>
      <c r="Q33" t="s">
        <v>186</v>
      </c>
      <c r="R33">
        <v>1</v>
      </c>
    </row>
    <row r="34" spans="1:18" x14ac:dyDescent="0.25">
      <c r="A34">
        <f>TableMJRPCWRIT[[#This Row],[Study Package Code]]</f>
        <v>0</v>
      </c>
      <c r="B34" s="1">
        <f>TableMJRPCWRIT[[#This Row],[Ver]]</f>
        <v>0</v>
      </c>
      <c r="D34">
        <f>TableMJRPCWRIT[[#This Row],[Structure Line]]</f>
        <v>0</v>
      </c>
      <c r="E34" s="115">
        <f>TableMJRPCWRIT[[#This Row],[Credit Points]]</f>
        <v>0</v>
      </c>
      <c r="N34" s="178"/>
      <c r="O34" s="178"/>
      <c r="Q34" t="s">
        <v>190</v>
      </c>
      <c r="R34">
        <v>1</v>
      </c>
    </row>
    <row r="35" spans="1:18" x14ac:dyDescent="0.25">
      <c r="A35">
        <f>TableMJRPCWRIT[[#This Row],[Study Package Code]]</f>
        <v>0</v>
      </c>
      <c r="B35" s="1">
        <f>TableMJRPCWRIT[[#This Row],[Ver]]</f>
        <v>0</v>
      </c>
      <c r="D35">
        <f>TableMJRPCWRIT[[#This Row],[Structure Line]]</f>
        <v>0</v>
      </c>
      <c r="E35" s="115">
        <f>TableMJRPCWRIT[[#This Row],[Credit Points]]</f>
        <v>0</v>
      </c>
      <c r="N35" s="178"/>
      <c r="O35" s="178"/>
      <c r="Q35" t="s">
        <v>191</v>
      </c>
      <c r="R35">
        <v>1</v>
      </c>
    </row>
    <row r="36" spans="1:18" x14ac:dyDescent="0.25">
      <c r="A36">
        <f>TableMJRPCWRIT[[#This Row],[Study Package Code]]</f>
        <v>0</v>
      </c>
      <c r="B36" s="1">
        <f>TableMJRPCWRIT[[#This Row],[Ver]]</f>
        <v>0</v>
      </c>
      <c r="D36">
        <f>TableMJRPCWRIT[[#This Row],[Structure Line]]</f>
        <v>0</v>
      </c>
      <c r="E36" s="115">
        <f>TableMJRPCWRIT[[#This Row],[Credit Points]]</f>
        <v>0</v>
      </c>
      <c r="N36" s="178"/>
      <c r="O36" s="178"/>
      <c r="Q36" t="s">
        <v>194</v>
      </c>
      <c r="R36">
        <v>1</v>
      </c>
    </row>
    <row r="37" spans="1:18" x14ac:dyDescent="0.25">
      <c r="A37">
        <f>TableMJRPCWRIT[[#This Row],[Study Package Code]]</f>
        <v>0</v>
      </c>
      <c r="B37" s="1">
        <f>TableMJRPCWRIT[[#This Row],[Ver]]</f>
        <v>0</v>
      </c>
      <c r="D37">
        <f>TableMJRPCWRIT[[#This Row],[Structure Line]]</f>
        <v>0</v>
      </c>
      <c r="E37" s="115">
        <f>TableMJRPCWRIT[[#This Row],[Credit Points]]</f>
        <v>0</v>
      </c>
      <c r="N37" s="178"/>
      <c r="O37" s="178"/>
      <c r="Q37" t="s">
        <v>196</v>
      </c>
      <c r="R37">
        <v>1</v>
      </c>
    </row>
    <row r="38" spans="1:18" x14ac:dyDescent="0.25">
      <c r="A38">
        <f>TableMJRPCWRIT[[#This Row],[Study Package Code]]</f>
        <v>0</v>
      </c>
      <c r="B38" s="1">
        <f>TableMJRPCWRIT[[#This Row],[Ver]]</f>
        <v>0</v>
      </c>
      <c r="D38">
        <f>TableMJRPCWRIT[[#This Row],[Structure Line]]</f>
        <v>0</v>
      </c>
      <c r="E38" s="115">
        <f>TableMJRPCWRIT[[#This Row],[Credit Points]]</f>
        <v>0</v>
      </c>
      <c r="N38" s="178"/>
      <c r="O38" s="178"/>
      <c r="Q38" t="s">
        <v>182</v>
      </c>
      <c r="R38">
        <v>1</v>
      </c>
    </row>
    <row r="39" spans="1:18" x14ac:dyDescent="0.25">
      <c r="A39">
        <f>TableMJRPCWRIT[[#This Row],[Study Package Code]]</f>
        <v>0</v>
      </c>
      <c r="B39" s="1">
        <f>TableMJRPCWRIT[[#This Row],[Ver]]</f>
        <v>0</v>
      </c>
      <c r="D39">
        <f>TableMJRPCWRIT[[#This Row],[Structure Line]]</f>
        <v>0</v>
      </c>
      <c r="E39" s="115">
        <f>TableMJRPCWRIT[[#This Row],[Credit Points]]</f>
        <v>0</v>
      </c>
      <c r="N39" s="178"/>
      <c r="O39" s="178"/>
      <c r="Q39" t="s">
        <v>481</v>
      </c>
      <c r="R39">
        <v>2</v>
      </c>
    </row>
    <row r="40" spans="1:18" x14ac:dyDescent="0.25">
      <c r="A40">
        <f>TableMJRPCWRIT[[#This Row],[Study Package Code]]</f>
        <v>0</v>
      </c>
      <c r="B40" s="1">
        <f>TableMJRPCWRIT[[#This Row],[Ver]]</f>
        <v>0</v>
      </c>
      <c r="D40">
        <f>TableMJRPCWRIT[[#This Row],[Structure Line]]</f>
        <v>0</v>
      </c>
      <c r="E40" s="115">
        <f>TableMJRPCWRIT[[#This Row],[Credit Points]]</f>
        <v>0</v>
      </c>
      <c r="N40" s="178"/>
      <c r="O40" s="178"/>
      <c r="Q40" t="s">
        <v>519</v>
      </c>
      <c r="R40">
        <v>2</v>
      </c>
    </row>
    <row r="41" spans="1:18" x14ac:dyDescent="0.25">
      <c r="A41">
        <f>TableMJRPCWRIT[[#This Row],[Study Package Code]]</f>
        <v>0</v>
      </c>
      <c r="B41" s="1">
        <f>TableMJRPCWRIT[[#This Row],[Ver]]</f>
        <v>0</v>
      </c>
      <c r="D41">
        <f>TableMJRPCWRIT[[#This Row],[Structure Line]]</f>
        <v>0</v>
      </c>
      <c r="E41" s="115">
        <f>TableMJRPCWRIT[[#This Row],[Credit Points]]</f>
        <v>0</v>
      </c>
      <c r="N41" s="178"/>
      <c r="O41" s="178"/>
      <c r="Q41" t="s">
        <v>197</v>
      </c>
      <c r="R41">
        <v>1</v>
      </c>
    </row>
    <row r="42" spans="1:18" x14ac:dyDescent="0.25">
      <c r="B42"/>
      <c r="E42"/>
      <c r="F42" s="111"/>
      <c r="G42" s="112" t="s">
        <v>573</v>
      </c>
      <c r="H42" s="251">
        <v>45292</v>
      </c>
      <c r="I42" s="177"/>
      <c r="J42" s="253" t="s">
        <v>134</v>
      </c>
      <c r="K42" s="252" t="s">
        <v>64</v>
      </c>
      <c r="L42" s="177" t="s">
        <v>147</v>
      </c>
      <c r="M42" s="177"/>
      <c r="N42" s="250" t="s">
        <v>574</v>
      </c>
      <c r="O42" s="178">
        <v>45337</v>
      </c>
    </row>
    <row r="43" spans="1:18" x14ac:dyDescent="0.25">
      <c r="A43" t="s">
        <v>0</v>
      </c>
      <c r="B43" s="1" t="s">
        <v>46</v>
      </c>
      <c r="C43" t="s">
        <v>575</v>
      </c>
      <c r="D43" t="s">
        <v>3</v>
      </c>
      <c r="E43" s="115" t="s">
        <v>576</v>
      </c>
      <c r="F43" t="s">
        <v>577</v>
      </c>
      <c r="G43" t="s">
        <v>578</v>
      </c>
      <c r="H43" t="s">
        <v>579</v>
      </c>
      <c r="I43" t="s">
        <v>21</v>
      </c>
      <c r="J43" t="s">
        <v>580</v>
      </c>
      <c r="K43" t="s">
        <v>1</v>
      </c>
      <c r="L43" t="s">
        <v>581</v>
      </c>
      <c r="M43" t="s">
        <v>47</v>
      </c>
      <c r="N43" t="s">
        <v>582</v>
      </c>
      <c r="O43" t="s">
        <v>583</v>
      </c>
      <c r="Q43" t="s">
        <v>584</v>
      </c>
      <c r="R43" t="s">
        <v>1</v>
      </c>
    </row>
    <row r="44" spans="1:18" x14ac:dyDescent="0.25">
      <c r="A44" t="str">
        <f>TableMJRPFINAR[[#This Row],[Study Package Code]]</f>
        <v>COMS5003</v>
      </c>
      <c r="B44" s="1">
        <f>TableMJRPFINAR[[#This Row],[Ver]]</f>
        <v>1</v>
      </c>
      <c r="D44" t="str">
        <f>TableMJRPFINAR[[#This Row],[Structure Line]]</f>
        <v>Approaches to Arts Research Projects</v>
      </c>
      <c r="E44" s="115">
        <f>TableMJRPFINAR[[#This Row],[Credit Points]]</f>
        <v>25</v>
      </c>
      <c r="F44">
        <v>1</v>
      </c>
      <c r="G44" t="s">
        <v>585</v>
      </c>
      <c r="H44">
        <v>1</v>
      </c>
      <c r="I44" t="s">
        <v>586</v>
      </c>
      <c r="J44" t="s">
        <v>51</v>
      </c>
      <c r="K44">
        <v>1</v>
      </c>
      <c r="L44" t="s">
        <v>367</v>
      </c>
      <c r="M44">
        <v>25</v>
      </c>
      <c r="N44" s="178">
        <v>43466</v>
      </c>
      <c r="O44" s="178" t="s">
        <v>587</v>
      </c>
      <c r="Q44" t="s">
        <v>51</v>
      </c>
      <c r="R44">
        <v>1</v>
      </c>
    </row>
    <row r="45" spans="1:18" x14ac:dyDescent="0.25">
      <c r="A45" t="str">
        <f>TableMJRPFINAR[[#This Row],[Study Package Code]]</f>
        <v>COMS6005</v>
      </c>
      <c r="B45" s="1">
        <f>TableMJRPFINAR[[#This Row],[Ver]]</f>
        <v>1</v>
      </c>
      <c r="D45" t="str">
        <f>TableMJRPFINAR[[#This Row],[Structure Line]]</f>
        <v>Planning an Arts Research Project</v>
      </c>
      <c r="E45" s="115">
        <f>TableMJRPFINAR[[#This Row],[Credit Points]]</f>
        <v>25</v>
      </c>
      <c r="F45">
        <v>2</v>
      </c>
      <c r="G45" t="s">
        <v>585</v>
      </c>
      <c r="H45">
        <v>1</v>
      </c>
      <c r="I45" t="s">
        <v>586</v>
      </c>
      <c r="J45" t="s">
        <v>77</v>
      </c>
      <c r="K45">
        <v>1</v>
      </c>
      <c r="L45" t="s">
        <v>379</v>
      </c>
      <c r="M45">
        <v>25</v>
      </c>
      <c r="N45" s="178">
        <v>43466</v>
      </c>
      <c r="O45" s="178" t="s">
        <v>587</v>
      </c>
      <c r="Q45" t="s">
        <v>598</v>
      </c>
      <c r="R45">
        <v>0</v>
      </c>
    </row>
    <row r="46" spans="1:18" x14ac:dyDescent="0.25">
      <c r="A46" t="str">
        <f>TableMJRPFINAR[[#This Row],[Study Package Code]]</f>
        <v>AC-FINAR1</v>
      </c>
      <c r="B46" s="1">
        <f>TableMJRPFINAR[[#This Row],[Ver]]</f>
        <v>0</v>
      </c>
      <c r="D46" t="str">
        <f>TableMJRPFINAR[[#This Row],[Structure Line]]</f>
        <v>Choose VISA5008 or VISA5011</v>
      </c>
      <c r="E46" s="115">
        <f>TableMJRPFINAR[[#This Row],[Credit Points]]</f>
        <v>25</v>
      </c>
      <c r="F46">
        <v>3</v>
      </c>
      <c r="G46" t="s">
        <v>590</v>
      </c>
      <c r="H46">
        <v>1</v>
      </c>
      <c r="I46" t="s">
        <v>586</v>
      </c>
      <c r="J46" t="s">
        <v>60</v>
      </c>
      <c r="K46">
        <v>0</v>
      </c>
      <c r="L46" t="s">
        <v>599</v>
      </c>
      <c r="M46">
        <v>25</v>
      </c>
      <c r="N46" s="178"/>
      <c r="O46" s="178"/>
      <c r="Q46" t="s">
        <v>77</v>
      </c>
      <c r="R46">
        <v>1</v>
      </c>
    </row>
    <row r="47" spans="1:18" x14ac:dyDescent="0.25">
      <c r="A47" t="str">
        <f>TableMJRPFINAR[[#This Row],[Study Package Code]]</f>
        <v>Opt-FINARY1</v>
      </c>
      <c r="B47" s="1">
        <f>TableMJRPFINAR[[#This Row],[Ver]]</f>
        <v>0</v>
      </c>
      <c r="D47" t="str">
        <f>TableMJRPFINAR[[#This Row],[Structure Line]]</f>
        <v>Choose Options for Year 1</v>
      </c>
      <c r="E47" s="115">
        <f>TableMJRPFINAR[[#This Row],[Credit Points]]</f>
        <v>125</v>
      </c>
      <c r="F47">
        <v>4</v>
      </c>
      <c r="G47" t="s">
        <v>335</v>
      </c>
      <c r="H47">
        <v>1</v>
      </c>
      <c r="I47" t="s">
        <v>586</v>
      </c>
      <c r="J47" t="s">
        <v>67</v>
      </c>
      <c r="K47">
        <v>0</v>
      </c>
      <c r="L47" t="s">
        <v>600</v>
      </c>
      <c r="M47">
        <v>125</v>
      </c>
      <c r="N47" s="178"/>
      <c r="O47" s="178"/>
      <c r="Q47" t="s">
        <v>598</v>
      </c>
      <c r="R47">
        <v>0</v>
      </c>
    </row>
    <row r="48" spans="1:18" x14ac:dyDescent="0.25">
      <c r="A48" t="str">
        <f>TableMJRPFINAR[[#This Row],[Study Package Code]]</f>
        <v>AC-FINAR2</v>
      </c>
      <c r="B48" s="1">
        <f>TableMJRPFINAR[[#This Row],[Ver]]</f>
        <v>0</v>
      </c>
      <c r="D48" t="str">
        <f>TableMJRPFINAR[[#This Row],[Structure Line]]</f>
        <v>Choose HUMN6003 or COMS6004</v>
      </c>
      <c r="E48" s="115">
        <f>TableMJRPFINAR[[#This Row],[Credit Points]]</f>
        <v>50</v>
      </c>
      <c r="F48">
        <v>5</v>
      </c>
      <c r="G48" t="s">
        <v>590</v>
      </c>
      <c r="H48">
        <v>2</v>
      </c>
      <c r="I48" t="s">
        <v>586</v>
      </c>
      <c r="J48" t="s">
        <v>107</v>
      </c>
      <c r="K48">
        <v>0</v>
      </c>
      <c r="L48" t="s">
        <v>601</v>
      </c>
      <c r="M48">
        <v>50</v>
      </c>
      <c r="N48" s="178"/>
      <c r="O48" s="178"/>
      <c r="Q48" t="s">
        <v>602</v>
      </c>
      <c r="R48">
        <v>0</v>
      </c>
    </row>
    <row r="49" spans="1:18" x14ac:dyDescent="0.25">
      <c r="A49" t="str">
        <f>TableMJRPFINAR[[#This Row],[Study Package Code]]</f>
        <v>Opt-FINARY2</v>
      </c>
      <c r="B49" s="1">
        <f>TableMJRPFINAR[[#This Row],[Ver]]</f>
        <v>0</v>
      </c>
      <c r="D49" t="str">
        <f>TableMJRPFINAR[[#This Row],[Structure Line]]</f>
        <v>Choose Options for Year 2</v>
      </c>
      <c r="E49" s="115">
        <f>TableMJRPFINAR[[#This Row],[Credit Points]]</f>
        <v>150</v>
      </c>
      <c r="F49">
        <v>6</v>
      </c>
      <c r="G49" t="s">
        <v>335</v>
      </c>
      <c r="H49">
        <v>2</v>
      </c>
      <c r="I49" t="s">
        <v>586</v>
      </c>
      <c r="J49" t="s">
        <v>94</v>
      </c>
      <c r="K49">
        <v>0</v>
      </c>
      <c r="L49" t="s">
        <v>603</v>
      </c>
      <c r="M49">
        <v>150</v>
      </c>
      <c r="N49" s="178"/>
      <c r="O49" s="178"/>
      <c r="Q49" t="s">
        <v>140</v>
      </c>
      <c r="R49">
        <v>2</v>
      </c>
    </row>
    <row r="50" spans="1:18" x14ac:dyDescent="0.25">
      <c r="A50" t="str">
        <f>TableMJRPFINAR[[#This Row],[Study Package Code]]</f>
        <v>VISA5008</v>
      </c>
      <c r="B50" s="1">
        <f>TableMJRPFINAR[[#This Row],[Ver]]</f>
        <v>2</v>
      </c>
      <c r="D50" t="str">
        <f>TableMJRPFINAR[[#This Row],[Structure Line]]</f>
        <v>Fine Art Studio Materials</v>
      </c>
      <c r="E50" s="115">
        <f>TableMJRPFINAR[[#This Row],[Credit Points]]</f>
        <v>25</v>
      </c>
      <c r="F50">
        <v>3</v>
      </c>
      <c r="G50" t="s">
        <v>590</v>
      </c>
      <c r="H50">
        <v>1</v>
      </c>
      <c r="I50" t="s">
        <v>586</v>
      </c>
      <c r="J50" t="s">
        <v>140</v>
      </c>
      <c r="K50">
        <v>2</v>
      </c>
      <c r="L50" t="s">
        <v>563</v>
      </c>
      <c r="M50">
        <v>25</v>
      </c>
      <c r="N50" s="178">
        <v>43101</v>
      </c>
      <c r="O50" s="178"/>
      <c r="Q50" t="s">
        <v>145</v>
      </c>
      <c r="R50">
        <v>1</v>
      </c>
    </row>
    <row r="51" spans="1:18" x14ac:dyDescent="0.25">
      <c r="A51" t="str">
        <f>TableMJRPFINAR[[#This Row],[Study Package Code]]</f>
        <v>VISA5011</v>
      </c>
      <c r="B51" s="1">
        <f>TableMJRPFINAR[[#This Row],[Ver]]</f>
        <v>1</v>
      </c>
      <c r="D51" t="str">
        <f>TableMJRPFINAR[[#This Row],[Structure Line]]</f>
        <v>Fine Art Studio Methods</v>
      </c>
      <c r="E51" s="115">
        <f>TableMJRPFINAR[[#This Row],[Credit Points]]</f>
        <v>25</v>
      </c>
      <c r="F51">
        <v>3</v>
      </c>
      <c r="G51" t="s">
        <v>590</v>
      </c>
      <c r="H51">
        <v>1</v>
      </c>
      <c r="I51" t="s">
        <v>586</v>
      </c>
      <c r="J51" t="s">
        <v>145</v>
      </c>
      <c r="K51">
        <v>1</v>
      </c>
      <c r="L51" t="s">
        <v>565</v>
      </c>
      <c r="M51">
        <v>25</v>
      </c>
      <c r="N51" s="178">
        <v>43466</v>
      </c>
      <c r="O51" s="178"/>
      <c r="Q51" t="s">
        <v>604</v>
      </c>
      <c r="R51">
        <v>0</v>
      </c>
    </row>
    <row r="52" spans="1:18" x14ac:dyDescent="0.25">
      <c r="A52" t="str">
        <f>TableMJRPFINAR[[#This Row],[Study Package Code]]</f>
        <v>INDS6004</v>
      </c>
      <c r="B52" s="1">
        <f>TableMJRPFINAR[[#This Row],[Ver]]</f>
        <v>1</v>
      </c>
      <c r="D52" t="str">
        <f>TableMJRPFINAR[[#This Row],[Structure Line]]</f>
        <v>Indigenous Australian Art and Design: Ancient and Contemporary</v>
      </c>
      <c r="E52" s="115">
        <f>TableMJRPFINAR[[#This Row],[Credit Points]]</f>
        <v>25</v>
      </c>
      <c r="F52">
        <v>4</v>
      </c>
      <c r="G52" t="s">
        <v>335</v>
      </c>
      <c r="H52">
        <v>1</v>
      </c>
      <c r="I52" t="s">
        <v>586</v>
      </c>
      <c r="J52" t="s">
        <v>162</v>
      </c>
      <c r="K52">
        <v>1</v>
      </c>
      <c r="L52" t="s">
        <v>427</v>
      </c>
      <c r="M52">
        <v>25</v>
      </c>
      <c r="N52" s="178">
        <v>45292</v>
      </c>
      <c r="O52" s="178"/>
      <c r="Q52" t="s">
        <v>595</v>
      </c>
      <c r="R52">
        <v>0</v>
      </c>
    </row>
    <row r="53" spans="1:18" x14ac:dyDescent="0.25">
      <c r="A53" t="str">
        <f>TableMJRPFINAR[[#This Row],[Study Package Code]]</f>
        <v>VISA5009</v>
      </c>
      <c r="B53" s="1">
        <f>TableMJRPFINAR[[#This Row],[Ver]]</f>
        <v>1</v>
      </c>
      <c r="D53" t="str">
        <f>TableMJRPFINAR[[#This Row],[Structure Line]]</f>
        <v>Drawing</v>
      </c>
      <c r="E53" s="115">
        <f>TableMJRPFINAR[[#This Row],[Credit Points]]</f>
        <v>25</v>
      </c>
      <c r="F53">
        <v>4</v>
      </c>
      <c r="G53" t="s">
        <v>335</v>
      </c>
      <c r="H53">
        <v>1</v>
      </c>
      <c r="I53" t="s">
        <v>586</v>
      </c>
      <c r="J53" t="s">
        <v>166</v>
      </c>
      <c r="K53">
        <v>1</v>
      </c>
      <c r="L53" t="s">
        <v>564</v>
      </c>
      <c r="M53">
        <v>25</v>
      </c>
      <c r="N53" s="178">
        <v>42005</v>
      </c>
      <c r="O53" s="178"/>
      <c r="Q53" t="s">
        <v>139</v>
      </c>
      <c r="R53">
        <v>1</v>
      </c>
    </row>
    <row r="54" spans="1:18" x14ac:dyDescent="0.25">
      <c r="A54" t="str">
        <f>TableMJRPFINAR[[#This Row],[Study Package Code]]</f>
        <v>VISA5012</v>
      </c>
      <c r="B54" s="1">
        <f>TableMJRPFINAR[[#This Row],[Ver]]</f>
        <v>1</v>
      </c>
      <c r="D54" t="str">
        <f>TableMJRPFINAR[[#This Row],[Structure Line]]</f>
        <v>Fine Art Project</v>
      </c>
      <c r="E54" s="115">
        <f>TableMJRPFINAR[[#This Row],[Credit Points]]</f>
        <v>25</v>
      </c>
      <c r="F54">
        <v>4</v>
      </c>
      <c r="G54" t="s">
        <v>335</v>
      </c>
      <c r="H54">
        <v>1</v>
      </c>
      <c r="I54" t="s">
        <v>586</v>
      </c>
      <c r="J54" t="s">
        <v>168</v>
      </c>
      <c r="K54">
        <v>1</v>
      </c>
      <c r="L54" t="s">
        <v>566</v>
      </c>
      <c r="M54">
        <v>25</v>
      </c>
      <c r="N54" s="178">
        <v>43466</v>
      </c>
      <c r="O54" s="178"/>
      <c r="Q54" t="s">
        <v>596</v>
      </c>
      <c r="R54">
        <v>1</v>
      </c>
    </row>
    <row r="55" spans="1:18" x14ac:dyDescent="0.25">
      <c r="A55" t="str">
        <f>TableMJRPFINAR[[#This Row],[Study Package Code]]</f>
        <v>VISA5013</v>
      </c>
      <c r="B55" s="1">
        <f>TableMJRPFINAR[[#This Row],[Ver]]</f>
        <v>1</v>
      </c>
      <c r="D55" t="str">
        <f>TableMJRPFINAR[[#This Row],[Structure Line]]</f>
        <v>Fine Art Studio Extension</v>
      </c>
      <c r="E55" s="115">
        <f>TableMJRPFINAR[[#This Row],[Credit Points]]</f>
        <v>25</v>
      </c>
      <c r="F55">
        <v>4</v>
      </c>
      <c r="G55" t="s">
        <v>335</v>
      </c>
      <c r="H55">
        <v>1</v>
      </c>
      <c r="I55" t="s">
        <v>586</v>
      </c>
      <c r="J55" t="s">
        <v>171</v>
      </c>
      <c r="K55">
        <v>1</v>
      </c>
      <c r="L55" t="s">
        <v>567</v>
      </c>
      <c r="M55">
        <v>25</v>
      </c>
      <c r="N55" s="178">
        <v>43466</v>
      </c>
      <c r="O55" s="178"/>
      <c r="Q55" t="s">
        <v>604</v>
      </c>
      <c r="R55">
        <v>0</v>
      </c>
    </row>
    <row r="56" spans="1:18" x14ac:dyDescent="0.25">
      <c r="A56" t="str">
        <f>TableMJRPFINAR[[#This Row],[Study Package Code]]</f>
        <v>VISA5014</v>
      </c>
      <c r="B56" s="1">
        <f>TableMJRPFINAR[[#This Row],[Ver]]</f>
        <v>1</v>
      </c>
      <c r="D56" t="str">
        <f>TableMJRPFINAR[[#This Row],[Structure Line]]</f>
        <v>Fine Art Studio Strategies</v>
      </c>
      <c r="E56" s="115">
        <f>TableMJRPFINAR[[#This Row],[Credit Points]]</f>
        <v>25</v>
      </c>
      <c r="F56">
        <v>4</v>
      </c>
      <c r="G56" t="s">
        <v>335</v>
      </c>
      <c r="H56">
        <v>1</v>
      </c>
      <c r="I56" t="s">
        <v>586</v>
      </c>
      <c r="J56" t="s">
        <v>175</v>
      </c>
      <c r="K56">
        <v>1</v>
      </c>
      <c r="L56" t="s">
        <v>568</v>
      </c>
      <c r="M56">
        <v>25</v>
      </c>
      <c r="N56" s="178">
        <v>43466</v>
      </c>
      <c r="O56" s="178"/>
      <c r="Q56" t="s">
        <v>560</v>
      </c>
      <c r="R56">
        <v>2</v>
      </c>
    </row>
    <row r="57" spans="1:18" x14ac:dyDescent="0.25">
      <c r="A57" t="str">
        <f>TableMJRPFINAR[[#This Row],[Study Package Code]]</f>
        <v>COMS6004</v>
      </c>
      <c r="B57" s="1">
        <f>TableMJRPFINAR[[#This Row],[Ver]]</f>
        <v>2</v>
      </c>
      <c r="D57" t="str">
        <f>TableMJRPFINAR[[#This Row],[Structure Line]]</f>
        <v>Masters Professional or Creative Project</v>
      </c>
      <c r="E57" s="115">
        <f>TableMJRPFINAR[[#This Row],[Credit Points]]</f>
        <v>50</v>
      </c>
      <c r="F57">
        <v>5</v>
      </c>
      <c r="G57" t="s">
        <v>590</v>
      </c>
      <c r="H57">
        <v>2</v>
      </c>
      <c r="I57" t="s">
        <v>586</v>
      </c>
      <c r="J57" t="s">
        <v>139</v>
      </c>
      <c r="K57">
        <v>2</v>
      </c>
      <c r="L57" t="s">
        <v>376</v>
      </c>
      <c r="M57">
        <v>50</v>
      </c>
      <c r="N57" s="178">
        <v>45292</v>
      </c>
      <c r="O57" s="178"/>
      <c r="Q57" t="s">
        <v>166</v>
      </c>
      <c r="R57">
        <v>1</v>
      </c>
    </row>
    <row r="58" spans="1:18" x14ac:dyDescent="0.25">
      <c r="A58" t="str">
        <f>TableMJRPFINAR[[#This Row],[Study Package Code]]</f>
        <v>HUMN6003</v>
      </c>
      <c r="B58" s="1">
        <f>TableMJRPFINAR[[#This Row],[Ver]]</f>
        <v>1</v>
      </c>
      <c r="D58" t="str">
        <f>TableMJRPFINAR[[#This Row],[Structure Line]]</f>
        <v>Masters Research Project 2</v>
      </c>
      <c r="E58" s="115">
        <f>TableMJRPFINAR[[#This Row],[Credit Points]]</f>
        <v>50</v>
      </c>
      <c r="F58">
        <v>5</v>
      </c>
      <c r="G58" t="s">
        <v>590</v>
      </c>
      <c r="H58">
        <v>2</v>
      </c>
      <c r="I58" t="s">
        <v>586</v>
      </c>
      <c r="J58" t="s">
        <v>144</v>
      </c>
      <c r="K58">
        <v>1</v>
      </c>
      <c r="L58" t="s">
        <v>594</v>
      </c>
      <c r="M58">
        <v>50</v>
      </c>
      <c r="N58" s="178">
        <v>45292</v>
      </c>
      <c r="O58" s="178"/>
      <c r="Q58" t="s">
        <v>168</v>
      </c>
      <c r="R58">
        <v>1</v>
      </c>
    </row>
    <row r="59" spans="1:18" x14ac:dyDescent="0.25">
      <c r="A59" t="str">
        <f>TableMJRPFINAR[[#This Row],[Study Package Code]]</f>
        <v>COMS6002</v>
      </c>
      <c r="B59" s="1">
        <f>TableMJRPFINAR[[#This Row],[Ver]]</f>
        <v>3</v>
      </c>
      <c r="D59" t="str">
        <f>TableMJRPFINAR[[#This Row],[Structure Line]]</f>
        <v>Masters Professional Experience</v>
      </c>
      <c r="E59" s="115">
        <f>TableMJRPFINAR[[#This Row],[Credit Points]]</f>
        <v>50</v>
      </c>
      <c r="F59">
        <v>6</v>
      </c>
      <c r="G59" t="s">
        <v>335</v>
      </c>
      <c r="H59">
        <v>2</v>
      </c>
      <c r="I59" t="s">
        <v>586</v>
      </c>
      <c r="J59" t="s">
        <v>161</v>
      </c>
      <c r="K59">
        <v>3</v>
      </c>
      <c r="L59" t="s">
        <v>369</v>
      </c>
      <c r="M59">
        <v>50</v>
      </c>
      <c r="N59" s="178">
        <v>45292</v>
      </c>
      <c r="O59" s="178"/>
      <c r="Q59" t="s">
        <v>171</v>
      </c>
      <c r="R59">
        <v>1</v>
      </c>
    </row>
    <row r="60" spans="1:18" x14ac:dyDescent="0.25">
      <c r="A60" t="str">
        <f>TableMJRPFINAR[[#This Row],[Study Package Code]]</f>
        <v>HUMN6001</v>
      </c>
      <c r="B60" s="1">
        <f>TableMJRPFINAR[[#This Row],[Ver]]</f>
        <v>1</v>
      </c>
      <c r="D60" t="str">
        <f>TableMJRPFINAR[[#This Row],[Structure Line]]</f>
        <v>Masters Research Project 1</v>
      </c>
      <c r="E60" s="115">
        <f>TableMJRPFINAR[[#This Row],[Credit Points]]</f>
        <v>50</v>
      </c>
      <c r="F60">
        <v>6</v>
      </c>
      <c r="G60" t="s">
        <v>335</v>
      </c>
      <c r="H60">
        <v>2</v>
      </c>
      <c r="I60" t="s">
        <v>586</v>
      </c>
      <c r="J60" t="s">
        <v>165</v>
      </c>
      <c r="K60">
        <v>1</v>
      </c>
      <c r="L60" t="s">
        <v>597</v>
      </c>
      <c r="M60">
        <v>50</v>
      </c>
      <c r="N60" s="178">
        <v>45292</v>
      </c>
      <c r="O60" s="178"/>
      <c r="Q60" t="s">
        <v>175</v>
      </c>
      <c r="R60">
        <v>1</v>
      </c>
    </row>
    <row r="61" spans="1:18" x14ac:dyDescent="0.25">
      <c r="A61" t="str">
        <f>TableMJRPFINAR[[#This Row],[Study Package Code]]</f>
        <v>INDS6001</v>
      </c>
      <c r="B61" s="1">
        <f>TableMJRPFINAR[[#This Row],[Ver]]</f>
        <v>1</v>
      </c>
      <c r="D61" t="str">
        <f>TableMJRPFINAR[[#This Row],[Structure Line]]</f>
        <v>Australian Indigenous Literature Creative Perspectives</v>
      </c>
      <c r="E61" s="115">
        <f>TableMJRPFINAR[[#This Row],[Credit Points]]</f>
        <v>25</v>
      </c>
      <c r="F61">
        <v>6</v>
      </c>
      <c r="G61" t="s">
        <v>335</v>
      </c>
      <c r="H61">
        <v>2</v>
      </c>
      <c r="I61" t="s">
        <v>586</v>
      </c>
      <c r="J61" t="s">
        <v>182</v>
      </c>
      <c r="K61">
        <v>1</v>
      </c>
      <c r="L61" t="s">
        <v>426</v>
      </c>
      <c r="M61">
        <v>25</v>
      </c>
      <c r="N61" s="178">
        <v>44743</v>
      </c>
      <c r="O61" s="178"/>
      <c r="Q61" t="s">
        <v>161</v>
      </c>
      <c r="R61">
        <v>2</v>
      </c>
    </row>
    <row r="62" spans="1:18" x14ac:dyDescent="0.25">
      <c r="A62" t="str">
        <f>TableMJRPFINAR[[#This Row],[Study Package Code]]</f>
        <v>ISYS5001</v>
      </c>
      <c r="B62" s="1">
        <f>TableMJRPFINAR[[#This Row],[Ver]]</f>
        <v>1</v>
      </c>
      <c r="D62" t="str">
        <f>TableMJRPFINAR[[#This Row],[Structure Line]]</f>
        <v>Business Project Management</v>
      </c>
      <c r="E62" s="115">
        <f>TableMJRPFINAR[[#This Row],[Credit Points]]</f>
        <v>25</v>
      </c>
      <c r="F62">
        <v>6</v>
      </c>
      <c r="G62" t="s">
        <v>335</v>
      </c>
      <c r="H62">
        <v>2</v>
      </c>
      <c r="I62" t="s">
        <v>586</v>
      </c>
      <c r="J62" t="s">
        <v>189</v>
      </c>
      <c r="K62">
        <v>1</v>
      </c>
      <c r="L62" t="s">
        <v>445</v>
      </c>
      <c r="M62">
        <v>25</v>
      </c>
      <c r="N62" s="178">
        <v>42005</v>
      </c>
      <c r="O62" s="178"/>
      <c r="Q62" t="s">
        <v>182</v>
      </c>
      <c r="R62">
        <v>1</v>
      </c>
    </row>
    <row r="63" spans="1:18" x14ac:dyDescent="0.25">
      <c r="A63" t="str">
        <f>TableMJRPFINAR[[#This Row],[Study Package Code]]</f>
        <v>VISA6008</v>
      </c>
      <c r="B63" s="1">
        <f>TableMJRPFINAR[[#This Row],[Ver]]</f>
        <v>2</v>
      </c>
      <c r="D63" t="str">
        <f>TableMJRPFINAR[[#This Row],[Structure Line]]</f>
        <v>Fine Art Concepts and Contexts</v>
      </c>
      <c r="E63" s="115">
        <f>TableMJRPFINAR[[#This Row],[Credit Points]]</f>
        <v>25</v>
      </c>
      <c r="F63">
        <v>6</v>
      </c>
      <c r="G63" t="s">
        <v>335</v>
      </c>
      <c r="H63">
        <v>2</v>
      </c>
      <c r="I63" t="s">
        <v>586</v>
      </c>
      <c r="J63" t="s">
        <v>198</v>
      </c>
      <c r="K63">
        <v>2</v>
      </c>
      <c r="L63" t="s">
        <v>569</v>
      </c>
      <c r="M63">
        <v>25</v>
      </c>
      <c r="N63" s="178">
        <v>43831</v>
      </c>
      <c r="O63" s="178"/>
      <c r="Q63" t="s">
        <v>189</v>
      </c>
      <c r="R63">
        <v>1</v>
      </c>
    </row>
    <row r="64" spans="1:18" x14ac:dyDescent="0.25">
      <c r="A64" t="str">
        <f>TableMJRPFINAR[[#This Row],[Study Package Code]]</f>
        <v>VISA6011</v>
      </c>
      <c r="B64" s="1">
        <f>TableMJRPFINAR[[#This Row],[Ver]]</f>
        <v>1</v>
      </c>
      <c r="D64" t="str">
        <f>TableMJRPFINAR[[#This Row],[Structure Line]]</f>
        <v>Fine Art Studio Practice</v>
      </c>
      <c r="E64" s="115">
        <f>TableMJRPFINAR[[#This Row],[Credit Points]]</f>
        <v>25</v>
      </c>
      <c r="F64">
        <v>6</v>
      </c>
      <c r="G64" t="s">
        <v>335</v>
      </c>
      <c r="H64">
        <v>2</v>
      </c>
      <c r="I64" t="s">
        <v>586</v>
      </c>
      <c r="J64" t="s">
        <v>199</v>
      </c>
      <c r="K64">
        <v>1</v>
      </c>
      <c r="L64" t="s">
        <v>570</v>
      </c>
      <c r="M64">
        <v>25</v>
      </c>
      <c r="N64" s="178">
        <v>43466</v>
      </c>
      <c r="O64" s="178"/>
      <c r="Q64" t="s">
        <v>481</v>
      </c>
      <c r="R64">
        <v>2</v>
      </c>
    </row>
    <row r="65" spans="1:18" x14ac:dyDescent="0.25">
      <c r="A65" t="str">
        <f>TableMJRPFINAR[[#This Row],[Study Package Code]]</f>
        <v>VISA6012</v>
      </c>
      <c r="B65" s="1">
        <f>TableMJRPFINAR[[#This Row],[Ver]]</f>
        <v>1</v>
      </c>
      <c r="D65" t="str">
        <f>TableMJRPFINAR[[#This Row],[Structure Line]]</f>
        <v>Fine Art Project Development</v>
      </c>
      <c r="E65" s="115">
        <f>TableMJRPFINAR[[#This Row],[Credit Points]]</f>
        <v>25</v>
      </c>
      <c r="F65">
        <v>6</v>
      </c>
      <c r="G65" t="s">
        <v>335</v>
      </c>
      <c r="H65">
        <v>2</v>
      </c>
      <c r="I65" t="s">
        <v>586</v>
      </c>
      <c r="J65" t="s">
        <v>200</v>
      </c>
      <c r="K65">
        <v>1</v>
      </c>
      <c r="L65" t="s">
        <v>571</v>
      </c>
      <c r="M65">
        <v>25</v>
      </c>
      <c r="N65" s="178">
        <v>43466</v>
      </c>
      <c r="O65" s="178"/>
      <c r="Q65" t="s">
        <v>198</v>
      </c>
      <c r="R65">
        <v>2</v>
      </c>
    </row>
    <row r="66" spans="1:18" x14ac:dyDescent="0.25">
      <c r="A66">
        <f>TableMJRPFINAR[[#This Row],[Study Package Code]]</f>
        <v>0</v>
      </c>
      <c r="B66" s="1">
        <f>TableMJRPFINAR[[#This Row],[Ver]]</f>
        <v>0</v>
      </c>
      <c r="D66">
        <f>TableMJRPFINAR[[#This Row],[Structure Line]]</f>
        <v>0</v>
      </c>
      <c r="E66" s="115">
        <f>TableMJRPFINAR[[#This Row],[Credit Points]]</f>
        <v>0</v>
      </c>
      <c r="N66" s="178"/>
      <c r="O66" s="178"/>
      <c r="Q66" t="s">
        <v>199</v>
      </c>
      <c r="R66">
        <v>1</v>
      </c>
    </row>
    <row r="67" spans="1:18" x14ac:dyDescent="0.25">
      <c r="A67">
        <f>TableMJRPFINAR[[#This Row],[Study Package Code]]</f>
        <v>0</v>
      </c>
      <c r="B67" s="1">
        <f>TableMJRPFINAR[[#This Row],[Ver]]</f>
        <v>0</v>
      </c>
      <c r="D67">
        <f>TableMJRPFINAR[[#This Row],[Structure Line]]</f>
        <v>0</v>
      </c>
      <c r="E67" s="115">
        <f>TableMJRPFINAR[[#This Row],[Credit Points]]</f>
        <v>0</v>
      </c>
      <c r="N67" s="178"/>
      <c r="O67" s="178"/>
      <c r="Q67" t="s">
        <v>200</v>
      </c>
      <c r="R67">
        <v>1</v>
      </c>
    </row>
    <row r="68" spans="1:18" x14ac:dyDescent="0.25">
      <c r="B68"/>
      <c r="E68"/>
      <c r="F68" s="111"/>
      <c r="G68" s="112" t="s">
        <v>573</v>
      </c>
      <c r="H68" s="251">
        <v>45292</v>
      </c>
      <c r="I68" s="177"/>
      <c r="J68" s="253" t="s">
        <v>135</v>
      </c>
      <c r="K68" s="252" t="s">
        <v>64</v>
      </c>
      <c r="L68" s="177" t="s">
        <v>149</v>
      </c>
      <c r="M68" s="177"/>
      <c r="N68" s="250" t="s">
        <v>574</v>
      </c>
      <c r="O68" s="178">
        <v>45337</v>
      </c>
    </row>
    <row r="69" spans="1:18" x14ac:dyDescent="0.25">
      <c r="A69" t="s">
        <v>0</v>
      </c>
      <c r="B69" s="1" t="s">
        <v>46</v>
      </c>
      <c r="C69" t="s">
        <v>575</v>
      </c>
      <c r="D69" t="s">
        <v>3</v>
      </c>
      <c r="E69" s="115" t="s">
        <v>576</v>
      </c>
      <c r="F69" t="s">
        <v>577</v>
      </c>
      <c r="G69" t="s">
        <v>578</v>
      </c>
      <c r="H69" t="s">
        <v>579</v>
      </c>
      <c r="I69" t="s">
        <v>21</v>
      </c>
      <c r="J69" t="s">
        <v>580</v>
      </c>
      <c r="K69" t="s">
        <v>1</v>
      </c>
      <c r="L69" t="s">
        <v>581</v>
      </c>
      <c r="M69" t="s">
        <v>47</v>
      </c>
      <c r="N69" t="s">
        <v>582</v>
      </c>
      <c r="O69" t="s">
        <v>583</v>
      </c>
      <c r="Q69" t="s">
        <v>584</v>
      </c>
      <c r="R69" t="s">
        <v>1</v>
      </c>
    </row>
    <row r="70" spans="1:18" x14ac:dyDescent="0.25">
      <c r="A70" t="str">
        <f>TableMJRPPWRIT[[#This Row],[Study Package Code]]</f>
        <v>Opt-PWRITY1</v>
      </c>
      <c r="B70" s="1">
        <f>TableMJRPPWRIT[[#This Row],[Ver]]</f>
        <v>0</v>
      </c>
      <c r="D70" t="str">
        <f>TableMJRPPWRIT[[#This Row],[Structure Line]]</f>
        <v>Choose Options for Year 1</v>
      </c>
      <c r="E70" s="115">
        <f>TableMJRPPWRIT[[#This Row],[Credit Points]]</f>
        <v>150</v>
      </c>
      <c r="F70">
        <v>1</v>
      </c>
      <c r="G70" t="s">
        <v>335</v>
      </c>
      <c r="H70">
        <v>1</v>
      </c>
      <c r="I70" t="s">
        <v>586</v>
      </c>
      <c r="J70" t="s">
        <v>61</v>
      </c>
      <c r="K70">
        <v>0</v>
      </c>
      <c r="L70" t="s">
        <v>600</v>
      </c>
      <c r="M70">
        <v>150</v>
      </c>
      <c r="N70" s="178"/>
      <c r="O70" s="178"/>
      <c r="Q70" t="s">
        <v>605</v>
      </c>
      <c r="R70">
        <v>0</v>
      </c>
    </row>
    <row r="71" spans="1:18" x14ac:dyDescent="0.25">
      <c r="A71" t="str">
        <f>TableMJRPPWRIT[[#This Row],[Study Package Code]]</f>
        <v>COMS5003</v>
      </c>
      <c r="B71" s="1">
        <f>TableMJRPPWRIT[[#This Row],[Ver]]</f>
        <v>1</v>
      </c>
      <c r="D71" t="str">
        <f>TableMJRPPWRIT[[#This Row],[Structure Line]]</f>
        <v>Approaches to Arts Research Projects</v>
      </c>
      <c r="E71" s="115">
        <f>TableMJRPPWRIT[[#This Row],[Credit Points]]</f>
        <v>25</v>
      </c>
      <c r="F71">
        <v>2</v>
      </c>
      <c r="G71" t="s">
        <v>585</v>
      </c>
      <c r="H71">
        <v>1</v>
      </c>
      <c r="I71" t="s">
        <v>586</v>
      </c>
      <c r="J71" t="s">
        <v>51</v>
      </c>
      <c r="K71">
        <v>1</v>
      </c>
      <c r="L71" t="s">
        <v>367</v>
      </c>
      <c r="M71">
        <v>25</v>
      </c>
      <c r="N71" s="178">
        <v>43466</v>
      </c>
      <c r="O71" s="178"/>
      <c r="Q71" t="s">
        <v>51</v>
      </c>
      <c r="R71">
        <v>1</v>
      </c>
    </row>
    <row r="72" spans="1:18" x14ac:dyDescent="0.25">
      <c r="A72" t="str">
        <f>TableMJRPPWRIT[[#This Row],[Study Package Code]]</f>
        <v>COMS6005</v>
      </c>
      <c r="B72" s="1">
        <f>TableMJRPPWRIT[[#This Row],[Ver]]</f>
        <v>1</v>
      </c>
      <c r="D72" t="str">
        <f>TableMJRPPWRIT[[#This Row],[Structure Line]]</f>
        <v>Planning an Arts Research Project</v>
      </c>
      <c r="E72" s="115">
        <f>TableMJRPPWRIT[[#This Row],[Credit Points]]</f>
        <v>25</v>
      </c>
      <c r="F72">
        <v>3</v>
      </c>
      <c r="G72" t="s">
        <v>585</v>
      </c>
      <c r="H72">
        <v>1</v>
      </c>
      <c r="I72" t="s">
        <v>586</v>
      </c>
      <c r="J72" t="s">
        <v>77</v>
      </c>
      <c r="K72">
        <v>1</v>
      </c>
      <c r="L72" t="s">
        <v>379</v>
      </c>
      <c r="M72">
        <v>25</v>
      </c>
      <c r="N72" s="178">
        <v>43466</v>
      </c>
      <c r="O72" s="178"/>
      <c r="Q72" t="s">
        <v>77</v>
      </c>
      <c r="R72">
        <v>1</v>
      </c>
    </row>
    <row r="73" spans="1:18" x14ac:dyDescent="0.25">
      <c r="A73" t="str">
        <f>TableMJRPPWRIT[[#This Row],[Study Package Code]]</f>
        <v>Opt-PWRITY2</v>
      </c>
      <c r="B73" s="1">
        <f>TableMJRPPWRIT[[#This Row],[Ver]]</f>
        <v>0</v>
      </c>
      <c r="D73" t="str">
        <f>TableMJRPPWRIT[[#This Row],[Structure Line]]</f>
        <v>Choose Options for Year 2</v>
      </c>
      <c r="E73" s="115">
        <f>TableMJRPPWRIT[[#This Row],[Credit Points]]</f>
        <v>150</v>
      </c>
      <c r="F73">
        <v>4</v>
      </c>
      <c r="G73" t="s">
        <v>335</v>
      </c>
      <c r="H73">
        <v>2</v>
      </c>
      <c r="I73" t="s">
        <v>586</v>
      </c>
      <c r="J73" t="s">
        <v>95</v>
      </c>
      <c r="K73">
        <v>0</v>
      </c>
      <c r="L73" t="s">
        <v>603</v>
      </c>
      <c r="M73">
        <v>150</v>
      </c>
      <c r="N73" s="178"/>
      <c r="O73" s="178"/>
      <c r="Q73" t="s">
        <v>606</v>
      </c>
      <c r="R73">
        <v>0</v>
      </c>
    </row>
    <row r="74" spans="1:18" x14ac:dyDescent="0.25">
      <c r="A74" t="str">
        <f>TableMJRPPWRIT[[#This Row],[Study Package Code]]</f>
        <v>AC-PWRIT</v>
      </c>
      <c r="B74" s="1">
        <f>TableMJRPPWRIT[[#This Row],[Ver]]</f>
        <v>0</v>
      </c>
      <c r="D74" t="str">
        <f>TableMJRPPWRIT[[#This Row],[Structure Line]]</f>
        <v>Choose HUMN6003 or COMS6004</v>
      </c>
      <c r="E74" s="115">
        <f>TableMJRPPWRIT[[#This Row],[Credit Points]]</f>
        <v>50</v>
      </c>
      <c r="F74">
        <v>5</v>
      </c>
      <c r="G74" t="s">
        <v>590</v>
      </c>
      <c r="H74">
        <v>2</v>
      </c>
      <c r="I74" t="s">
        <v>586</v>
      </c>
      <c r="J74" t="s">
        <v>108</v>
      </c>
      <c r="K74">
        <v>0</v>
      </c>
      <c r="L74" t="s">
        <v>601</v>
      </c>
      <c r="M74">
        <v>50</v>
      </c>
      <c r="N74" s="178"/>
      <c r="O74" s="178"/>
      <c r="Q74" t="s">
        <v>595</v>
      </c>
    </row>
    <row r="75" spans="1:18" x14ac:dyDescent="0.25">
      <c r="A75" t="str">
        <f>TableMJRPPWRIT[[#This Row],[Study Package Code]]</f>
        <v>CWRI6000</v>
      </c>
      <c r="B75" s="1">
        <f>TableMJRPPWRIT[[#This Row],[Ver]]</f>
        <v>2</v>
      </c>
      <c r="D75" t="str">
        <f>TableMJRPPWRIT[[#This Row],[Structure Line]]</f>
        <v>Engaging Narrative</v>
      </c>
      <c r="E75" s="115">
        <f>TableMJRPPWRIT[[#This Row],[Credit Points]]</f>
        <v>25</v>
      </c>
      <c r="F75">
        <v>1</v>
      </c>
      <c r="G75" t="s">
        <v>335</v>
      </c>
      <c r="H75">
        <v>1</v>
      </c>
      <c r="I75" t="s">
        <v>586</v>
      </c>
      <c r="J75" t="s">
        <v>141</v>
      </c>
      <c r="K75">
        <v>2</v>
      </c>
      <c r="L75" t="s">
        <v>387</v>
      </c>
      <c r="M75">
        <v>25</v>
      </c>
      <c r="N75" s="178">
        <v>43831</v>
      </c>
      <c r="O75" s="178"/>
      <c r="Q75" t="s">
        <v>139</v>
      </c>
      <c r="R75">
        <v>1</v>
      </c>
    </row>
    <row r="76" spans="1:18" x14ac:dyDescent="0.25">
      <c r="A76" t="str">
        <f>TableMJRPPWRIT[[#This Row],[Study Package Code]]</f>
        <v>GRDE5000</v>
      </c>
      <c r="B76" s="1">
        <f>TableMJRPPWRIT[[#This Row],[Ver]]</f>
        <v>2</v>
      </c>
      <c r="D76" t="str">
        <f>TableMJRPPWRIT[[#This Row],[Structure Line]]</f>
        <v>Design Computing</v>
      </c>
      <c r="E76" s="115">
        <f>TableMJRPPWRIT[[#This Row],[Credit Points]]</f>
        <v>25</v>
      </c>
      <c r="F76">
        <v>1</v>
      </c>
      <c r="G76" t="s">
        <v>335</v>
      </c>
      <c r="H76">
        <v>1</v>
      </c>
      <c r="I76" t="s">
        <v>586</v>
      </c>
      <c r="J76" t="s">
        <v>206</v>
      </c>
      <c r="K76">
        <v>2</v>
      </c>
      <c r="L76" t="s">
        <v>393</v>
      </c>
      <c r="M76">
        <v>25</v>
      </c>
      <c r="N76" s="178">
        <v>42370</v>
      </c>
      <c r="O76" s="178"/>
      <c r="Q76" t="s">
        <v>596</v>
      </c>
      <c r="R76">
        <v>1</v>
      </c>
    </row>
    <row r="77" spans="1:18" x14ac:dyDescent="0.25">
      <c r="A77" t="str">
        <f>TableMJRPPWRIT[[#This Row],[Study Package Code]]</f>
        <v>GRDE5003</v>
      </c>
      <c r="B77" s="1">
        <f>TableMJRPPWRIT[[#This Row],[Ver]]</f>
        <v>1</v>
      </c>
      <c r="D77" t="str">
        <f>TableMJRPPWRIT[[#This Row],[Structure Line]]</f>
        <v>Typography</v>
      </c>
      <c r="E77" s="115">
        <f>TableMJRPPWRIT[[#This Row],[Credit Points]]</f>
        <v>25</v>
      </c>
      <c r="F77">
        <v>1</v>
      </c>
      <c r="G77" t="s">
        <v>335</v>
      </c>
      <c r="H77">
        <v>1</v>
      </c>
      <c r="I77" t="s">
        <v>586</v>
      </c>
      <c r="J77" t="s">
        <v>207</v>
      </c>
      <c r="K77">
        <v>1</v>
      </c>
      <c r="L77" t="s">
        <v>395</v>
      </c>
      <c r="M77">
        <v>25</v>
      </c>
      <c r="N77" s="178">
        <v>42005</v>
      </c>
      <c r="O77" s="178"/>
      <c r="Q77" t="s">
        <v>196</v>
      </c>
      <c r="R77">
        <v>1</v>
      </c>
    </row>
    <row r="78" spans="1:18" x14ac:dyDescent="0.25">
      <c r="A78" t="str">
        <f>TableMJRPPWRIT[[#This Row],[Study Package Code]]</f>
        <v>NETS5000</v>
      </c>
      <c r="B78" s="1">
        <f>TableMJRPPWRIT[[#This Row],[Ver]]</f>
        <v>1</v>
      </c>
      <c r="D78" t="str">
        <f>TableMJRPPWRIT[[#This Row],[Structure Line]]</f>
        <v>Web Communications</v>
      </c>
      <c r="E78" s="115">
        <f>TableMJRPPWRIT[[#This Row],[Credit Points]]</f>
        <v>25</v>
      </c>
      <c r="F78">
        <v>1</v>
      </c>
      <c r="G78" t="s">
        <v>335</v>
      </c>
      <c r="H78">
        <v>1</v>
      </c>
      <c r="I78" t="s">
        <v>586</v>
      </c>
      <c r="J78" t="s">
        <v>167</v>
      </c>
      <c r="K78">
        <v>1</v>
      </c>
      <c r="L78" t="s">
        <v>482</v>
      </c>
      <c r="M78">
        <v>25</v>
      </c>
      <c r="N78" s="178">
        <v>42005</v>
      </c>
      <c r="O78" s="178"/>
      <c r="Q78" t="s">
        <v>141</v>
      </c>
      <c r="R78">
        <v>2</v>
      </c>
    </row>
    <row r="79" spans="1:18" x14ac:dyDescent="0.25">
      <c r="A79" t="str">
        <f>TableMJRPPWRIT[[#This Row],[Study Package Code]]</f>
        <v>PWRP5003</v>
      </c>
      <c r="B79" s="1">
        <f>TableMJRPPWRIT[[#This Row],[Ver]]</f>
        <v>2</v>
      </c>
      <c r="D79" t="str">
        <f>TableMJRPPWRIT[[#This Row],[Structure Line]]</f>
        <v>Editing</v>
      </c>
      <c r="E79" s="115">
        <f>TableMJRPPWRIT[[#This Row],[Credit Points]]</f>
        <v>25</v>
      </c>
      <c r="F79">
        <v>1</v>
      </c>
      <c r="G79" t="s">
        <v>335</v>
      </c>
      <c r="H79">
        <v>1</v>
      </c>
      <c r="I79" t="s">
        <v>586</v>
      </c>
      <c r="J79" t="s">
        <v>169</v>
      </c>
      <c r="K79">
        <v>2</v>
      </c>
      <c r="L79" t="s">
        <v>521</v>
      </c>
      <c r="M79">
        <v>25</v>
      </c>
      <c r="N79" s="178">
        <v>45292</v>
      </c>
      <c r="O79" s="178"/>
      <c r="Q79" t="s">
        <v>206</v>
      </c>
      <c r="R79">
        <v>2</v>
      </c>
    </row>
    <row r="80" spans="1:18" x14ac:dyDescent="0.25">
      <c r="A80" t="str">
        <f>TableMJRPPWRIT[[#This Row],[Study Package Code]]</f>
        <v>PWRP5019</v>
      </c>
      <c r="B80" s="1">
        <f>TableMJRPPWRIT[[#This Row],[Ver]]</f>
        <v>2</v>
      </c>
      <c r="D80" t="str">
        <f>TableMJRPPWRIT[[#This Row],[Structure Line]]</f>
        <v>Narrative Nonfiction</v>
      </c>
      <c r="E80" s="115">
        <f>TableMJRPPWRIT[[#This Row],[Credit Points]]</f>
        <v>25</v>
      </c>
      <c r="F80">
        <v>1</v>
      </c>
      <c r="G80" t="s">
        <v>335</v>
      </c>
      <c r="H80">
        <v>1</v>
      </c>
      <c r="I80" t="s">
        <v>586</v>
      </c>
      <c r="J80" t="s">
        <v>172</v>
      </c>
      <c r="K80">
        <v>2</v>
      </c>
      <c r="L80" t="s">
        <v>534</v>
      </c>
      <c r="M80">
        <v>25</v>
      </c>
      <c r="N80" s="178">
        <v>45292</v>
      </c>
      <c r="O80" s="178"/>
      <c r="Q80" t="s">
        <v>207</v>
      </c>
      <c r="R80">
        <v>1</v>
      </c>
    </row>
    <row r="81" spans="1:18" x14ac:dyDescent="0.25">
      <c r="A81" t="str">
        <f>TableMJRPPWRIT[[#This Row],[Study Package Code]]</f>
        <v>PWRP5021</v>
      </c>
      <c r="B81" s="1">
        <f>TableMJRPPWRIT[[#This Row],[Ver]]</f>
        <v>2</v>
      </c>
      <c r="D81" t="str">
        <f>TableMJRPPWRIT[[#This Row],[Structure Line]]</f>
        <v>Introduction to Creative and Professional Writing</v>
      </c>
      <c r="E81" s="115">
        <f>TableMJRPPWRIT[[#This Row],[Credit Points]]</f>
        <v>25</v>
      </c>
      <c r="F81">
        <v>1</v>
      </c>
      <c r="G81" t="s">
        <v>335</v>
      </c>
      <c r="H81">
        <v>1</v>
      </c>
      <c r="I81" t="s">
        <v>586</v>
      </c>
      <c r="J81" t="s">
        <v>176</v>
      </c>
      <c r="K81">
        <v>2</v>
      </c>
      <c r="L81" t="s">
        <v>539</v>
      </c>
      <c r="M81">
        <v>25</v>
      </c>
      <c r="N81" s="178">
        <v>44197</v>
      </c>
      <c r="O81" s="178"/>
      <c r="Q81" t="s">
        <v>167</v>
      </c>
      <c r="R81">
        <v>1</v>
      </c>
    </row>
    <row r="82" spans="1:18" x14ac:dyDescent="0.25">
      <c r="A82" t="str">
        <f>TableMJRPPWRIT[[#This Row],[Study Package Code]]</f>
        <v>PWRP5022</v>
      </c>
      <c r="B82" s="1">
        <f>TableMJRPPWRIT[[#This Row],[Ver]]</f>
        <v>2</v>
      </c>
      <c r="D82" t="str">
        <f>TableMJRPPWRIT[[#This Row],[Structure Line]]</f>
        <v>Skills in Professional Writing</v>
      </c>
      <c r="E82" s="115">
        <f>TableMJRPPWRIT[[#This Row],[Credit Points]]</f>
        <v>25</v>
      </c>
      <c r="F82">
        <v>1</v>
      </c>
      <c r="G82" t="s">
        <v>335</v>
      </c>
      <c r="H82">
        <v>1</v>
      </c>
      <c r="I82" t="s">
        <v>586</v>
      </c>
      <c r="J82" t="s">
        <v>181</v>
      </c>
      <c r="K82">
        <v>2</v>
      </c>
      <c r="L82" t="s">
        <v>540</v>
      </c>
      <c r="M82">
        <v>25</v>
      </c>
      <c r="N82" s="178">
        <v>45292</v>
      </c>
      <c r="O82" s="178"/>
      <c r="Q82" t="s">
        <v>519</v>
      </c>
      <c r="R82">
        <v>2</v>
      </c>
    </row>
    <row r="83" spans="1:18" x14ac:dyDescent="0.25">
      <c r="A83" t="str">
        <f>TableMJRPPWRIT[[#This Row],[Study Package Code]]</f>
        <v>PWRP5023</v>
      </c>
      <c r="B83" s="1">
        <f>TableMJRPPWRIT[[#This Row],[Ver]]</f>
        <v>1</v>
      </c>
      <c r="D83" t="str">
        <f>TableMJRPPWRIT[[#This Row],[Structure Line]]</f>
        <v>Workplace Writing</v>
      </c>
      <c r="E83" s="115">
        <f>TableMJRPPWRIT[[#This Row],[Credit Points]]</f>
        <v>25</v>
      </c>
      <c r="F83">
        <v>1</v>
      </c>
      <c r="G83" t="s">
        <v>335</v>
      </c>
      <c r="H83">
        <v>1</v>
      </c>
      <c r="I83" t="s">
        <v>586</v>
      </c>
      <c r="J83" t="s">
        <v>188</v>
      </c>
      <c r="K83">
        <v>1</v>
      </c>
      <c r="L83" t="s">
        <v>543</v>
      </c>
      <c r="M83">
        <v>25</v>
      </c>
      <c r="N83" s="178">
        <v>45292</v>
      </c>
      <c r="O83" s="178"/>
      <c r="Q83" t="s">
        <v>169</v>
      </c>
      <c r="R83">
        <v>1</v>
      </c>
    </row>
    <row r="84" spans="1:18" x14ac:dyDescent="0.25">
      <c r="A84" t="str">
        <f>TableMJRPPWRIT[[#This Row],[Study Package Code]]</f>
        <v>COMS6002</v>
      </c>
      <c r="B84" s="1">
        <f>TableMJRPPWRIT[[#This Row],[Ver]]</f>
        <v>3</v>
      </c>
      <c r="D84" t="str">
        <f>TableMJRPPWRIT[[#This Row],[Structure Line]]</f>
        <v>Masters Professional Experience</v>
      </c>
      <c r="E84" s="115">
        <f>TableMJRPPWRIT[[#This Row],[Credit Points]]</f>
        <v>50</v>
      </c>
      <c r="F84">
        <v>4</v>
      </c>
      <c r="G84" t="s">
        <v>335</v>
      </c>
      <c r="H84">
        <v>2</v>
      </c>
      <c r="I84" t="s">
        <v>586</v>
      </c>
      <c r="J84" t="s">
        <v>161</v>
      </c>
      <c r="K84">
        <v>3</v>
      </c>
      <c r="L84" t="s">
        <v>369</v>
      </c>
      <c r="M84">
        <v>50</v>
      </c>
      <c r="N84" s="178">
        <v>45292</v>
      </c>
      <c r="O84" s="178"/>
      <c r="Q84" t="s">
        <v>532</v>
      </c>
      <c r="R84">
        <v>2</v>
      </c>
    </row>
    <row r="85" spans="1:18" x14ac:dyDescent="0.25">
      <c r="A85" t="str">
        <f>TableMJRPPWRIT[[#This Row],[Study Package Code]]</f>
        <v>CWRI5015</v>
      </c>
      <c r="B85" s="1">
        <f>TableMJRPPWRIT[[#This Row],[Ver]]</f>
        <v>1</v>
      </c>
      <c r="D85" t="str">
        <f>TableMJRPPWRIT[[#This Row],[Structure Line]]</f>
        <v>Travel Writing</v>
      </c>
      <c r="E85" s="115">
        <f>TableMJRPPWRIT[[#This Row],[Credit Points]]</f>
        <v>25</v>
      </c>
      <c r="F85">
        <v>4</v>
      </c>
      <c r="G85" t="s">
        <v>335</v>
      </c>
      <c r="H85">
        <v>2</v>
      </c>
      <c r="I85" t="s">
        <v>586</v>
      </c>
      <c r="J85" t="s">
        <v>190</v>
      </c>
      <c r="K85">
        <v>1</v>
      </c>
      <c r="L85" t="s">
        <v>383</v>
      </c>
      <c r="M85">
        <v>25</v>
      </c>
      <c r="N85" s="178">
        <v>42917</v>
      </c>
      <c r="O85" s="178"/>
      <c r="Q85" t="s">
        <v>172</v>
      </c>
      <c r="R85">
        <v>1</v>
      </c>
    </row>
    <row r="86" spans="1:18" x14ac:dyDescent="0.25">
      <c r="A86" t="str">
        <f>TableMJRPPWRIT[[#This Row],[Study Package Code]]</f>
        <v>HUMN6001</v>
      </c>
      <c r="B86" s="1">
        <f>TableMJRPPWRIT[[#This Row],[Ver]]</f>
        <v>1</v>
      </c>
      <c r="D86" t="str">
        <f>TableMJRPPWRIT[[#This Row],[Structure Line]]</f>
        <v>Masters Research Project 1</v>
      </c>
      <c r="E86" s="115">
        <f>TableMJRPPWRIT[[#This Row],[Credit Points]]</f>
        <v>50</v>
      </c>
      <c r="F86">
        <v>4</v>
      </c>
      <c r="G86" t="s">
        <v>335</v>
      </c>
      <c r="H86">
        <v>2</v>
      </c>
      <c r="I86" t="s">
        <v>586</v>
      </c>
      <c r="J86" t="s">
        <v>165</v>
      </c>
      <c r="K86">
        <v>1</v>
      </c>
      <c r="L86" t="s">
        <v>597</v>
      </c>
      <c r="M86">
        <v>50</v>
      </c>
      <c r="N86" s="178">
        <v>45292</v>
      </c>
      <c r="O86" s="178"/>
      <c r="Q86" t="s">
        <v>176</v>
      </c>
      <c r="R86">
        <v>2</v>
      </c>
    </row>
    <row r="87" spans="1:18" x14ac:dyDescent="0.25">
      <c r="A87" t="str">
        <f>TableMJRPPWRIT[[#This Row],[Study Package Code]]</f>
        <v>INDS6001</v>
      </c>
      <c r="B87" s="1">
        <f>TableMJRPPWRIT[[#This Row],[Ver]]</f>
        <v>1</v>
      </c>
      <c r="D87" t="str">
        <f>TableMJRPPWRIT[[#This Row],[Structure Line]]</f>
        <v>Australian Indigenous Literature Creative Perspectives</v>
      </c>
      <c r="E87" s="115">
        <f>TableMJRPPWRIT[[#This Row],[Credit Points]]</f>
        <v>25</v>
      </c>
      <c r="F87">
        <v>4</v>
      </c>
      <c r="G87" t="s">
        <v>335</v>
      </c>
      <c r="H87">
        <v>2</v>
      </c>
      <c r="I87" t="s">
        <v>586</v>
      </c>
      <c r="J87" t="s">
        <v>182</v>
      </c>
      <c r="K87">
        <v>1</v>
      </c>
      <c r="L87" t="s">
        <v>426</v>
      </c>
      <c r="M87">
        <v>25</v>
      </c>
      <c r="N87" s="178">
        <v>44743</v>
      </c>
      <c r="O87" s="178"/>
      <c r="Q87" t="s">
        <v>181</v>
      </c>
      <c r="R87">
        <v>1</v>
      </c>
    </row>
    <row r="88" spans="1:18" x14ac:dyDescent="0.25">
      <c r="A88" t="str">
        <f>TableMJRPPWRIT[[#This Row],[Study Package Code]]</f>
        <v>ISYS5001</v>
      </c>
      <c r="B88" s="1">
        <f>TableMJRPPWRIT[[#This Row],[Ver]]</f>
        <v>1</v>
      </c>
      <c r="D88" t="str">
        <f>TableMJRPPWRIT[[#This Row],[Structure Line]]</f>
        <v>Business Project Management</v>
      </c>
      <c r="E88" s="115">
        <f>TableMJRPPWRIT[[#This Row],[Credit Points]]</f>
        <v>25</v>
      </c>
      <c r="F88">
        <v>4</v>
      </c>
      <c r="G88" t="s">
        <v>335</v>
      </c>
      <c r="H88">
        <v>2</v>
      </c>
      <c r="I88" t="s">
        <v>586</v>
      </c>
      <c r="J88" t="s">
        <v>189</v>
      </c>
      <c r="K88">
        <v>1</v>
      </c>
      <c r="L88" t="s">
        <v>445</v>
      </c>
      <c r="M88">
        <v>25</v>
      </c>
      <c r="N88" s="178">
        <v>42005</v>
      </c>
      <c r="O88" s="178"/>
      <c r="Q88" t="s">
        <v>161</v>
      </c>
      <c r="R88">
        <v>2</v>
      </c>
    </row>
    <row r="89" spans="1:18" x14ac:dyDescent="0.25">
      <c r="A89" t="str">
        <f>TableMJRPPWRIT[[#This Row],[Study Package Code]]</f>
        <v>NETS5004</v>
      </c>
      <c r="B89" s="1">
        <f>TableMJRPPWRIT[[#This Row],[Ver]]</f>
        <v>2</v>
      </c>
      <c r="D89" t="str">
        <f>TableMJRPPWRIT[[#This Row],[Structure Line]]</f>
        <v>Social Media, Communities and Networks</v>
      </c>
      <c r="E89" s="115">
        <f>TableMJRPPWRIT[[#This Row],[Credit Points]]</f>
        <v>25</v>
      </c>
      <c r="F89">
        <v>4</v>
      </c>
      <c r="G89" t="s">
        <v>335</v>
      </c>
      <c r="H89">
        <v>2</v>
      </c>
      <c r="I89" t="s">
        <v>586</v>
      </c>
      <c r="J89" t="s">
        <v>202</v>
      </c>
      <c r="K89">
        <v>2</v>
      </c>
      <c r="L89" t="s">
        <v>485</v>
      </c>
      <c r="M89">
        <v>25</v>
      </c>
      <c r="N89" s="178">
        <v>42736</v>
      </c>
      <c r="O89" s="178"/>
      <c r="Q89" t="s">
        <v>190</v>
      </c>
      <c r="R89">
        <v>1</v>
      </c>
    </row>
    <row r="90" spans="1:18" x14ac:dyDescent="0.25">
      <c r="A90" t="str">
        <f>TableMJRPPWRIT[[#This Row],[Study Package Code]]</f>
        <v>PWRP5000</v>
      </c>
      <c r="B90" s="1">
        <f>TableMJRPPWRIT[[#This Row],[Ver]]</f>
        <v>2</v>
      </c>
      <c r="D90" t="str">
        <f>TableMJRPPWRIT[[#This Row],[Structure Line]]</f>
        <v>Advanced Workplace Writing</v>
      </c>
      <c r="E90" s="115">
        <f>TableMJRPPWRIT[[#This Row],[Credit Points]]</f>
        <v>25</v>
      </c>
      <c r="F90">
        <v>4</v>
      </c>
      <c r="G90" t="s">
        <v>335</v>
      </c>
      <c r="H90">
        <v>2</v>
      </c>
      <c r="I90" t="s">
        <v>586</v>
      </c>
      <c r="J90" t="s">
        <v>203</v>
      </c>
      <c r="K90">
        <v>2</v>
      </c>
      <c r="L90" t="s">
        <v>515</v>
      </c>
      <c r="M90">
        <v>25</v>
      </c>
      <c r="N90" s="178">
        <v>45292</v>
      </c>
      <c r="O90" s="178"/>
      <c r="Q90" t="s">
        <v>182</v>
      </c>
      <c r="R90">
        <v>1</v>
      </c>
    </row>
    <row r="91" spans="1:18" x14ac:dyDescent="0.25">
      <c r="A91" t="str">
        <f>TableMJRPPWRIT[[#This Row],[Study Package Code]]</f>
        <v>PWRP5006</v>
      </c>
      <c r="B91" s="1">
        <f>TableMJRPPWRIT[[#This Row],[Ver]]</f>
        <v>2</v>
      </c>
      <c r="D91" t="str">
        <f>TableMJRPPWRIT[[#This Row],[Structure Line]]</f>
        <v>Publishing</v>
      </c>
      <c r="E91" s="115">
        <f>TableMJRPPWRIT[[#This Row],[Credit Points]]</f>
        <v>25</v>
      </c>
      <c r="F91">
        <v>4</v>
      </c>
      <c r="G91" t="s">
        <v>335</v>
      </c>
      <c r="H91">
        <v>2</v>
      </c>
      <c r="I91" t="s">
        <v>586</v>
      </c>
      <c r="J91" t="s">
        <v>204</v>
      </c>
      <c r="K91">
        <v>2</v>
      </c>
      <c r="L91" t="s">
        <v>524</v>
      </c>
      <c r="M91">
        <v>25</v>
      </c>
      <c r="N91" s="178">
        <v>45292</v>
      </c>
      <c r="O91" s="178"/>
      <c r="Q91" t="s">
        <v>189</v>
      </c>
      <c r="R91">
        <v>1</v>
      </c>
    </row>
    <row r="92" spans="1:18" x14ac:dyDescent="0.25">
      <c r="A92" t="str">
        <f>TableMJRPPWRIT[[#This Row],[Study Package Code]]</f>
        <v>PWRP5015</v>
      </c>
      <c r="B92" s="1">
        <f>TableMJRPPWRIT[[#This Row],[Ver]]</f>
        <v>2</v>
      </c>
      <c r="D92" t="str">
        <f>TableMJRPPWRIT[[#This Row],[Structure Line]]</f>
        <v>Advanced Narrative Nonfiction</v>
      </c>
      <c r="E92" s="115">
        <f>TableMJRPPWRIT[[#This Row],[Credit Points]]</f>
        <v>25</v>
      </c>
      <c r="F92">
        <v>4</v>
      </c>
      <c r="G92" t="s">
        <v>335</v>
      </c>
      <c r="H92">
        <v>2</v>
      </c>
      <c r="I92" t="s">
        <v>586</v>
      </c>
      <c r="J92" t="s">
        <v>197</v>
      </c>
      <c r="K92">
        <v>2</v>
      </c>
      <c r="L92" t="s">
        <v>529</v>
      </c>
      <c r="M92">
        <v>25</v>
      </c>
      <c r="N92" s="178">
        <v>45292</v>
      </c>
      <c r="O92" s="178"/>
      <c r="Q92" t="s">
        <v>481</v>
      </c>
      <c r="R92">
        <v>2</v>
      </c>
    </row>
    <row r="93" spans="1:18" x14ac:dyDescent="0.25">
      <c r="A93" t="str">
        <f>TableMJRPPWRIT[[#This Row],[Study Package Code]]</f>
        <v>PWRP5024</v>
      </c>
      <c r="B93" s="1">
        <f>TableMJRPPWRIT[[#This Row],[Ver]]</f>
        <v>1</v>
      </c>
      <c r="D93" t="str">
        <f>TableMJRPPWRIT[[#This Row],[Structure Line]]</f>
        <v>Publishing Studio</v>
      </c>
      <c r="E93" s="115">
        <f>TableMJRPPWRIT[[#This Row],[Credit Points]]</f>
        <v>25</v>
      </c>
      <c r="F93">
        <v>4</v>
      </c>
      <c r="G93" t="s">
        <v>335</v>
      </c>
      <c r="H93">
        <v>2</v>
      </c>
      <c r="I93" t="s">
        <v>586</v>
      </c>
      <c r="J93" t="s">
        <v>205</v>
      </c>
      <c r="K93">
        <v>1</v>
      </c>
      <c r="L93" t="s">
        <v>544</v>
      </c>
      <c r="M93">
        <v>25</v>
      </c>
      <c r="N93" s="178">
        <v>45292</v>
      </c>
      <c r="O93" s="178"/>
      <c r="Q93" t="s">
        <v>202</v>
      </c>
      <c r="R93">
        <v>2</v>
      </c>
    </row>
    <row r="94" spans="1:18" x14ac:dyDescent="0.25">
      <c r="A94" t="str">
        <f>TableMJRPPWRIT[[#This Row],[Study Package Code]]</f>
        <v>COMS6004</v>
      </c>
      <c r="B94" s="1">
        <f>TableMJRPPWRIT[[#This Row],[Ver]]</f>
        <v>2</v>
      </c>
      <c r="D94" t="str">
        <f>TableMJRPPWRIT[[#This Row],[Structure Line]]</f>
        <v>Masters Professional or Creative Project</v>
      </c>
      <c r="E94" s="115">
        <f>TableMJRPPWRIT[[#This Row],[Credit Points]]</f>
        <v>50</v>
      </c>
      <c r="F94">
        <v>5</v>
      </c>
      <c r="G94" t="s">
        <v>590</v>
      </c>
      <c r="H94">
        <v>2</v>
      </c>
      <c r="I94" t="s">
        <v>586</v>
      </c>
      <c r="J94" t="s">
        <v>139</v>
      </c>
      <c r="K94">
        <v>2</v>
      </c>
      <c r="L94" t="s">
        <v>376</v>
      </c>
      <c r="M94">
        <v>50</v>
      </c>
      <c r="N94" s="178">
        <v>45292</v>
      </c>
      <c r="O94" s="178"/>
      <c r="Q94" t="s">
        <v>203</v>
      </c>
      <c r="R94">
        <v>1</v>
      </c>
    </row>
    <row r="95" spans="1:18" x14ac:dyDescent="0.25">
      <c r="A95" t="str">
        <f>TableMJRPPWRIT[[#This Row],[Study Package Code]]</f>
        <v>HUMN6003</v>
      </c>
      <c r="B95" s="1">
        <f>TableMJRPPWRIT[[#This Row],[Ver]]</f>
        <v>1</v>
      </c>
      <c r="D95" t="str">
        <f>TableMJRPPWRIT[[#This Row],[Structure Line]]</f>
        <v>Masters Research Project 2</v>
      </c>
      <c r="E95" s="115">
        <f>TableMJRPPWRIT[[#This Row],[Credit Points]]</f>
        <v>50</v>
      </c>
      <c r="F95">
        <v>5</v>
      </c>
      <c r="G95" t="s">
        <v>590</v>
      </c>
      <c r="H95">
        <v>2</v>
      </c>
      <c r="I95" t="s">
        <v>586</v>
      </c>
      <c r="J95" t="s">
        <v>144</v>
      </c>
      <c r="K95">
        <v>1</v>
      </c>
      <c r="L95" t="s">
        <v>594</v>
      </c>
      <c r="M95">
        <v>50</v>
      </c>
      <c r="N95" s="178">
        <v>45292</v>
      </c>
      <c r="O95" s="178"/>
      <c r="Q95" t="s">
        <v>204</v>
      </c>
      <c r="R95">
        <v>1</v>
      </c>
    </row>
    <row r="96" spans="1:18" x14ac:dyDescent="0.25">
      <c r="A96">
        <f>TableMJRPPWRIT[[#This Row],[Study Package Code]]</f>
        <v>0</v>
      </c>
      <c r="B96" s="1">
        <f>TableMJRPPWRIT[[#This Row],[Ver]]</f>
        <v>0</v>
      </c>
      <c r="D96">
        <f>TableMJRPPWRIT[[#This Row],[Structure Line]]</f>
        <v>0</v>
      </c>
      <c r="E96" s="115">
        <f>TableMJRPPWRIT[[#This Row],[Credit Points]]</f>
        <v>0</v>
      </c>
      <c r="N96" s="178"/>
      <c r="O96" s="178"/>
      <c r="Q96" t="s">
        <v>197</v>
      </c>
      <c r="R96">
        <v>1</v>
      </c>
    </row>
    <row r="97" spans="1:18" x14ac:dyDescent="0.25">
      <c r="A97">
        <f>TableMJRPPWRIT[[#This Row],[Study Package Code]]</f>
        <v>0</v>
      </c>
      <c r="B97" s="1">
        <f>TableMJRPPWRIT[[#This Row],[Ver]]</f>
        <v>0</v>
      </c>
      <c r="D97">
        <f>TableMJRPPWRIT[[#This Row],[Structure Line]]</f>
        <v>0</v>
      </c>
      <c r="E97" s="115">
        <f>TableMJRPPWRIT[[#This Row],[Credit Points]]</f>
        <v>0</v>
      </c>
      <c r="N97" s="178"/>
      <c r="O97" s="178"/>
      <c r="Q97" t="s">
        <v>537</v>
      </c>
      <c r="R97">
        <v>1</v>
      </c>
    </row>
    <row r="98" spans="1:18" x14ac:dyDescent="0.25">
      <c r="B98"/>
      <c r="E98"/>
      <c r="F98" s="111"/>
      <c r="G98" s="112" t="s">
        <v>573</v>
      </c>
      <c r="H98" s="113">
        <v>43466</v>
      </c>
      <c r="I98" s="177"/>
      <c r="J98" s="177" t="s">
        <v>136</v>
      </c>
      <c r="K98" s="114" t="s">
        <v>64</v>
      </c>
      <c r="L98" s="177" t="s">
        <v>14</v>
      </c>
      <c r="M98" s="177"/>
      <c r="N98" s="250" t="s">
        <v>574</v>
      </c>
      <c r="O98" s="178">
        <v>45337</v>
      </c>
    </row>
    <row r="99" spans="1:18" x14ac:dyDescent="0.25">
      <c r="A99" t="s">
        <v>0</v>
      </c>
      <c r="B99" s="1" t="s">
        <v>46</v>
      </c>
      <c r="C99" t="s">
        <v>575</v>
      </c>
      <c r="D99" t="s">
        <v>3</v>
      </c>
      <c r="E99" s="115" t="s">
        <v>576</v>
      </c>
      <c r="F99" t="s">
        <v>577</v>
      </c>
      <c r="G99" t="s">
        <v>578</v>
      </c>
      <c r="H99" t="s">
        <v>579</v>
      </c>
      <c r="I99" t="s">
        <v>21</v>
      </c>
      <c r="J99" t="s">
        <v>580</v>
      </c>
      <c r="K99" t="s">
        <v>1</v>
      </c>
      <c r="L99" t="s">
        <v>581</v>
      </c>
      <c r="M99" t="s">
        <v>47</v>
      </c>
      <c r="N99" t="s">
        <v>582</v>
      </c>
      <c r="O99" t="s">
        <v>583</v>
      </c>
      <c r="Q99" t="s">
        <v>584</v>
      </c>
      <c r="R99" t="s">
        <v>1</v>
      </c>
    </row>
    <row r="100" spans="1:18" x14ac:dyDescent="0.25">
      <c r="A100" t="str">
        <f>TableMJRPSCRAR[[#This Row],[Study Package Code]]</f>
        <v>SCWR5000</v>
      </c>
      <c r="B100" s="1">
        <f>TableMJRPSCRAR[[#This Row],[Ver]]</f>
        <v>2</v>
      </c>
      <c r="D100" t="str">
        <f>TableMJRPSCRAR[[#This Row],[Structure Line]]</f>
        <v>Introduction to Screenwriting for Graduates</v>
      </c>
      <c r="E100" s="115">
        <f>TableMJRPSCRAR[[#This Row],[Credit Points]]</f>
        <v>25</v>
      </c>
      <c r="F100">
        <v>1</v>
      </c>
      <c r="G100" t="s">
        <v>585</v>
      </c>
      <c r="H100">
        <v>1</v>
      </c>
      <c r="I100" t="s">
        <v>586</v>
      </c>
      <c r="J100" t="s">
        <v>53</v>
      </c>
      <c r="K100">
        <v>2</v>
      </c>
      <c r="L100" t="s">
        <v>546</v>
      </c>
      <c r="M100">
        <v>25</v>
      </c>
      <c r="N100" s="178">
        <v>43101</v>
      </c>
      <c r="O100" s="178" t="s">
        <v>587</v>
      </c>
      <c r="Q100" t="s">
        <v>53</v>
      </c>
      <c r="R100">
        <v>2</v>
      </c>
    </row>
    <row r="101" spans="1:18" x14ac:dyDescent="0.25">
      <c r="A101" t="str">
        <f>TableMJRPSCRAR[[#This Row],[Study Package Code]]</f>
        <v>COMS5003</v>
      </c>
      <c r="B101" s="1">
        <f>TableMJRPSCRAR[[#This Row],[Ver]]</f>
        <v>1</v>
      </c>
      <c r="D101" t="str">
        <f>TableMJRPSCRAR[[#This Row],[Structure Line]]</f>
        <v>Approaches to Arts Research Projects</v>
      </c>
      <c r="E101" s="115">
        <f>TableMJRPSCRAR[[#This Row],[Credit Points]]</f>
        <v>25</v>
      </c>
      <c r="F101">
        <v>2</v>
      </c>
      <c r="G101" t="s">
        <v>585</v>
      </c>
      <c r="H101">
        <v>1</v>
      </c>
      <c r="I101" t="s">
        <v>586</v>
      </c>
      <c r="J101" t="s">
        <v>51</v>
      </c>
      <c r="K101">
        <v>1</v>
      </c>
      <c r="L101" t="s">
        <v>367</v>
      </c>
      <c r="M101">
        <v>25</v>
      </c>
      <c r="N101" s="178">
        <v>43466</v>
      </c>
      <c r="O101" s="178" t="s">
        <v>587</v>
      </c>
      <c r="Q101" t="s">
        <v>51</v>
      </c>
      <c r="R101">
        <v>1</v>
      </c>
    </row>
    <row r="102" spans="1:18" x14ac:dyDescent="0.25">
      <c r="A102" t="str">
        <f>TableMJRPSCRAR[[#This Row],[Study Package Code]]</f>
        <v>SPRO5005</v>
      </c>
      <c r="B102" s="1">
        <f>TableMJRPSCRAR[[#This Row],[Ver]]</f>
        <v>2</v>
      </c>
      <c r="D102" t="str">
        <f>TableMJRPSCRAR[[#This Row],[Structure Line]]</f>
        <v>Introduction to Screen Industries</v>
      </c>
      <c r="E102" s="115">
        <f>TableMJRPSCRAR[[#This Row],[Credit Points]]</f>
        <v>25</v>
      </c>
      <c r="F102">
        <v>3</v>
      </c>
      <c r="G102" t="s">
        <v>585</v>
      </c>
      <c r="H102">
        <v>1</v>
      </c>
      <c r="I102" t="s">
        <v>586</v>
      </c>
      <c r="J102" t="s">
        <v>68</v>
      </c>
      <c r="K102">
        <v>2</v>
      </c>
      <c r="L102" t="s">
        <v>553</v>
      </c>
      <c r="M102">
        <v>25</v>
      </c>
      <c r="N102" s="178">
        <v>43831</v>
      </c>
      <c r="O102" s="178" t="s">
        <v>587</v>
      </c>
      <c r="Q102" t="s">
        <v>68</v>
      </c>
      <c r="R102">
        <v>2</v>
      </c>
    </row>
    <row r="103" spans="1:18" x14ac:dyDescent="0.25">
      <c r="A103" t="str">
        <f>TableMJRPSCRAR[[#This Row],[Study Package Code]]</f>
        <v>SCST5008</v>
      </c>
      <c r="B103" s="1">
        <f>TableMJRPSCRAR[[#This Row],[Ver]]</f>
        <v>2</v>
      </c>
      <c r="D103" t="str">
        <f>TableMJRPSCRAR[[#This Row],[Structure Line]]</f>
        <v>Introduction to Screen Creativity</v>
      </c>
      <c r="E103" s="115">
        <f>TableMJRPSCRAR[[#This Row],[Credit Points]]</f>
        <v>25</v>
      </c>
      <c r="F103">
        <v>4</v>
      </c>
      <c r="G103" t="s">
        <v>585</v>
      </c>
      <c r="H103">
        <v>1</v>
      </c>
      <c r="I103" t="s">
        <v>586</v>
      </c>
      <c r="J103" t="s">
        <v>73</v>
      </c>
      <c r="K103">
        <v>2</v>
      </c>
      <c r="L103" t="s">
        <v>545</v>
      </c>
      <c r="M103">
        <v>25</v>
      </c>
      <c r="N103" s="178">
        <v>43831</v>
      </c>
      <c r="O103" s="178" t="s">
        <v>587</v>
      </c>
      <c r="Q103" t="s">
        <v>73</v>
      </c>
      <c r="R103">
        <v>2</v>
      </c>
    </row>
    <row r="104" spans="1:18" x14ac:dyDescent="0.25">
      <c r="A104" t="str">
        <f>TableMJRPSCRAR[[#This Row],[Study Package Code]]</f>
        <v>SPRO5000</v>
      </c>
      <c r="B104" s="1">
        <f>TableMJRPSCRAR[[#This Row],[Ver]]</f>
        <v>3</v>
      </c>
      <c r="D104" t="str">
        <f>TableMJRPSCRAR[[#This Row],[Structure Line]]</f>
        <v>Creative Documentary and Actualities</v>
      </c>
      <c r="E104" s="115">
        <f>TableMJRPSCRAR[[#This Row],[Credit Points]]</f>
        <v>25</v>
      </c>
      <c r="F104">
        <v>5</v>
      </c>
      <c r="G104" t="s">
        <v>585</v>
      </c>
      <c r="H104">
        <v>1</v>
      </c>
      <c r="I104" t="s">
        <v>586</v>
      </c>
      <c r="J104" t="s">
        <v>54</v>
      </c>
      <c r="K104">
        <v>3</v>
      </c>
      <c r="L104" t="s">
        <v>547</v>
      </c>
      <c r="M104">
        <v>25</v>
      </c>
      <c r="N104" s="178">
        <v>43831</v>
      </c>
      <c r="O104" s="178" t="s">
        <v>587</v>
      </c>
      <c r="Q104" t="s">
        <v>54</v>
      </c>
      <c r="R104">
        <v>3</v>
      </c>
    </row>
    <row r="105" spans="1:18" x14ac:dyDescent="0.25">
      <c r="A105" t="str">
        <f>TableMJRPSCRAR[[#This Row],[Study Package Code]]</f>
        <v>SPRO5006</v>
      </c>
      <c r="B105" s="1">
        <f>TableMJRPSCRAR[[#This Row],[Ver]]</f>
        <v>3</v>
      </c>
      <c r="D105" t="str">
        <f>TableMJRPSCRAR[[#This Row],[Structure Line]]</f>
        <v>Studio Production</v>
      </c>
      <c r="E105" s="115">
        <f>TableMJRPSCRAR[[#This Row],[Credit Points]]</f>
        <v>25</v>
      </c>
      <c r="F105">
        <v>6</v>
      </c>
      <c r="G105" t="s">
        <v>585</v>
      </c>
      <c r="H105">
        <v>1</v>
      </c>
      <c r="I105" t="s">
        <v>586</v>
      </c>
      <c r="J105" t="s">
        <v>83</v>
      </c>
      <c r="K105">
        <v>3</v>
      </c>
      <c r="L105" t="s">
        <v>554</v>
      </c>
      <c r="M105">
        <v>25</v>
      </c>
      <c r="N105" s="178">
        <v>44927</v>
      </c>
      <c r="O105" s="178" t="s">
        <v>587</v>
      </c>
      <c r="Q105" t="s">
        <v>83</v>
      </c>
      <c r="R105">
        <v>3</v>
      </c>
    </row>
    <row r="106" spans="1:18" x14ac:dyDescent="0.25">
      <c r="A106" t="str">
        <f>TableMJRPSCRAR[[#This Row],[Study Package Code]]</f>
        <v>COMS6005</v>
      </c>
      <c r="B106" s="1">
        <f>TableMJRPSCRAR[[#This Row],[Ver]]</f>
        <v>1</v>
      </c>
      <c r="D106" t="str">
        <f>TableMJRPSCRAR[[#This Row],[Structure Line]]</f>
        <v>Planning an Arts Research Project</v>
      </c>
      <c r="E106" s="115">
        <f>TableMJRPSCRAR[[#This Row],[Credit Points]]</f>
        <v>25</v>
      </c>
      <c r="F106">
        <v>7</v>
      </c>
      <c r="G106" t="s">
        <v>585</v>
      </c>
      <c r="H106">
        <v>1</v>
      </c>
      <c r="I106" t="s">
        <v>586</v>
      </c>
      <c r="J106" t="s">
        <v>77</v>
      </c>
      <c r="K106">
        <v>1</v>
      </c>
      <c r="L106" t="s">
        <v>379</v>
      </c>
      <c r="M106">
        <v>25</v>
      </c>
      <c r="N106" s="178">
        <v>43466</v>
      </c>
      <c r="O106" s="178" t="s">
        <v>587</v>
      </c>
      <c r="Q106" t="s">
        <v>77</v>
      </c>
      <c r="R106">
        <v>1</v>
      </c>
    </row>
    <row r="107" spans="1:18" x14ac:dyDescent="0.25">
      <c r="A107" t="str">
        <f>TableMJRPSCRAR[[#This Row],[Study Package Code]]</f>
        <v>AC-SCRAR1</v>
      </c>
      <c r="B107" s="1">
        <f>TableMJRPSCRAR[[#This Row],[Ver]]</f>
        <v>0</v>
      </c>
      <c r="D107" t="str">
        <f>TableMJRPSCRAR[[#This Row],[Structure Line]]</f>
        <v>Choose CWRI6000 or NETS5010</v>
      </c>
      <c r="E107" s="115">
        <f>TableMJRPSCRAR[[#This Row],[Credit Points]]</f>
        <v>25</v>
      </c>
      <c r="F107">
        <v>8</v>
      </c>
      <c r="G107" t="s">
        <v>590</v>
      </c>
      <c r="H107">
        <v>1</v>
      </c>
      <c r="I107" t="s">
        <v>586</v>
      </c>
      <c r="J107" t="s">
        <v>89</v>
      </c>
      <c r="K107">
        <v>0</v>
      </c>
      <c r="L107" t="s">
        <v>607</v>
      </c>
      <c r="M107">
        <v>25</v>
      </c>
      <c r="N107" s="178"/>
      <c r="O107" s="178"/>
      <c r="Q107" t="s">
        <v>608</v>
      </c>
      <c r="R107">
        <v>0</v>
      </c>
    </row>
    <row r="108" spans="1:18" x14ac:dyDescent="0.25">
      <c r="A108" t="str">
        <f>TableMJRPSCRAR[[#This Row],[Study Package Code]]</f>
        <v>SPRO5008</v>
      </c>
      <c r="B108" s="1">
        <f>TableMJRPSCRAR[[#This Row],[Ver]]</f>
        <v>1</v>
      </c>
      <c r="D108" t="str">
        <f>TableMJRPSCRAR[[#This Row],[Structure Line]]</f>
        <v>Advanced Studio Production</v>
      </c>
      <c r="E108" s="115">
        <f>TableMJRPSCRAR[[#This Row],[Credit Points]]</f>
        <v>25</v>
      </c>
      <c r="F108">
        <v>9</v>
      </c>
      <c r="G108" t="s">
        <v>585</v>
      </c>
      <c r="H108">
        <v>2</v>
      </c>
      <c r="I108" t="s">
        <v>586</v>
      </c>
      <c r="J108" t="s">
        <v>96</v>
      </c>
      <c r="K108">
        <v>1</v>
      </c>
      <c r="L108" t="s">
        <v>550</v>
      </c>
      <c r="M108">
        <v>25</v>
      </c>
      <c r="N108" s="178">
        <v>45292</v>
      </c>
      <c r="O108" s="178" t="s">
        <v>587</v>
      </c>
      <c r="Q108" t="s">
        <v>609</v>
      </c>
      <c r="R108">
        <v>0</v>
      </c>
    </row>
    <row r="109" spans="1:18" x14ac:dyDescent="0.25">
      <c r="A109" t="str">
        <f>TableMJRPSCRAR[[#This Row],[Study Package Code]]</f>
        <v>AC-SCRAR2</v>
      </c>
      <c r="B109" s="1">
        <f>TableMJRPSCRAR[[#This Row],[Ver]]</f>
        <v>0</v>
      </c>
      <c r="D109" t="str">
        <f>TableMJRPSCRAR[[#This Row],[Structure Line]]</f>
        <v>Choose HUMN6003 or COMS6004</v>
      </c>
      <c r="E109" s="115">
        <f>TableMJRPSCRAR[[#This Row],[Credit Points]]</f>
        <v>50</v>
      </c>
      <c r="F109">
        <v>10</v>
      </c>
      <c r="G109" t="s">
        <v>590</v>
      </c>
      <c r="H109">
        <v>2</v>
      </c>
      <c r="I109" t="s">
        <v>586</v>
      </c>
      <c r="J109" t="s">
        <v>109</v>
      </c>
      <c r="K109">
        <v>0</v>
      </c>
      <c r="L109" t="s">
        <v>601</v>
      </c>
      <c r="M109">
        <v>50</v>
      </c>
      <c r="N109" s="178"/>
      <c r="O109" s="178"/>
      <c r="Q109" t="s">
        <v>549</v>
      </c>
      <c r="R109">
        <v>2</v>
      </c>
    </row>
    <row r="110" spans="1:18" x14ac:dyDescent="0.25">
      <c r="A110" t="str">
        <f>TableMJRPSCRAR[[#This Row],[Study Package Code]]</f>
        <v>Opt-SCRAR</v>
      </c>
      <c r="B110" s="1">
        <f>TableMJRPSCRAR[[#This Row],[Ver]]</f>
        <v>0</v>
      </c>
      <c r="D110" t="str">
        <f>TableMJRPSCRAR[[#This Row],[Structure Line]]</f>
        <v>Choose Options</v>
      </c>
      <c r="E110" s="115">
        <f>TableMJRPSCRAR[[#This Row],[Credit Points]]</f>
        <v>125</v>
      </c>
      <c r="F110">
        <v>11</v>
      </c>
      <c r="G110" t="s">
        <v>335</v>
      </c>
      <c r="H110">
        <v>2</v>
      </c>
      <c r="I110" t="s">
        <v>586</v>
      </c>
      <c r="J110" t="s">
        <v>97</v>
      </c>
      <c r="K110">
        <v>0</v>
      </c>
      <c r="L110" t="s">
        <v>592</v>
      </c>
      <c r="M110">
        <v>125</v>
      </c>
      <c r="N110" s="178"/>
      <c r="O110" s="178"/>
      <c r="Q110" t="s">
        <v>610</v>
      </c>
      <c r="R110">
        <v>0</v>
      </c>
    </row>
    <row r="111" spans="1:18" x14ac:dyDescent="0.25">
      <c r="A111" t="str">
        <f>TableMJRPSCRAR[[#This Row],[Study Package Code]]</f>
        <v>CWRI6000</v>
      </c>
      <c r="B111" s="1">
        <f>TableMJRPSCRAR[[#This Row],[Ver]]</f>
        <v>2</v>
      </c>
      <c r="D111" t="str">
        <f>TableMJRPSCRAR[[#This Row],[Structure Line]]</f>
        <v>Engaging Narrative</v>
      </c>
      <c r="E111" s="115">
        <f>TableMJRPSCRAR[[#This Row],[Credit Points]]</f>
        <v>25</v>
      </c>
      <c r="F111">
        <v>8</v>
      </c>
      <c r="G111" t="s">
        <v>590</v>
      </c>
      <c r="H111">
        <v>1</v>
      </c>
      <c r="I111" t="s">
        <v>586</v>
      </c>
      <c r="J111" t="s">
        <v>141</v>
      </c>
      <c r="K111">
        <v>2</v>
      </c>
      <c r="L111" t="s">
        <v>387</v>
      </c>
      <c r="M111">
        <v>25</v>
      </c>
      <c r="N111" s="178">
        <v>43831</v>
      </c>
      <c r="O111" s="178"/>
      <c r="Q111" t="s">
        <v>595</v>
      </c>
    </row>
    <row r="112" spans="1:18" x14ac:dyDescent="0.25">
      <c r="A112" t="str">
        <f>TableMJRPSCRAR[[#This Row],[Study Package Code]]</f>
        <v>NETS5010</v>
      </c>
      <c r="B112" s="1">
        <f>TableMJRPSCRAR[[#This Row],[Ver]]</f>
        <v>1</v>
      </c>
      <c r="D112" t="str">
        <f>TableMJRPSCRAR[[#This Row],[Structure Line]]</f>
        <v>Web Media</v>
      </c>
      <c r="E112" s="115">
        <f>TableMJRPSCRAR[[#This Row],[Credit Points]]</f>
        <v>25</v>
      </c>
      <c r="F112">
        <v>8</v>
      </c>
      <c r="G112" t="s">
        <v>590</v>
      </c>
      <c r="H112">
        <v>1</v>
      </c>
      <c r="I112" t="s">
        <v>586</v>
      </c>
      <c r="J112" t="s">
        <v>146</v>
      </c>
      <c r="K112">
        <v>1</v>
      </c>
      <c r="L112" t="s">
        <v>491</v>
      </c>
      <c r="M112">
        <v>25</v>
      </c>
      <c r="N112" s="178">
        <v>42005</v>
      </c>
      <c r="O112" s="178"/>
      <c r="Q112" t="s">
        <v>139</v>
      </c>
      <c r="R112">
        <v>1</v>
      </c>
    </row>
    <row r="113" spans="1:18" x14ac:dyDescent="0.25">
      <c r="A113" t="str">
        <f>TableMJRPSCRAR[[#This Row],[Study Package Code]]</f>
        <v>COMS6004</v>
      </c>
      <c r="B113" s="1">
        <f>TableMJRPSCRAR[[#This Row],[Ver]]</f>
        <v>2</v>
      </c>
      <c r="D113" t="str">
        <f>TableMJRPSCRAR[[#This Row],[Structure Line]]</f>
        <v>Masters Professional or Creative Project</v>
      </c>
      <c r="E113" s="115">
        <f>TableMJRPSCRAR[[#This Row],[Credit Points]]</f>
        <v>25</v>
      </c>
      <c r="F113">
        <v>10</v>
      </c>
      <c r="G113" t="s">
        <v>590</v>
      </c>
      <c r="H113">
        <v>2</v>
      </c>
      <c r="I113" t="s">
        <v>586</v>
      </c>
      <c r="J113" t="s">
        <v>139</v>
      </c>
      <c r="K113">
        <v>2</v>
      </c>
      <c r="L113" t="s">
        <v>376</v>
      </c>
      <c r="M113">
        <v>25</v>
      </c>
      <c r="N113" s="178">
        <v>45292</v>
      </c>
      <c r="O113" s="178"/>
      <c r="Q113" t="s">
        <v>596</v>
      </c>
      <c r="R113">
        <v>1</v>
      </c>
    </row>
    <row r="114" spans="1:18" x14ac:dyDescent="0.25">
      <c r="A114" t="str">
        <f>TableMJRPSCRAR[[#This Row],[Study Package Code]]</f>
        <v>HUMN6003</v>
      </c>
      <c r="B114" s="1">
        <f>TableMJRPSCRAR[[#This Row],[Ver]]</f>
        <v>1</v>
      </c>
      <c r="D114" t="str">
        <f>TableMJRPSCRAR[[#This Row],[Structure Line]]</f>
        <v>Masters Research Project 2</v>
      </c>
      <c r="E114" s="115">
        <f>TableMJRPSCRAR[[#This Row],[Credit Points]]</f>
        <v>50</v>
      </c>
      <c r="F114">
        <v>10</v>
      </c>
      <c r="G114" t="s">
        <v>590</v>
      </c>
      <c r="H114">
        <v>2</v>
      </c>
      <c r="I114" t="s">
        <v>586</v>
      </c>
      <c r="J114" t="s">
        <v>144</v>
      </c>
      <c r="K114">
        <v>1</v>
      </c>
      <c r="L114" s="241" t="s">
        <v>594</v>
      </c>
      <c r="M114" s="241">
        <v>50</v>
      </c>
      <c r="N114" s="178">
        <v>45292</v>
      </c>
      <c r="O114" s="178"/>
      <c r="Q114" t="s">
        <v>141</v>
      </c>
      <c r="R114">
        <v>2</v>
      </c>
    </row>
    <row r="115" spans="1:18" x14ac:dyDescent="0.25">
      <c r="A115" t="str">
        <f>TableMJRPSCRAR[[#This Row],[Study Package Code]]</f>
        <v>COMS6002</v>
      </c>
      <c r="B115" s="1">
        <f>TableMJRPSCRAR[[#This Row],[Ver]]</f>
        <v>3</v>
      </c>
      <c r="D115" t="str">
        <f>TableMJRPSCRAR[[#This Row],[Structure Line]]</f>
        <v>Masters Professional Experience</v>
      </c>
      <c r="E115" s="115">
        <f>TableMJRPSCRAR[[#This Row],[Credit Points]]</f>
        <v>50</v>
      </c>
      <c r="F115">
        <v>11</v>
      </c>
      <c r="G115" t="s">
        <v>335</v>
      </c>
      <c r="H115">
        <v>2</v>
      </c>
      <c r="I115" t="s">
        <v>586</v>
      </c>
      <c r="J115" t="s">
        <v>161</v>
      </c>
      <c r="K115" s="241">
        <v>3</v>
      </c>
      <c r="L115" s="241" t="s">
        <v>369</v>
      </c>
      <c r="M115" s="241">
        <v>50</v>
      </c>
      <c r="N115" s="178">
        <v>45292</v>
      </c>
      <c r="O115" s="178"/>
      <c r="Q115" t="s">
        <v>146</v>
      </c>
      <c r="R115">
        <v>1</v>
      </c>
    </row>
    <row r="116" spans="1:18" x14ac:dyDescent="0.25">
      <c r="A116" t="str">
        <f>TableMJRPSCRAR[[#This Row],[Study Package Code]]</f>
        <v>CWRI6000</v>
      </c>
      <c r="B116" s="1">
        <f>TableMJRPSCRAR[[#This Row],[Ver]]</f>
        <v>2</v>
      </c>
      <c r="D116" t="str">
        <f>TableMJRPSCRAR[[#This Row],[Structure Line]]</f>
        <v>Engaging Narrative</v>
      </c>
      <c r="E116" s="115">
        <f>TableMJRPSCRAR[[#This Row],[Credit Points]]</f>
        <v>25</v>
      </c>
      <c r="F116">
        <v>11</v>
      </c>
      <c r="G116" t="s">
        <v>335</v>
      </c>
      <c r="H116">
        <v>2</v>
      </c>
      <c r="I116" t="s">
        <v>586</v>
      </c>
      <c r="J116" s="110" t="s">
        <v>141</v>
      </c>
      <c r="K116" s="241">
        <v>2</v>
      </c>
      <c r="L116" s="241" t="s">
        <v>387</v>
      </c>
      <c r="M116" s="241">
        <v>25</v>
      </c>
      <c r="N116" s="178">
        <v>43831</v>
      </c>
      <c r="O116" s="178"/>
      <c r="Q116" t="s">
        <v>195</v>
      </c>
      <c r="R116">
        <v>5</v>
      </c>
    </row>
    <row r="117" spans="1:18" x14ac:dyDescent="0.25">
      <c r="A117" t="str">
        <f>TableMJRPSCRAR[[#This Row],[Study Package Code]]</f>
        <v>HUMN6001</v>
      </c>
      <c r="B117" s="1">
        <f>TableMJRPSCRAR[[#This Row],[Ver]]</f>
        <v>1</v>
      </c>
      <c r="D117" t="str">
        <f>TableMJRPSCRAR[[#This Row],[Structure Line]]</f>
        <v>Masters Research Project 1</v>
      </c>
      <c r="E117" s="115">
        <f>TableMJRPSCRAR[[#This Row],[Credit Points]]</f>
        <v>50</v>
      </c>
      <c r="F117">
        <v>11</v>
      </c>
      <c r="G117" t="s">
        <v>335</v>
      </c>
      <c r="H117">
        <v>2</v>
      </c>
      <c r="I117" t="s">
        <v>586</v>
      </c>
      <c r="J117" t="s">
        <v>165</v>
      </c>
      <c r="K117" s="241">
        <v>1</v>
      </c>
      <c r="L117" s="241" t="s">
        <v>597</v>
      </c>
      <c r="M117" s="241">
        <v>50</v>
      </c>
      <c r="N117" s="178">
        <v>45292</v>
      </c>
      <c r="O117" s="178"/>
      <c r="Q117" t="s">
        <v>161</v>
      </c>
      <c r="R117">
        <v>2</v>
      </c>
    </row>
    <row r="118" spans="1:18" x14ac:dyDescent="0.25">
      <c r="A118" t="str">
        <f>TableMJRPSCRAR[[#This Row],[Study Package Code]]</f>
        <v>INDS6001</v>
      </c>
      <c r="B118" s="1">
        <f>TableMJRPSCRAR[[#This Row],[Ver]]</f>
        <v>1</v>
      </c>
      <c r="D118" t="str">
        <f>TableMJRPSCRAR[[#This Row],[Structure Line]]</f>
        <v>Australian Indigenous Literature Creative Perspectives</v>
      </c>
      <c r="E118" s="115">
        <f>TableMJRPSCRAR[[#This Row],[Credit Points]]</f>
        <v>25</v>
      </c>
      <c r="F118">
        <v>11</v>
      </c>
      <c r="G118" t="s">
        <v>335</v>
      </c>
      <c r="H118">
        <v>2</v>
      </c>
      <c r="I118" t="s">
        <v>586</v>
      </c>
      <c r="J118" t="s">
        <v>182</v>
      </c>
      <c r="K118" s="241">
        <v>1</v>
      </c>
      <c r="L118" s="241" t="s">
        <v>426</v>
      </c>
      <c r="M118" s="241">
        <v>25</v>
      </c>
      <c r="N118" s="178">
        <v>44743</v>
      </c>
      <c r="O118" s="178"/>
      <c r="Q118" t="s">
        <v>481</v>
      </c>
      <c r="R118">
        <v>2</v>
      </c>
    </row>
    <row r="119" spans="1:18" x14ac:dyDescent="0.25">
      <c r="A119" t="str">
        <f>TableMJRPSCRAR[[#This Row],[Study Package Code]]</f>
        <v>ISYS5001</v>
      </c>
      <c r="B119" s="1">
        <f>TableMJRPSCRAR[[#This Row],[Ver]]</f>
        <v>1</v>
      </c>
      <c r="D119" t="str">
        <f>TableMJRPSCRAR[[#This Row],[Structure Line]]</f>
        <v>Business Project Management</v>
      </c>
      <c r="E119" s="115">
        <f>TableMJRPSCRAR[[#This Row],[Credit Points]]</f>
        <v>25</v>
      </c>
      <c r="F119">
        <v>11</v>
      </c>
      <c r="G119" t="s">
        <v>335</v>
      </c>
      <c r="H119">
        <v>2</v>
      </c>
      <c r="I119" t="s">
        <v>586</v>
      </c>
      <c r="J119" t="s">
        <v>189</v>
      </c>
      <c r="K119" s="241">
        <v>1</v>
      </c>
      <c r="L119" s="241" t="s">
        <v>445</v>
      </c>
      <c r="M119" s="241">
        <v>25</v>
      </c>
      <c r="N119" s="178">
        <v>42005</v>
      </c>
      <c r="O119" s="178"/>
      <c r="Q119" t="s">
        <v>193</v>
      </c>
      <c r="R119">
        <v>3</v>
      </c>
    </row>
    <row r="120" spans="1:18" x14ac:dyDescent="0.25">
      <c r="A120" t="str">
        <f>TableMJRPSCRAR[[#This Row],[Study Package Code]]</f>
        <v>NETS5010</v>
      </c>
      <c r="B120" s="1">
        <f>TableMJRPSCRAR[[#This Row],[Ver]]</f>
        <v>1</v>
      </c>
      <c r="D120" t="str">
        <f>TableMJRPSCRAR[[#This Row],[Structure Line]]</f>
        <v>Web Media</v>
      </c>
      <c r="E120" s="115">
        <f>TableMJRPSCRAR[[#This Row],[Credit Points]]</f>
        <v>25</v>
      </c>
      <c r="F120">
        <v>11</v>
      </c>
      <c r="G120" t="s">
        <v>335</v>
      </c>
      <c r="H120">
        <v>2</v>
      </c>
      <c r="I120" t="s">
        <v>586</v>
      </c>
      <c r="J120" t="s">
        <v>146</v>
      </c>
      <c r="K120" s="241">
        <v>1</v>
      </c>
      <c r="L120" s="241" t="s">
        <v>491</v>
      </c>
      <c r="M120" s="241">
        <v>25</v>
      </c>
      <c r="N120" s="178">
        <v>42005</v>
      </c>
      <c r="O120" s="178"/>
      <c r="Q120" t="s">
        <v>141</v>
      </c>
      <c r="R120">
        <v>2</v>
      </c>
    </row>
    <row r="121" spans="1:18" x14ac:dyDescent="0.25">
      <c r="A121" t="str">
        <f>TableMJRPSCRAR[[#This Row],[Study Package Code]]</f>
        <v>SPRO5001</v>
      </c>
      <c r="B121" s="1">
        <f>TableMJRPSCRAR[[#This Row],[Ver]]</f>
        <v>3</v>
      </c>
      <c r="D121" t="str">
        <f>TableMJRPSCRAR[[#This Row],[Structure Line]]</f>
        <v>Drama Narratives</v>
      </c>
      <c r="E121" s="115">
        <f>TableMJRPSCRAR[[#This Row],[Credit Points]]</f>
        <v>25</v>
      </c>
      <c r="F121">
        <v>11</v>
      </c>
      <c r="G121" t="s">
        <v>335</v>
      </c>
      <c r="H121">
        <v>2</v>
      </c>
      <c r="I121" t="s">
        <v>586</v>
      </c>
      <c r="J121" t="s">
        <v>193</v>
      </c>
      <c r="K121">
        <v>3</v>
      </c>
      <c r="L121" t="s">
        <v>548</v>
      </c>
      <c r="M121">
        <v>25</v>
      </c>
      <c r="N121" s="178">
        <v>43831</v>
      </c>
      <c r="O121" s="178"/>
      <c r="Q121" t="s">
        <v>182</v>
      </c>
      <c r="R121">
        <v>1</v>
      </c>
    </row>
    <row r="122" spans="1:18" x14ac:dyDescent="0.25">
      <c r="A122" t="str">
        <f>TableMJRPSCRAR[[#This Row],[Study Package Code]]</f>
        <v>SPRO5004</v>
      </c>
      <c r="B122" s="1">
        <f>TableMJRPSCRAR[[#This Row],[Ver]]</f>
        <v>5</v>
      </c>
      <c r="D122" t="str">
        <f>TableMJRPSCRAR[[#This Row],[Structure Line]]</f>
        <v>Community Media Production</v>
      </c>
      <c r="E122" s="115">
        <f>TableMJRPSCRAR[[#This Row],[Credit Points]]</f>
        <v>25</v>
      </c>
      <c r="F122">
        <v>11</v>
      </c>
      <c r="G122" t="s">
        <v>335</v>
      </c>
      <c r="H122">
        <v>2</v>
      </c>
      <c r="I122" t="s">
        <v>586</v>
      </c>
      <c r="J122" t="s">
        <v>195</v>
      </c>
      <c r="K122">
        <v>5</v>
      </c>
      <c r="L122" t="s">
        <v>552</v>
      </c>
      <c r="M122">
        <v>25</v>
      </c>
      <c r="N122" s="178">
        <v>44197</v>
      </c>
      <c r="O122" s="178"/>
      <c r="Q122" t="s">
        <v>189</v>
      </c>
      <c r="R122">
        <v>1</v>
      </c>
    </row>
    <row r="123" spans="1:18" x14ac:dyDescent="0.25">
      <c r="A123">
        <f>TableMJRPSCRAR[[#This Row],[Study Package Code]]</f>
        <v>0</v>
      </c>
      <c r="B123" s="1">
        <f>TableMJRPSCRAR[[#This Row],[Ver]]</f>
        <v>0</v>
      </c>
      <c r="D123">
        <f>TableMJRPSCRAR[[#This Row],[Structure Line]]</f>
        <v>0</v>
      </c>
      <c r="E123" s="115">
        <f>TableMJRPSCRAR[[#This Row],[Credit Points]]</f>
        <v>0</v>
      </c>
      <c r="N123" s="178"/>
      <c r="O123" s="178"/>
      <c r="Q123" t="s">
        <v>146</v>
      </c>
      <c r="R123">
        <v>1</v>
      </c>
    </row>
    <row r="124" spans="1:18" x14ac:dyDescent="0.25">
      <c r="J124" s="273"/>
      <c r="K124" s="273"/>
      <c r="L124" s="273"/>
    </row>
    <row r="125" spans="1:18" x14ac:dyDescent="0.25">
      <c r="B125"/>
      <c r="E125"/>
      <c r="F125" s="111"/>
      <c r="G125" s="112" t="s">
        <v>573</v>
      </c>
      <c r="H125" s="251">
        <v>45292</v>
      </c>
      <c r="I125" s="177"/>
      <c r="J125" s="240" t="s">
        <v>85</v>
      </c>
      <c r="K125" s="252" t="s">
        <v>80</v>
      </c>
      <c r="L125" s="240" t="s">
        <v>84</v>
      </c>
      <c r="M125" s="177"/>
      <c r="N125" s="250" t="s">
        <v>574</v>
      </c>
      <c r="O125" s="178">
        <v>45338</v>
      </c>
    </row>
    <row r="126" spans="1:18" x14ac:dyDescent="0.25">
      <c r="A126" t="s">
        <v>0</v>
      </c>
      <c r="B126" s="1" t="s">
        <v>46</v>
      </c>
      <c r="C126" t="s">
        <v>575</v>
      </c>
      <c r="D126" t="s">
        <v>3</v>
      </c>
      <c r="E126" s="115" t="s">
        <v>576</v>
      </c>
      <c r="F126" t="s">
        <v>577</v>
      </c>
      <c r="G126" t="s">
        <v>578</v>
      </c>
      <c r="H126" t="s">
        <v>579</v>
      </c>
      <c r="I126" t="s">
        <v>21</v>
      </c>
      <c r="J126" t="s">
        <v>580</v>
      </c>
      <c r="K126" t="s">
        <v>1</v>
      </c>
      <c r="L126" t="s">
        <v>581</v>
      </c>
      <c r="M126" t="s">
        <v>47</v>
      </c>
      <c r="N126" t="s">
        <v>582</v>
      </c>
      <c r="O126" t="s">
        <v>583</v>
      </c>
      <c r="Q126" t="s">
        <v>584</v>
      </c>
      <c r="R126" t="s">
        <v>1</v>
      </c>
    </row>
    <row r="127" spans="1:18" x14ac:dyDescent="0.25">
      <c r="A127" t="str">
        <f>TableMCMMJRG[[#This Row],[Study Package Code]]</f>
        <v>JOUR5002</v>
      </c>
      <c r="B127" s="1">
        <f>TableMCMMJRG[[#This Row],[Ver]]</f>
        <v>3</v>
      </c>
      <c r="D127" t="str">
        <f>TableMCMMJRG[[#This Row],[Structure Line]]</f>
        <v>Audio &amp; Deadline Journalism</v>
      </c>
      <c r="E127" s="115">
        <f>TableMCMMJRG[[#This Row],[Credit Points]]</f>
        <v>25</v>
      </c>
      <c r="F127">
        <v>1</v>
      </c>
      <c r="G127" t="s">
        <v>585</v>
      </c>
      <c r="H127">
        <v>1</v>
      </c>
      <c r="I127" t="s">
        <v>339</v>
      </c>
      <c r="J127" t="s">
        <v>258</v>
      </c>
      <c r="K127">
        <v>3</v>
      </c>
      <c r="L127" t="s">
        <v>449</v>
      </c>
      <c r="M127">
        <v>25</v>
      </c>
      <c r="N127" s="178">
        <v>45292</v>
      </c>
      <c r="O127" s="178" t="s">
        <v>587</v>
      </c>
    </row>
    <row r="128" spans="1:18" x14ac:dyDescent="0.25">
      <c r="A128" t="str">
        <f>TableMCMMJRG[[#This Row],[Study Package Code]]</f>
        <v>JOUR5003</v>
      </c>
      <c r="B128" s="1">
        <f>TableMCMMJRG[[#This Row],[Ver]]</f>
        <v>3</v>
      </c>
      <c r="D128" t="str">
        <f>TableMCMMJRG[[#This Row],[Structure Line]]</f>
        <v>Online &amp; Text-based Journalism</v>
      </c>
      <c r="E128" s="115">
        <f>TableMCMMJRG[[#This Row],[Credit Points]]</f>
        <v>25</v>
      </c>
      <c r="F128">
        <v>2</v>
      </c>
      <c r="G128" t="s">
        <v>585</v>
      </c>
      <c r="H128">
        <v>1</v>
      </c>
      <c r="I128" t="s">
        <v>339</v>
      </c>
      <c r="J128" t="s">
        <v>257</v>
      </c>
      <c r="K128">
        <v>3</v>
      </c>
      <c r="L128" t="s">
        <v>452</v>
      </c>
      <c r="M128">
        <v>25</v>
      </c>
      <c r="N128" s="178">
        <v>45292</v>
      </c>
      <c r="O128" s="178" t="s">
        <v>587</v>
      </c>
    </row>
    <row r="129" spans="1:15" x14ac:dyDescent="0.25">
      <c r="A129" t="str">
        <f>TableMCMMJRG[[#This Row],[Study Package Code]]</f>
        <v>JOUR5005</v>
      </c>
      <c r="B129" s="1">
        <f>TableMCMMJRG[[#This Row],[Ver]]</f>
        <v>3</v>
      </c>
      <c r="D129" t="str">
        <f>TableMCMMJRG[[#This Row],[Structure Line]]</f>
        <v>Video Journalism &amp; Storytelling</v>
      </c>
      <c r="E129" s="115">
        <f>TableMCMMJRG[[#This Row],[Credit Points]]</f>
        <v>25</v>
      </c>
      <c r="F129">
        <v>3</v>
      </c>
      <c r="G129" t="s">
        <v>585</v>
      </c>
      <c r="H129">
        <v>1</v>
      </c>
      <c r="I129" t="s">
        <v>339</v>
      </c>
      <c r="J129" t="s">
        <v>262</v>
      </c>
      <c r="K129">
        <v>3</v>
      </c>
      <c r="L129" t="s">
        <v>457</v>
      </c>
      <c r="M129">
        <v>25</v>
      </c>
      <c r="N129" s="178">
        <v>45292</v>
      </c>
      <c r="O129" s="178" t="s">
        <v>587</v>
      </c>
    </row>
    <row r="130" spans="1:15" x14ac:dyDescent="0.25">
      <c r="A130" t="str">
        <f>TableMCMMJRG[[#This Row],[Study Package Code]]</f>
        <v>JOUR5012</v>
      </c>
      <c r="B130" s="1">
        <f>TableMCMMJRG[[#This Row],[Ver]]</f>
        <v>3</v>
      </c>
      <c r="D130" t="str">
        <f>TableMCMMJRG[[#This Row],[Structure Line]]</f>
        <v>Understanding Journalism</v>
      </c>
      <c r="E130" s="115">
        <f>TableMCMMJRG[[#This Row],[Credit Points]]</f>
        <v>25</v>
      </c>
      <c r="F130">
        <v>4</v>
      </c>
      <c r="G130" t="s">
        <v>585</v>
      </c>
      <c r="H130">
        <v>1</v>
      </c>
      <c r="I130" t="s">
        <v>339</v>
      </c>
      <c r="J130" t="s">
        <v>261</v>
      </c>
      <c r="K130">
        <v>3</v>
      </c>
      <c r="L130" t="s">
        <v>468</v>
      </c>
      <c r="M130">
        <v>25</v>
      </c>
      <c r="N130" s="178">
        <v>44197</v>
      </c>
      <c r="O130" s="178" t="s">
        <v>587</v>
      </c>
    </row>
    <row r="131" spans="1:15" x14ac:dyDescent="0.25">
      <c r="A131" t="str">
        <f>TableMCMMJRG[[#This Row],[Study Package Code]]</f>
        <v>JOUR5000</v>
      </c>
      <c r="B131" s="1">
        <f>TableMCMMJRG[[#This Row],[Ver]]</f>
        <v>3</v>
      </c>
      <c r="D131" t="str">
        <f>TableMCMMJRG[[#This Row],[Structure Line]]</f>
        <v>Ethical Frameworks and Media Law</v>
      </c>
      <c r="E131" s="115">
        <f>TableMCMMJRG[[#This Row],[Credit Points]]</f>
        <v>25</v>
      </c>
      <c r="F131">
        <v>5</v>
      </c>
      <c r="G131" t="s">
        <v>585</v>
      </c>
      <c r="H131">
        <v>1</v>
      </c>
      <c r="I131" t="s">
        <v>340</v>
      </c>
      <c r="J131" t="s">
        <v>259</v>
      </c>
      <c r="K131">
        <v>3</v>
      </c>
      <c r="L131" t="s">
        <v>446</v>
      </c>
      <c r="M131">
        <v>25</v>
      </c>
      <c r="N131" s="178">
        <v>45292</v>
      </c>
      <c r="O131" s="178" t="s">
        <v>587</v>
      </c>
    </row>
    <row r="132" spans="1:15" x14ac:dyDescent="0.25">
      <c r="A132" t="str">
        <f>TableMCMMJRG[[#This Row],[Study Package Code]]</f>
        <v>JOUR5004</v>
      </c>
      <c r="B132" s="1">
        <f>TableMCMMJRG[[#This Row],[Ver]]</f>
        <v>2</v>
      </c>
      <c r="D132" t="str">
        <f>TableMCMMJRG[[#This Row],[Structure Line]]</f>
        <v>Long Form Journalism</v>
      </c>
      <c r="E132" s="115">
        <f>TableMCMMJRG[[#This Row],[Credit Points]]</f>
        <v>25</v>
      </c>
      <c r="F132">
        <v>6</v>
      </c>
      <c r="G132" t="s">
        <v>585</v>
      </c>
      <c r="H132">
        <v>1</v>
      </c>
      <c r="I132" t="s">
        <v>340</v>
      </c>
      <c r="J132" t="s">
        <v>260</v>
      </c>
      <c r="K132">
        <v>2</v>
      </c>
      <c r="L132" t="s">
        <v>455</v>
      </c>
      <c r="M132">
        <v>25</v>
      </c>
      <c r="N132" s="178">
        <v>43831</v>
      </c>
      <c r="O132" s="178" t="s">
        <v>587</v>
      </c>
    </row>
    <row r="133" spans="1:15" x14ac:dyDescent="0.25">
      <c r="A133" t="str">
        <f>TableMCMMJRG[[#This Row],[Study Package Code]]</f>
        <v>JOUR5010</v>
      </c>
      <c r="B133" s="1">
        <f>TableMCMMJRG[[#This Row],[Ver]]</f>
        <v>3</v>
      </c>
      <c r="D133" t="str">
        <f>TableMCMMJRG[[#This Row],[Structure Line]]</f>
        <v>Audio &amp; Visual News Presentation</v>
      </c>
      <c r="E133" s="115">
        <f>TableMCMMJRG[[#This Row],[Credit Points]]</f>
        <v>25</v>
      </c>
      <c r="F133">
        <v>7</v>
      </c>
      <c r="G133" t="s">
        <v>585</v>
      </c>
      <c r="H133">
        <v>1</v>
      </c>
      <c r="I133" t="s">
        <v>340</v>
      </c>
      <c r="J133" t="s">
        <v>263</v>
      </c>
      <c r="K133">
        <v>3</v>
      </c>
      <c r="L133" t="s">
        <v>465</v>
      </c>
      <c r="M133">
        <v>25</v>
      </c>
      <c r="N133" s="178">
        <v>45292</v>
      </c>
      <c r="O133" s="178" t="s">
        <v>587</v>
      </c>
    </row>
    <row r="134" spans="1:15" x14ac:dyDescent="0.25">
      <c r="A134" t="str">
        <f>TableMCMMJRG[[#This Row],[Study Package Code]]</f>
        <v>JOUR5016</v>
      </c>
      <c r="B134" s="1">
        <f>TableMCMMJRG[[#This Row],[Ver]]</f>
        <v>1</v>
      </c>
      <c r="D134" t="str">
        <f>TableMCMMJRG[[#This Row],[Structure Line]]</f>
        <v>Entrepreneurial Journalism</v>
      </c>
      <c r="E134" s="115">
        <f>TableMCMMJRG[[#This Row],[Credit Points]]</f>
        <v>25</v>
      </c>
      <c r="F134">
        <v>8</v>
      </c>
      <c r="G134" t="s">
        <v>585</v>
      </c>
      <c r="H134">
        <v>1</v>
      </c>
      <c r="I134" t="s">
        <v>340</v>
      </c>
      <c r="J134" t="s">
        <v>264</v>
      </c>
      <c r="K134">
        <v>1</v>
      </c>
      <c r="L134" t="s">
        <v>469</v>
      </c>
      <c r="M134">
        <v>25</v>
      </c>
      <c r="N134" s="178">
        <v>44197</v>
      </c>
      <c r="O134" s="178" t="s">
        <v>587</v>
      </c>
    </row>
    <row r="135" spans="1:15" x14ac:dyDescent="0.25">
      <c r="A135" t="str">
        <f>TableMCMMJRG[[#This Row],[Study Package Code]]</f>
        <v>COMS6004</v>
      </c>
      <c r="B135" s="1">
        <f>TableMCMMJRG[[#This Row],[Ver]]</f>
        <v>2</v>
      </c>
      <c r="D135" t="str">
        <f>TableMCMMJRG[[#This Row],[Structure Line]]</f>
        <v>Masters Professional or Creative Project</v>
      </c>
      <c r="E135" s="115">
        <f>TableMCMMJRG[[#This Row],[Credit Points]]</f>
        <v>50</v>
      </c>
      <c r="F135">
        <v>9</v>
      </c>
      <c r="G135" t="s">
        <v>585</v>
      </c>
      <c r="H135">
        <v>2</v>
      </c>
      <c r="I135" t="s">
        <v>339</v>
      </c>
      <c r="J135" t="s">
        <v>139</v>
      </c>
      <c r="K135">
        <v>2</v>
      </c>
      <c r="L135" t="s">
        <v>376</v>
      </c>
      <c r="M135">
        <v>50</v>
      </c>
      <c r="N135" s="178">
        <v>45292</v>
      </c>
      <c r="O135" s="178" t="s">
        <v>587</v>
      </c>
    </row>
    <row r="136" spans="1:15" x14ac:dyDescent="0.25">
      <c r="A136" t="str">
        <f>TableMCMMJRG[[#This Row],[Study Package Code]]</f>
        <v>JOUR6004</v>
      </c>
      <c r="B136" s="1">
        <f>TableMCMMJRG[[#This Row],[Ver]]</f>
        <v>2</v>
      </c>
      <c r="D136" t="str">
        <f>TableMCMMJRG[[#This Row],[Structure Line]]</f>
        <v>News Day</v>
      </c>
      <c r="E136" s="115">
        <f>TableMCMMJRG[[#This Row],[Credit Points]]</f>
        <v>25</v>
      </c>
      <c r="F136">
        <v>10</v>
      </c>
      <c r="G136" t="s">
        <v>585</v>
      </c>
      <c r="H136">
        <v>2</v>
      </c>
      <c r="I136" t="s">
        <v>339</v>
      </c>
      <c r="J136" t="s">
        <v>266</v>
      </c>
      <c r="K136">
        <v>2</v>
      </c>
      <c r="L136" t="s">
        <v>472</v>
      </c>
      <c r="M136">
        <v>25</v>
      </c>
      <c r="N136" s="178">
        <v>45292</v>
      </c>
      <c r="O136" s="178" t="s">
        <v>587</v>
      </c>
    </row>
    <row r="137" spans="1:15" x14ac:dyDescent="0.25">
      <c r="A137" t="str">
        <f>TableMCMMJRG[[#This Row],[Study Package Code]]</f>
        <v>AC-MMJRG</v>
      </c>
      <c r="B137" s="1">
        <f>TableMCMMJRG[[#This Row],[Ver]]</f>
        <v>0</v>
      </c>
      <c r="D137" t="str">
        <f>TableMCMMJRG[[#This Row],[Structure Line]]</f>
        <v>Choose JOUR5006 or NETS5004</v>
      </c>
      <c r="E137" s="115">
        <f>TableMCMMJRG[[#This Row],[Credit Points]]</f>
        <v>25</v>
      </c>
      <c r="F137">
        <v>11</v>
      </c>
      <c r="G137" t="s">
        <v>590</v>
      </c>
      <c r="H137">
        <v>2</v>
      </c>
      <c r="I137" t="s">
        <v>339</v>
      </c>
      <c r="J137" t="s">
        <v>269</v>
      </c>
      <c r="K137">
        <v>0</v>
      </c>
      <c r="L137" t="s">
        <v>611</v>
      </c>
      <c r="M137">
        <v>25</v>
      </c>
      <c r="N137" s="178"/>
      <c r="O137" s="178"/>
    </row>
    <row r="138" spans="1:15" x14ac:dyDescent="0.25">
      <c r="A138" t="str">
        <f>TableMCMMJRG[[#This Row],[Study Package Code]]</f>
        <v>Opt-MMJRG</v>
      </c>
      <c r="B138" s="1">
        <f>TableMCMMJRG[[#This Row],[Ver]]</f>
        <v>0</v>
      </c>
      <c r="D138" t="str">
        <f>TableMCMMJRG[[#This Row],[Structure Line]]</f>
        <v>Choose Options for Semester 2, Year 2</v>
      </c>
      <c r="E138" s="115">
        <f>TableMCMMJRG[[#This Row],[Credit Points]]</f>
        <v>100</v>
      </c>
      <c r="F138">
        <v>12</v>
      </c>
      <c r="G138" t="s">
        <v>335</v>
      </c>
      <c r="H138">
        <v>2</v>
      </c>
      <c r="I138" t="s">
        <v>340</v>
      </c>
      <c r="J138" t="s">
        <v>267</v>
      </c>
      <c r="K138">
        <v>0</v>
      </c>
      <c r="L138" t="s">
        <v>612</v>
      </c>
      <c r="M138">
        <v>100</v>
      </c>
      <c r="N138" s="178"/>
      <c r="O138" s="178"/>
    </row>
    <row r="139" spans="1:15" x14ac:dyDescent="0.25">
      <c r="A139" t="str">
        <f>TableMCMMJRG[[#This Row],[Study Package Code]]</f>
        <v>JOUR5006</v>
      </c>
      <c r="B139" s="1">
        <f>TableMCMMJRG[[#This Row],[Ver]]</f>
        <v>3</v>
      </c>
      <c r="D139" t="str">
        <f>TableMCMMJRG[[#This Row],[Structure Line]]</f>
        <v>News Internship</v>
      </c>
      <c r="E139" s="115">
        <f>TableMCMMJRG[[#This Row],[Credit Points]]</f>
        <v>25</v>
      </c>
      <c r="F139">
        <v>11</v>
      </c>
      <c r="G139" t="s">
        <v>590</v>
      </c>
      <c r="H139">
        <v>2</v>
      </c>
      <c r="I139" t="s">
        <v>339</v>
      </c>
      <c r="J139" t="s">
        <v>271</v>
      </c>
      <c r="K139">
        <v>3</v>
      </c>
      <c r="L139" t="s">
        <v>460</v>
      </c>
      <c r="M139">
        <v>25</v>
      </c>
      <c r="N139" s="178">
        <v>45292</v>
      </c>
      <c r="O139" s="178"/>
    </row>
    <row r="140" spans="1:15" x14ac:dyDescent="0.25">
      <c r="A140" t="str">
        <f>TableMCMMJRG[[#This Row],[Study Package Code]]</f>
        <v>NETS5004</v>
      </c>
      <c r="B140" s="1">
        <f>TableMCMMJRG[[#This Row],[Ver]]</f>
        <v>2</v>
      </c>
      <c r="D140" t="str">
        <f>TableMCMMJRG[[#This Row],[Structure Line]]</f>
        <v>Social Media, Communities and Networks</v>
      </c>
      <c r="E140" s="115">
        <f>TableMCMMJRG[[#This Row],[Credit Points]]</f>
        <v>25</v>
      </c>
      <c r="F140">
        <v>11</v>
      </c>
      <c r="G140" t="s">
        <v>590</v>
      </c>
      <c r="H140">
        <v>2</v>
      </c>
      <c r="I140" t="s">
        <v>339</v>
      </c>
      <c r="J140" t="s">
        <v>202</v>
      </c>
      <c r="K140">
        <v>2</v>
      </c>
      <c r="L140" t="s">
        <v>485</v>
      </c>
      <c r="M140">
        <v>25</v>
      </c>
      <c r="N140" s="178">
        <v>42736</v>
      </c>
      <c r="O140" s="178"/>
    </row>
    <row r="141" spans="1:15" x14ac:dyDescent="0.25">
      <c r="A141" t="str">
        <f>TableMCMMJRG[[#This Row],[Study Package Code]]</f>
        <v>HRIG5002</v>
      </c>
      <c r="B141" s="1">
        <f>TableMCMMJRG[[#This Row],[Ver]]</f>
        <v>2</v>
      </c>
      <c r="D141" t="str">
        <f>TableMCMMJRG[[#This Row],[Structure Line]]</f>
        <v>International Human Rights Law and Practice</v>
      </c>
      <c r="E141" s="115">
        <f>TableMCMMJRG[[#This Row],[Credit Points]]</f>
        <v>25</v>
      </c>
      <c r="F141">
        <v>12</v>
      </c>
      <c r="G141" t="s">
        <v>335</v>
      </c>
      <c r="H141">
        <v>2</v>
      </c>
      <c r="I141" t="s">
        <v>340</v>
      </c>
      <c r="J141" t="s">
        <v>230</v>
      </c>
      <c r="K141">
        <v>2</v>
      </c>
      <c r="L141" t="s">
        <v>402</v>
      </c>
      <c r="M141">
        <v>25</v>
      </c>
      <c r="N141" s="178">
        <v>45292</v>
      </c>
      <c r="O141" s="178"/>
    </row>
    <row r="142" spans="1:15" x14ac:dyDescent="0.25">
      <c r="A142" t="str">
        <f>TableMCMMJRG[[#This Row],[Study Package Code]]</f>
        <v>HRIG5003</v>
      </c>
      <c r="B142" s="1">
        <f>TableMCMMJRG[[#This Row],[Ver]]</f>
        <v>2</v>
      </c>
      <c r="D142" t="str">
        <f>TableMCMMJRG[[#This Row],[Structure Line]]</f>
        <v>Activism, Advocacy and Change</v>
      </c>
      <c r="E142" s="115">
        <f>TableMCMMJRG[[#This Row],[Credit Points]]</f>
        <v>25</v>
      </c>
      <c r="F142">
        <v>12</v>
      </c>
      <c r="G142" t="s">
        <v>335</v>
      </c>
      <c r="H142">
        <v>2</v>
      </c>
      <c r="I142" t="s">
        <v>340</v>
      </c>
      <c r="J142" t="s">
        <v>232</v>
      </c>
      <c r="K142">
        <v>2</v>
      </c>
      <c r="L142" t="s">
        <v>405</v>
      </c>
      <c r="M142">
        <v>25</v>
      </c>
      <c r="N142" s="178">
        <v>45292</v>
      </c>
      <c r="O142" s="178"/>
    </row>
    <row r="143" spans="1:15" x14ac:dyDescent="0.25">
      <c r="A143" t="str">
        <f>TableMCMMJRG[[#This Row],[Study Package Code]]</f>
        <v>HRIG5005</v>
      </c>
      <c r="B143" s="1">
        <f>TableMCMMJRG[[#This Row],[Ver]]</f>
        <v>4</v>
      </c>
      <c r="D143" t="str">
        <f>TableMCMMJRG[[#This Row],[Structure Line]]</f>
        <v>Indigenous Rights</v>
      </c>
      <c r="E143" s="115">
        <f>TableMCMMJRG[[#This Row],[Credit Points]]</f>
        <v>25</v>
      </c>
      <c r="F143">
        <v>12</v>
      </c>
      <c r="G143" t="s">
        <v>335</v>
      </c>
      <c r="H143">
        <v>2</v>
      </c>
      <c r="I143" t="s">
        <v>340</v>
      </c>
      <c r="J143" t="s">
        <v>272</v>
      </c>
      <c r="K143">
        <v>4</v>
      </c>
      <c r="L143" t="s">
        <v>411</v>
      </c>
      <c r="M143">
        <v>25</v>
      </c>
      <c r="N143" s="178">
        <v>45292</v>
      </c>
      <c r="O143" s="178"/>
    </row>
    <row r="144" spans="1:15" x14ac:dyDescent="0.25">
      <c r="A144" t="str">
        <f>TableMCMMJRG[[#This Row],[Study Package Code]]</f>
        <v>HRIG5014</v>
      </c>
      <c r="B144" s="1">
        <f>TableMCMMJRG[[#This Row],[Ver]]</f>
        <v>2</v>
      </c>
      <c r="D144" t="str">
        <f>TableMCMMJRG[[#This Row],[Structure Line]]</f>
        <v>Dialogue across Cultures and Religions</v>
      </c>
      <c r="E144" s="115">
        <f>TableMCMMJRG[[#This Row],[Credit Points]]</f>
        <v>25</v>
      </c>
      <c r="F144">
        <v>12</v>
      </c>
      <c r="G144" t="s">
        <v>335</v>
      </c>
      <c r="H144">
        <v>2</v>
      </c>
      <c r="I144" t="s">
        <v>340</v>
      </c>
      <c r="J144" t="s">
        <v>229</v>
      </c>
      <c r="K144">
        <v>2</v>
      </c>
      <c r="L144" t="s">
        <v>415</v>
      </c>
      <c r="M144">
        <v>25</v>
      </c>
      <c r="N144" s="178">
        <v>45292</v>
      </c>
      <c r="O144" s="178"/>
    </row>
    <row r="145" spans="1:18" x14ac:dyDescent="0.25">
      <c r="A145" t="str">
        <f>TableMCMMJRG[[#This Row],[Study Package Code]]</f>
        <v>INTR5001</v>
      </c>
      <c r="B145" s="1">
        <f>TableMCMMJRG[[#This Row],[Ver]]</f>
        <v>1</v>
      </c>
      <c r="D145" t="str">
        <f>TableMCMMJRG[[#This Row],[Structure Line]]</f>
        <v>Contemporary Issues in International Relations</v>
      </c>
      <c r="E145" s="115">
        <f>TableMCMMJRG[[#This Row],[Credit Points]]</f>
        <v>25</v>
      </c>
      <c r="F145">
        <v>12</v>
      </c>
      <c r="G145" t="s">
        <v>335</v>
      </c>
      <c r="H145">
        <v>2</v>
      </c>
      <c r="I145" t="s">
        <v>340</v>
      </c>
      <c r="J145" t="s">
        <v>276</v>
      </c>
      <c r="K145">
        <v>1</v>
      </c>
      <c r="L145" t="s">
        <v>430</v>
      </c>
      <c r="M145">
        <v>25</v>
      </c>
      <c r="N145" s="178">
        <v>42005</v>
      </c>
      <c r="O145" s="178"/>
    </row>
    <row r="146" spans="1:18" x14ac:dyDescent="0.25">
      <c r="A146" t="str">
        <f>TableMCMMJRG[[#This Row],[Study Package Code]]</f>
        <v>INTR5002</v>
      </c>
      <c r="B146" s="1">
        <f>TableMCMMJRG[[#This Row],[Ver]]</f>
        <v>1</v>
      </c>
      <c r="D146" t="str">
        <f>TableMCMMJRG[[#This Row],[Structure Line]]</f>
        <v>Asia Pacific Studies</v>
      </c>
      <c r="E146" s="115">
        <f>TableMCMMJRG[[#This Row],[Credit Points]]</f>
        <v>25</v>
      </c>
      <c r="F146">
        <v>12</v>
      </c>
      <c r="G146" t="s">
        <v>335</v>
      </c>
      <c r="H146">
        <v>2</v>
      </c>
      <c r="I146" t="s">
        <v>340</v>
      </c>
      <c r="J146" t="s">
        <v>273</v>
      </c>
      <c r="K146">
        <v>1</v>
      </c>
      <c r="L146" t="s">
        <v>432</v>
      </c>
      <c r="M146">
        <v>25</v>
      </c>
      <c r="N146" s="178">
        <v>42005</v>
      </c>
      <c r="O146" s="178"/>
    </row>
    <row r="147" spans="1:18" x14ac:dyDescent="0.25">
      <c r="A147" t="str">
        <f>TableMCMMJRG[[#This Row],[Study Package Code]]</f>
        <v>INTR5006</v>
      </c>
      <c r="B147" s="1">
        <f>TableMCMMJRG[[#This Row],[Ver]]</f>
        <v>1</v>
      </c>
      <c r="D147" t="str">
        <f>TableMCMMJRG[[#This Row],[Structure Line]]</f>
        <v>Intelligence and Analysis</v>
      </c>
      <c r="E147" s="115">
        <f>TableMCMMJRG[[#This Row],[Credit Points]]</f>
        <v>25</v>
      </c>
      <c r="F147">
        <v>12</v>
      </c>
      <c r="G147" t="s">
        <v>335</v>
      </c>
      <c r="H147">
        <v>2</v>
      </c>
      <c r="I147" t="s">
        <v>340</v>
      </c>
      <c r="J147" t="s">
        <v>275</v>
      </c>
      <c r="K147">
        <v>1</v>
      </c>
      <c r="L147" t="s">
        <v>436</v>
      </c>
      <c r="M147">
        <v>25</v>
      </c>
      <c r="N147" s="178">
        <v>42005</v>
      </c>
      <c r="O147" s="178"/>
    </row>
    <row r="148" spans="1:18" x14ac:dyDescent="0.25">
      <c r="A148" t="str">
        <f>TableMCMMJRG[[#This Row],[Study Package Code]]</f>
        <v>POLS5000</v>
      </c>
      <c r="B148" s="1">
        <f>TableMCMMJRG[[#This Row],[Ver]]</f>
        <v>2</v>
      </c>
      <c r="D148" t="str">
        <f>TableMCMMJRG[[#This Row],[Structure Line]]</f>
        <v>Foundations of International Security in the 21st Century</v>
      </c>
      <c r="E148" s="115">
        <f>TableMCMMJRG[[#This Row],[Credit Points]]</f>
        <v>25</v>
      </c>
      <c r="F148">
        <v>12</v>
      </c>
      <c r="G148" t="s">
        <v>335</v>
      </c>
      <c r="H148">
        <v>2</v>
      </c>
      <c r="I148" t="s">
        <v>340</v>
      </c>
      <c r="J148" t="s">
        <v>277</v>
      </c>
      <c r="K148">
        <v>2</v>
      </c>
      <c r="L148" t="s">
        <v>511</v>
      </c>
      <c r="M148">
        <v>25</v>
      </c>
      <c r="N148" s="178">
        <v>43101</v>
      </c>
      <c r="O148" s="178"/>
    </row>
    <row r="149" spans="1:18" x14ac:dyDescent="0.25">
      <c r="A149" t="str">
        <f>TableMCMMJRG[[#This Row],[Study Package Code]]</f>
        <v>POLS5004</v>
      </c>
      <c r="B149" s="1">
        <f>TableMCMMJRG[[#This Row],[Ver]]</f>
        <v>1</v>
      </c>
      <c r="D149" t="str">
        <f>TableMCMMJRG[[#This Row],[Structure Line]]</f>
        <v>Geo-Strategy and Energy Security</v>
      </c>
      <c r="E149" s="115">
        <f>TableMCMMJRG[[#This Row],[Credit Points]]</f>
        <v>25</v>
      </c>
      <c r="F149">
        <v>12</v>
      </c>
      <c r="G149" t="s">
        <v>335</v>
      </c>
      <c r="H149">
        <v>2</v>
      </c>
      <c r="I149" t="s">
        <v>340</v>
      </c>
      <c r="J149" t="s">
        <v>278</v>
      </c>
      <c r="K149">
        <v>1</v>
      </c>
      <c r="L149" t="s">
        <v>514</v>
      </c>
      <c r="M149">
        <v>25</v>
      </c>
      <c r="N149" s="178">
        <v>42005</v>
      </c>
      <c r="O149" s="178"/>
    </row>
    <row r="150" spans="1:18" x14ac:dyDescent="0.25">
      <c r="B150"/>
      <c r="E150"/>
      <c r="F150" s="111"/>
      <c r="G150" s="112" t="s">
        <v>573</v>
      </c>
      <c r="H150" s="251">
        <v>45292</v>
      </c>
      <c r="I150" s="177"/>
      <c r="J150" s="253" t="s">
        <v>75</v>
      </c>
      <c r="K150" s="252" t="s">
        <v>64</v>
      </c>
      <c r="L150" s="177" t="s">
        <v>74</v>
      </c>
      <c r="M150" s="177"/>
      <c r="N150" s="250" t="s">
        <v>574</v>
      </c>
      <c r="O150" s="178">
        <v>45338</v>
      </c>
    </row>
    <row r="151" spans="1:18" x14ac:dyDescent="0.25">
      <c r="A151" t="s">
        <v>0</v>
      </c>
      <c r="B151" s="1" t="s">
        <v>46</v>
      </c>
      <c r="C151" t="s">
        <v>575</v>
      </c>
      <c r="D151" t="s">
        <v>3</v>
      </c>
      <c r="E151" s="115" t="s">
        <v>576</v>
      </c>
      <c r="F151" t="s">
        <v>577</v>
      </c>
      <c r="G151" t="s">
        <v>578</v>
      </c>
      <c r="H151" t="s">
        <v>579</v>
      </c>
      <c r="I151" t="s">
        <v>21</v>
      </c>
      <c r="J151" t="s">
        <v>580</v>
      </c>
      <c r="K151" t="s">
        <v>1</v>
      </c>
      <c r="L151" t="s">
        <v>581</v>
      </c>
      <c r="M151" t="s">
        <v>47</v>
      </c>
      <c r="N151" t="s">
        <v>582</v>
      </c>
      <c r="O151" t="s">
        <v>583</v>
      </c>
      <c r="Q151" t="s">
        <v>584</v>
      </c>
      <c r="R151" t="s">
        <v>1</v>
      </c>
    </row>
    <row r="152" spans="1:18" x14ac:dyDescent="0.25">
      <c r="A152" t="str">
        <f>TableMCMMJRN[[#This Row],[Study Package Code]]</f>
        <v>JOUR5003</v>
      </c>
      <c r="B152" s="1">
        <f>TableMCMMJRN[[#This Row],[Ver]]</f>
        <v>3</v>
      </c>
      <c r="D152" t="str">
        <f>TableMCMMJRN[[#This Row],[Structure Line]]</f>
        <v>Online &amp; Text-based Journalism</v>
      </c>
      <c r="E152" s="115">
        <f>TableMCMMJRN[[#This Row],[Credit Points]]</f>
        <v>25</v>
      </c>
      <c r="F152">
        <v>1</v>
      </c>
      <c r="G152" t="s">
        <v>585</v>
      </c>
      <c r="H152">
        <v>1</v>
      </c>
      <c r="I152" t="s">
        <v>339</v>
      </c>
      <c r="J152" t="s">
        <v>257</v>
      </c>
      <c r="K152">
        <v>3</v>
      </c>
      <c r="L152" t="s">
        <v>452</v>
      </c>
      <c r="M152">
        <v>25</v>
      </c>
      <c r="N152" s="178">
        <v>45292</v>
      </c>
      <c r="O152" s="178" t="s">
        <v>587</v>
      </c>
      <c r="Q152" t="s">
        <v>257</v>
      </c>
      <c r="R152">
        <v>2</v>
      </c>
    </row>
    <row r="153" spans="1:18" x14ac:dyDescent="0.25">
      <c r="A153" t="str">
        <f>TableMCMMJRN[[#This Row],[Study Package Code]]</f>
        <v>JOUR5002</v>
      </c>
      <c r="B153" s="1">
        <f>TableMCMMJRN[[#This Row],[Ver]]</f>
        <v>3</v>
      </c>
      <c r="D153" t="str">
        <f>TableMCMMJRN[[#This Row],[Structure Line]]</f>
        <v>Audio &amp; Deadline Journalism</v>
      </c>
      <c r="E153" s="115">
        <f>TableMCMMJRN[[#This Row],[Credit Points]]</f>
        <v>25</v>
      </c>
      <c r="F153">
        <v>2</v>
      </c>
      <c r="G153" t="s">
        <v>585</v>
      </c>
      <c r="H153">
        <v>1</v>
      </c>
      <c r="I153" t="s">
        <v>339</v>
      </c>
      <c r="J153" t="s">
        <v>258</v>
      </c>
      <c r="K153">
        <v>3</v>
      </c>
      <c r="L153" t="s">
        <v>449</v>
      </c>
      <c r="M153">
        <v>25</v>
      </c>
      <c r="N153" s="178">
        <v>45292</v>
      </c>
      <c r="O153" s="178" t="s">
        <v>587</v>
      </c>
      <c r="Q153" t="s">
        <v>258</v>
      </c>
      <c r="R153">
        <v>2</v>
      </c>
    </row>
    <row r="154" spans="1:18" x14ac:dyDescent="0.25">
      <c r="A154" t="str">
        <f>TableMCMMJRN[[#This Row],[Study Package Code]]</f>
        <v>JOUR5012</v>
      </c>
      <c r="B154" s="1">
        <f>TableMCMMJRN[[#This Row],[Ver]]</f>
        <v>3</v>
      </c>
      <c r="D154" t="str">
        <f>TableMCMMJRN[[#This Row],[Structure Line]]</f>
        <v>Understanding Journalism</v>
      </c>
      <c r="E154" s="115">
        <f>TableMCMMJRN[[#This Row],[Credit Points]]</f>
        <v>25</v>
      </c>
      <c r="F154">
        <v>3</v>
      </c>
      <c r="G154" t="s">
        <v>585</v>
      </c>
      <c r="H154">
        <v>1</v>
      </c>
      <c r="I154" t="s">
        <v>339</v>
      </c>
      <c r="J154" t="s">
        <v>261</v>
      </c>
      <c r="K154">
        <v>3</v>
      </c>
      <c r="L154" t="s">
        <v>468</v>
      </c>
      <c r="M154">
        <v>25</v>
      </c>
      <c r="N154" s="178">
        <v>44197</v>
      </c>
      <c r="O154" s="178" t="s">
        <v>587</v>
      </c>
      <c r="Q154" t="s">
        <v>261</v>
      </c>
      <c r="R154">
        <v>3</v>
      </c>
    </row>
    <row r="155" spans="1:18" x14ac:dyDescent="0.25">
      <c r="A155" t="str">
        <f>TableMCMMJRN[[#This Row],[Study Package Code]]</f>
        <v>JOUR5005</v>
      </c>
      <c r="B155" s="1">
        <f>TableMCMMJRN[[#This Row],[Ver]]</f>
        <v>3</v>
      </c>
      <c r="D155" t="str">
        <f>TableMCMMJRN[[#This Row],[Structure Line]]</f>
        <v>Video Journalism &amp; Storytelling</v>
      </c>
      <c r="E155" s="115">
        <f>TableMCMMJRN[[#This Row],[Credit Points]]</f>
        <v>25</v>
      </c>
      <c r="F155">
        <v>4</v>
      </c>
      <c r="G155" t="s">
        <v>585</v>
      </c>
      <c r="H155">
        <v>1</v>
      </c>
      <c r="I155" t="s">
        <v>339</v>
      </c>
      <c r="J155" t="s">
        <v>262</v>
      </c>
      <c r="K155">
        <v>3</v>
      </c>
      <c r="L155" t="s">
        <v>457</v>
      </c>
      <c r="M155">
        <v>25</v>
      </c>
      <c r="N155" s="178">
        <v>45292</v>
      </c>
      <c r="O155" s="178" t="s">
        <v>587</v>
      </c>
      <c r="Q155" t="s">
        <v>262</v>
      </c>
      <c r="R155">
        <v>2</v>
      </c>
    </row>
    <row r="156" spans="1:18" x14ac:dyDescent="0.25">
      <c r="A156" t="str">
        <f>TableMCMMJRN[[#This Row],[Study Package Code]]</f>
        <v>JOUR5016</v>
      </c>
      <c r="B156" s="1">
        <f>TableMCMMJRN[[#This Row],[Ver]]</f>
        <v>1</v>
      </c>
      <c r="D156" t="str">
        <f>TableMCMMJRN[[#This Row],[Structure Line]]</f>
        <v>Entrepreneurial Journalism</v>
      </c>
      <c r="E156" s="115">
        <f>TableMCMMJRN[[#This Row],[Credit Points]]</f>
        <v>25</v>
      </c>
      <c r="F156">
        <v>5</v>
      </c>
      <c r="G156" t="s">
        <v>585</v>
      </c>
      <c r="H156">
        <v>1</v>
      </c>
      <c r="I156" t="s">
        <v>340</v>
      </c>
      <c r="J156" t="s">
        <v>264</v>
      </c>
      <c r="K156">
        <v>1</v>
      </c>
      <c r="L156" t="s">
        <v>469</v>
      </c>
      <c r="M156">
        <v>25</v>
      </c>
      <c r="N156" s="178">
        <v>44197</v>
      </c>
      <c r="O156" s="178" t="s">
        <v>587</v>
      </c>
      <c r="Q156" t="s">
        <v>264</v>
      </c>
      <c r="R156">
        <v>1</v>
      </c>
    </row>
    <row r="157" spans="1:18" x14ac:dyDescent="0.25">
      <c r="A157" t="str">
        <f>TableMCMMJRN[[#This Row],[Study Package Code]]</f>
        <v>JOUR5004</v>
      </c>
      <c r="B157" s="1">
        <f>TableMCMMJRN[[#This Row],[Ver]]</f>
        <v>2</v>
      </c>
      <c r="D157" t="str">
        <f>TableMCMMJRN[[#This Row],[Structure Line]]</f>
        <v>Long Form Journalism</v>
      </c>
      <c r="E157" s="115">
        <f>TableMCMMJRN[[#This Row],[Credit Points]]</f>
        <v>25</v>
      </c>
      <c r="F157">
        <v>6</v>
      </c>
      <c r="G157" t="s">
        <v>585</v>
      </c>
      <c r="H157">
        <v>1</v>
      </c>
      <c r="I157" t="s">
        <v>340</v>
      </c>
      <c r="J157" t="s">
        <v>260</v>
      </c>
      <c r="K157">
        <v>2</v>
      </c>
      <c r="L157" t="s">
        <v>455</v>
      </c>
      <c r="M157">
        <v>25</v>
      </c>
      <c r="N157" s="178">
        <v>43831</v>
      </c>
      <c r="O157" s="178" t="s">
        <v>587</v>
      </c>
      <c r="Q157" t="s">
        <v>260</v>
      </c>
      <c r="R157">
        <v>2</v>
      </c>
    </row>
    <row r="158" spans="1:18" x14ac:dyDescent="0.25">
      <c r="A158" t="str">
        <f>TableMCMMJRN[[#This Row],[Study Package Code]]</f>
        <v>JOUR5000</v>
      </c>
      <c r="B158" s="1">
        <f>TableMCMMJRN[[#This Row],[Ver]]</f>
        <v>3</v>
      </c>
      <c r="D158" t="str">
        <f>TableMCMMJRN[[#This Row],[Structure Line]]</f>
        <v>Ethical Frameworks and Media Law</v>
      </c>
      <c r="E158" s="115">
        <f>TableMCMMJRN[[#This Row],[Credit Points]]</f>
        <v>25</v>
      </c>
      <c r="F158">
        <v>7</v>
      </c>
      <c r="G158" t="s">
        <v>585</v>
      </c>
      <c r="H158">
        <v>1</v>
      </c>
      <c r="I158" t="s">
        <v>340</v>
      </c>
      <c r="J158" t="s">
        <v>259</v>
      </c>
      <c r="K158">
        <v>3</v>
      </c>
      <c r="L158" t="s">
        <v>446</v>
      </c>
      <c r="M158">
        <v>25</v>
      </c>
      <c r="N158" s="178">
        <v>45292</v>
      </c>
      <c r="O158" s="178" t="s">
        <v>587</v>
      </c>
      <c r="Q158" t="s">
        <v>259</v>
      </c>
      <c r="R158">
        <v>2</v>
      </c>
    </row>
    <row r="159" spans="1:18" x14ac:dyDescent="0.25">
      <c r="A159" t="str">
        <f>TableMCMMJRN[[#This Row],[Study Package Code]]</f>
        <v>JOUR5010</v>
      </c>
      <c r="B159" s="1">
        <f>TableMCMMJRN[[#This Row],[Ver]]</f>
        <v>3</v>
      </c>
      <c r="D159" t="str">
        <f>TableMCMMJRN[[#This Row],[Structure Line]]</f>
        <v>Audio &amp; Visual News Presentation</v>
      </c>
      <c r="E159" s="115">
        <f>TableMCMMJRN[[#This Row],[Credit Points]]</f>
        <v>25</v>
      </c>
      <c r="F159">
        <v>8</v>
      </c>
      <c r="G159" t="s">
        <v>585</v>
      </c>
      <c r="H159">
        <v>1</v>
      </c>
      <c r="I159" t="s">
        <v>340</v>
      </c>
      <c r="J159" t="s">
        <v>263</v>
      </c>
      <c r="K159">
        <v>3</v>
      </c>
      <c r="L159" t="s">
        <v>465</v>
      </c>
      <c r="M159">
        <v>25</v>
      </c>
      <c r="N159" s="178">
        <v>45292</v>
      </c>
      <c r="O159" s="178" t="s">
        <v>587</v>
      </c>
      <c r="Q159" t="s">
        <v>263</v>
      </c>
      <c r="R159">
        <v>2</v>
      </c>
    </row>
    <row r="160" spans="1:18" x14ac:dyDescent="0.25">
      <c r="A160" t="str">
        <f>TableMCMMJRN[[#This Row],[Study Package Code]]</f>
        <v>COMS6004</v>
      </c>
      <c r="B160" s="1">
        <f>TableMCMMJRN[[#This Row],[Ver]]</f>
        <v>2</v>
      </c>
      <c r="D160" t="str">
        <f>TableMCMMJRN[[#This Row],[Structure Line]]</f>
        <v>Masters Professional or Creative Project</v>
      </c>
      <c r="E160" s="115">
        <f>TableMCMMJRN[[#This Row],[Credit Points]]</f>
        <v>50</v>
      </c>
      <c r="F160">
        <v>9</v>
      </c>
      <c r="G160" t="s">
        <v>585</v>
      </c>
      <c r="H160">
        <v>2</v>
      </c>
      <c r="I160" t="s">
        <v>339</v>
      </c>
      <c r="J160" t="s">
        <v>139</v>
      </c>
      <c r="K160">
        <v>2</v>
      </c>
      <c r="L160" t="s">
        <v>376</v>
      </c>
      <c r="M160">
        <v>50</v>
      </c>
      <c r="N160" s="178">
        <v>45292</v>
      </c>
      <c r="O160" s="178" t="s">
        <v>587</v>
      </c>
      <c r="Q160" t="s">
        <v>613</v>
      </c>
      <c r="R160">
        <v>1</v>
      </c>
    </row>
    <row r="161" spans="1:18" x14ac:dyDescent="0.25">
      <c r="A161" t="str">
        <f>TableMCMMJRN[[#This Row],[Study Package Code]]</f>
        <v>JOUR6004</v>
      </c>
      <c r="B161" s="1">
        <f>TableMCMMJRN[[#This Row],[Ver]]</f>
        <v>2</v>
      </c>
      <c r="D161" t="str">
        <f>TableMCMMJRN[[#This Row],[Structure Line]]</f>
        <v>News Day</v>
      </c>
      <c r="E161" s="115">
        <f>TableMCMMJRN[[#This Row],[Credit Points]]</f>
        <v>25</v>
      </c>
      <c r="F161">
        <v>10</v>
      </c>
      <c r="G161" t="s">
        <v>585</v>
      </c>
      <c r="H161">
        <v>2</v>
      </c>
      <c r="I161" t="s">
        <v>339</v>
      </c>
      <c r="J161" t="s">
        <v>266</v>
      </c>
      <c r="K161">
        <v>2</v>
      </c>
      <c r="L161" t="s">
        <v>472</v>
      </c>
      <c r="M161">
        <v>25</v>
      </c>
      <c r="N161" s="178">
        <v>45292</v>
      </c>
      <c r="O161" s="178" t="s">
        <v>587</v>
      </c>
      <c r="Q161" t="s">
        <v>266</v>
      </c>
      <c r="R161">
        <v>1</v>
      </c>
    </row>
    <row r="162" spans="1:18" x14ac:dyDescent="0.25">
      <c r="A162" t="str">
        <f>TableMCMMJRN[[#This Row],[Study Package Code]]</f>
        <v>AC-MMJRN</v>
      </c>
      <c r="B162" s="1">
        <f>TableMCMMJRN[[#This Row],[Ver]]</f>
        <v>0</v>
      </c>
      <c r="D162" t="str">
        <f>TableMCMMJRN[[#This Row],[Structure Line]]</f>
        <v>Choose JOUR5006 or NETS5004</v>
      </c>
      <c r="E162" s="115">
        <f>TableMCMMJRN[[#This Row],[Credit Points]]</f>
        <v>25</v>
      </c>
      <c r="F162">
        <v>11</v>
      </c>
      <c r="G162" t="s">
        <v>590</v>
      </c>
      <c r="H162">
        <v>2</v>
      </c>
      <c r="I162" t="s">
        <v>339</v>
      </c>
      <c r="J162" t="s">
        <v>268</v>
      </c>
      <c r="K162">
        <v>0</v>
      </c>
      <c r="L162" t="s">
        <v>611</v>
      </c>
      <c r="M162">
        <v>25</v>
      </c>
      <c r="N162" s="178"/>
      <c r="O162" s="178"/>
      <c r="Q162" t="s">
        <v>614</v>
      </c>
      <c r="R162">
        <v>0</v>
      </c>
    </row>
    <row r="163" spans="1:18" x14ac:dyDescent="0.25">
      <c r="A163" t="str">
        <f>TableMCMMJRN[[#This Row],[Study Package Code]]</f>
        <v>JOUR5006</v>
      </c>
      <c r="B163" s="1">
        <f>TableMCMMJRN[[#This Row],[Ver]]</f>
        <v>3</v>
      </c>
      <c r="D163" t="str">
        <f>TableMCMMJRN[[#This Row],[Structure Line]]</f>
        <v>News Internship</v>
      </c>
      <c r="E163" s="115">
        <f>TableMCMMJRN[[#This Row],[Credit Points]]</f>
        <v>25</v>
      </c>
      <c r="F163">
        <v>11</v>
      </c>
      <c r="G163" t="s">
        <v>590</v>
      </c>
      <c r="H163">
        <v>2</v>
      </c>
      <c r="I163" t="s">
        <v>339</v>
      </c>
      <c r="J163" t="s">
        <v>271</v>
      </c>
      <c r="K163">
        <v>3</v>
      </c>
      <c r="L163" t="s">
        <v>460</v>
      </c>
      <c r="M163">
        <v>25</v>
      </c>
      <c r="N163" s="178">
        <v>45292</v>
      </c>
      <c r="O163" s="178"/>
      <c r="Q163" t="s">
        <v>364</v>
      </c>
      <c r="R163">
        <v>1</v>
      </c>
    </row>
    <row r="164" spans="1:18" x14ac:dyDescent="0.25">
      <c r="A164" t="str">
        <f>TableMCMMJRN[[#This Row],[Study Package Code]]</f>
        <v>NETS5004</v>
      </c>
      <c r="B164" s="1">
        <f>TableMCMMJRN[[#This Row],[Ver]]</f>
        <v>2</v>
      </c>
      <c r="D164" t="str">
        <f>TableMCMMJRN[[#This Row],[Structure Line]]</f>
        <v>Social Media, Communities and Networks</v>
      </c>
      <c r="E164" s="115">
        <f>TableMCMMJRN[[#This Row],[Credit Points]]</f>
        <v>25</v>
      </c>
      <c r="F164">
        <v>11</v>
      </c>
      <c r="G164" t="s">
        <v>590</v>
      </c>
      <c r="H164">
        <v>2</v>
      </c>
      <c r="I164" t="s">
        <v>339</v>
      </c>
      <c r="J164" t="s">
        <v>202</v>
      </c>
      <c r="K164">
        <v>2</v>
      </c>
      <c r="L164" t="s">
        <v>485</v>
      </c>
      <c r="M164">
        <v>25</v>
      </c>
      <c r="N164" s="178">
        <v>42736</v>
      </c>
      <c r="O164" s="178"/>
      <c r="Q164" t="s">
        <v>190</v>
      </c>
      <c r="R164">
        <v>1</v>
      </c>
    </row>
    <row r="165" spans="1:18" x14ac:dyDescent="0.25">
      <c r="A165">
        <f>TableMCMMJRN[[#This Row],[Study Package Code]]</f>
        <v>0</v>
      </c>
      <c r="B165" s="1">
        <f>TableMCMMJRN[[#This Row],[Ver]]</f>
        <v>0</v>
      </c>
      <c r="D165">
        <f>TableMCMMJRN[[#This Row],[Structure Line]]</f>
        <v>0</v>
      </c>
      <c r="E165" s="115">
        <f>TableMCMMJRN[[#This Row],[Credit Points]]</f>
        <v>0</v>
      </c>
      <c r="N165" s="178"/>
      <c r="O165" s="178"/>
      <c r="Q165" t="s">
        <v>271</v>
      </c>
      <c r="R165">
        <v>2</v>
      </c>
    </row>
    <row r="166" spans="1:18" x14ac:dyDescent="0.25">
      <c r="A166">
        <f>TableMCMMJRN[[#This Row],[Study Package Code]]</f>
        <v>0</v>
      </c>
      <c r="B166" s="1">
        <f>TableMCMMJRN[[#This Row],[Ver]]</f>
        <v>0</v>
      </c>
      <c r="D166">
        <f>TableMCMMJRN[[#This Row],[Structure Line]]</f>
        <v>0</v>
      </c>
      <c r="E166" s="115">
        <f>TableMCMMJRN[[#This Row],[Credit Points]]</f>
        <v>0</v>
      </c>
      <c r="N166" s="178"/>
      <c r="O166" s="178"/>
      <c r="Q166" t="s">
        <v>202</v>
      </c>
      <c r="R166">
        <v>2</v>
      </c>
    </row>
    <row r="167" spans="1:18" x14ac:dyDescent="0.25">
      <c r="A167">
        <f>TableMCMMJRN[[#This Row],[Study Package Code]]</f>
        <v>0</v>
      </c>
      <c r="B167" s="1">
        <f>TableMCMMJRN[[#This Row],[Ver]]</f>
        <v>0</v>
      </c>
      <c r="D167">
        <f>TableMCMMJRN[[#This Row],[Structure Line]]</f>
        <v>0</v>
      </c>
      <c r="E167" s="115">
        <f>TableMCMMJRN[[#This Row],[Credit Points]]</f>
        <v>0</v>
      </c>
      <c r="N167" s="178"/>
      <c r="O167" s="178"/>
      <c r="Q167" t="s">
        <v>203</v>
      </c>
      <c r="R167">
        <v>1</v>
      </c>
    </row>
    <row r="168" spans="1:18" x14ac:dyDescent="0.25">
      <c r="A168">
        <f>TableMCMMJRN[[#This Row],[Study Package Code]]</f>
        <v>0</v>
      </c>
      <c r="B168" s="1">
        <f>TableMCMMJRN[[#This Row],[Ver]]</f>
        <v>0</v>
      </c>
      <c r="D168">
        <f>TableMCMMJRN[[#This Row],[Structure Line]]</f>
        <v>0</v>
      </c>
      <c r="E168" s="115">
        <f>TableMCMMJRN[[#This Row],[Credit Points]]</f>
        <v>0</v>
      </c>
      <c r="N168" s="178"/>
      <c r="O168" s="178"/>
      <c r="Q168" t="s">
        <v>169</v>
      </c>
      <c r="R168">
        <v>1</v>
      </c>
    </row>
    <row r="169" spans="1:18" x14ac:dyDescent="0.25">
      <c r="B169"/>
      <c r="E169"/>
      <c r="F169" s="111"/>
      <c r="G169" s="112" t="s">
        <v>573</v>
      </c>
      <c r="H169" s="265">
        <v>44562</v>
      </c>
      <c r="I169" s="177"/>
      <c r="J169" s="253" t="s">
        <v>70</v>
      </c>
      <c r="K169" s="252" t="s">
        <v>64</v>
      </c>
      <c r="L169" s="177" t="s">
        <v>69</v>
      </c>
      <c r="M169" s="177"/>
      <c r="N169" s="250" t="s">
        <v>574</v>
      </c>
      <c r="O169" s="178">
        <v>45338</v>
      </c>
    </row>
    <row r="170" spans="1:18" x14ac:dyDescent="0.25">
      <c r="A170" t="s">
        <v>0</v>
      </c>
      <c r="B170" s="1" t="s">
        <v>46</v>
      </c>
      <c r="C170" t="s">
        <v>575</v>
      </c>
      <c r="D170" t="s">
        <v>3</v>
      </c>
      <c r="E170" s="115" t="s">
        <v>576</v>
      </c>
      <c r="F170" t="s">
        <v>577</v>
      </c>
      <c r="G170" t="s">
        <v>578</v>
      </c>
      <c r="H170" t="s">
        <v>579</v>
      </c>
      <c r="I170" t="s">
        <v>21</v>
      </c>
      <c r="J170" t="s">
        <v>580</v>
      </c>
      <c r="K170" t="s">
        <v>1</v>
      </c>
      <c r="L170" t="s">
        <v>581</v>
      </c>
      <c r="M170" t="s">
        <v>47</v>
      </c>
      <c r="N170" t="s">
        <v>582</v>
      </c>
      <c r="O170" t="s">
        <v>583</v>
      </c>
      <c r="Q170" t="s">
        <v>584</v>
      </c>
      <c r="R170" t="s">
        <v>1</v>
      </c>
    </row>
    <row r="171" spans="1:18" x14ac:dyDescent="0.25">
      <c r="A171" t="str">
        <f>TableGDMMJRN[[#This Row],[Study Package Code]]</f>
        <v>JOUR5003</v>
      </c>
      <c r="B171" s="1">
        <f>TableGDMMJRN[[#This Row],[Ver]]</f>
        <v>3</v>
      </c>
      <c r="D171" t="str">
        <f>TableGDMMJRN[[#This Row],[Structure Line]]</f>
        <v>Online &amp; Text-based Journalism</v>
      </c>
      <c r="E171" s="115">
        <f>TableGDMMJRN[[#This Row],[Credit Points]]</f>
        <v>25</v>
      </c>
      <c r="F171">
        <v>1</v>
      </c>
      <c r="G171" t="s">
        <v>585</v>
      </c>
      <c r="H171">
        <v>1</v>
      </c>
      <c r="I171" t="s">
        <v>339</v>
      </c>
      <c r="J171" t="s">
        <v>257</v>
      </c>
      <c r="K171">
        <v>3</v>
      </c>
      <c r="L171" t="s">
        <v>452</v>
      </c>
      <c r="M171">
        <v>25</v>
      </c>
      <c r="N171" s="178">
        <v>45292</v>
      </c>
      <c r="O171" s="178" t="s">
        <v>587</v>
      </c>
      <c r="Q171" t="s">
        <v>257</v>
      </c>
      <c r="R171">
        <v>2</v>
      </c>
    </row>
    <row r="172" spans="1:18" x14ac:dyDescent="0.25">
      <c r="A172" t="str">
        <f>TableGDMMJRN[[#This Row],[Study Package Code]]</f>
        <v>JOUR5002</v>
      </c>
      <c r="B172" s="1">
        <f>TableGDMMJRN[[#This Row],[Ver]]</f>
        <v>3</v>
      </c>
      <c r="D172" t="str">
        <f>TableGDMMJRN[[#This Row],[Structure Line]]</f>
        <v>Audio &amp; Deadline Journalism</v>
      </c>
      <c r="E172" s="115">
        <f>TableGDMMJRN[[#This Row],[Credit Points]]</f>
        <v>25</v>
      </c>
      <c r="F172">
        <v>2</v>
      </c>
      <c r="G172" t="s">
        <v>585</v>
      </c>
      <c r="H172">
        <v>1</v>
      </c>
      <c r="I172" t="s">
        <v>339</v>
      </c>
      <c r="J172" t="s">
        <v>258</v>
      </c>
      <c r="K172">
        <v>3</v>
      </c>
      <c r="L172" t="s">
        <v>449</v>
      </c>
      <c r="M172">
        <v>25</v>
      </c>
      <c r="N172" s="178">
        <v>45292</v>
      </c>
      <c r="O172" s="178" t="s">
        <v>587</v>
      </c>
      <c r="Q172" t="s">
        <v>258</v>
      </c>
      <c r="R172">
        <v>2</v>
      </c>
    </row>
    <row r="173" spans="1:18" x14ac:dyDescent="0.25">
      <c r="A173" t="str">
        <f>TableGDMMJRN[[#This Row],[Study Package Code]]</f>
        <v>JOUR5012</v>
      </c>
      <c r="B173" s="1">
        <f>TableGDMMJRN[[#This Row],[Ver]]</f>
        <v>3</v>
      </c>
      <c r="D173" t="str">
        <f>TableGDMMJRN[[#This Row],[Structure Line]]</f>
        <v>Understanding Journalism</v>
      </c>
      <c r="E173" s="115">
        <f>TableGDMMJRN[[#This Row],[Credit Points]]</f>
        <v>25</v>
      </c>
      <c r="F173">
        <v>3</v>
      </c>
      <c r="G173" t="s">
        <v>585</v>
      </c>
      <c r="H173">
        <v>1</v>
      </c>
      <c r="I173" t="s">
        <v>339</v>
      </c>
      <c r="J173" t="s">
        <v>261</v>
      </c>
      <c r="K173">
        <v>3</v>
      </c>
      <c r="L173" t="s">
        <v>468</v>
      </c>
      <c r="M173">
        <v>25</v>
      </c>
      <c r="N173" s="178">
        <v>44197</v>
      </c>
      <c r="O173" s="178" t="s">
        <v>587</v>
      </c>
      <c r="Q173" t="s">
        <v>261</v>
      </c>
      <c r="R173">
        <v>3</v>
      </c>
    </row>
    <row r="174" spans="1:18" x14ac:dyDescent="0.25">
      <c r="A174" t="str">
        <f>TableGDMMJRN[[#This Row],[Study Package Code]]</f>
        <v>JOUR5005</v>
      </c>
      <c r="B174" s="1">
        <f>TableGDMMJRN[[#This Row],[Ver]]</f>
        <v>3</v>
      </c>
      <c r="D174" t="str">
        <f>TableGDMMJRN[[#This Row],[Structure Line]]</f>
        <v>Video Journalism &amp; Storytelling</v>
      </c>
      <c r="E174" s="115">
        <f>TableGDMMJRN[[#This Row],[Credit Points]]</f>
        <v>25</v>
      </c>
      <c r="F174">
        <v>4</v>
      </c>
      <c r="G174" t="s">
        <v>585</v>
      </c>
      <c r="H174">
        <v>1</v>
      </c>
      <c r="I174" t="s">
        <v>339</v>
      </c>
      <c r="J174" t="s">
        <v>262</v>
      </c>
      <c r="K174">
        <v>3</v>
      </c>
      <c r="L174" t="s">
        <v>457</v>
      </c>
      <c r="M174">
        <v>25</v>
      </c>
      <c r="N174" s="178">
        <v>45292</v>
      </c>
      <c r="O174" s="178" t="s">
        <v>587</v>
      </c>
      <c r="Q174" t="s">
        <v>262</v>
      </c>
      <c r="R174">
        <v>2</v>
      </c>
    </row>
    <row r="175" spans="1:18" x14ac:dyDescent="0.25">
      <c r="A175" t="str">
        <f>TableGDMMJRN[[#This Row],[Study Package Code]]</f>
        <v>JOUR5016</v>
      </c>
      <c r="B175" s="1">
        <f>TableGDMMJRN[[#This Row],[Ver]]</f>
        <v>1</v>
      </c>
      <c r="D175" t="str">
        <f>TableGDMMJRN[[#This Row],[Structure Line]]</f>
        <v>Entrepreneurial Journalism</v>
      </c>
      <c r="E175" s="115">
        <f>TableGDMMJRN[[#This Row],[Credit Points]]</f>
        <v>25</v>
      </c>
      <c r="F175">
        <v>5</v>
      </c>
      <c r="G175" t="s">
        <v>585</v>
      </c>
      <c r="H175">
        <v>1</v>
      </c>
      <c r="I175" t="s">
        <v>340</v>
      </c>
      <c r="J175" t="s">
        <v>264</v>
      </c>
      <c r="K175">
        <v>1</v>
      </c>
      <c r="L175" t="s">
        <v>469</v>
      </c>
      <c r="M175">
        <v>25</v>
      </c>
      <c r="N175" s="178">
        <v>44197</v>
      </c>
      <c r="O175" s="178" t="s">
        <v>587</v>
      </c>
      <c r="Q175" t="s">
        <v>264</v>
      </c>
      <c r="R175">
        <v>1</v>
      </c>
    </row>
    <row r="176" spans="1:18" x14ac:dyDescent="0.25">
      <c r="A176" t="str">
        <f>TableGDMMJRN[[#This Row],[Study Package Code]]</f>
        <v>JOUR5004</v>
      </c>
      <c r="B176" s="1">
        <f>TableGDMMJRN[[#This Row],[Ver]]</f>
        <v>2</v>
      </c>
      <c r="D176" t="str">
        <f>TableGDMMJRN[[#This Row],[Structure Line]]</f>
        <v>Long Form Journalism</v>
      </c>
      <c r="E176" s="115">
        <f>TableGDMMJRN[[#This Row],[Credit Points]]</f>
        <v>25</v>
      </c>
      <c r="F176">
        <v>6</v>
      </c>
      <c r="G176" t="s">
        <v>585</v>
      </c>
      <c r="H176">
        <v>1</v>
      </c>
      <c r="I176" t="s">
        <v>340</v>
      </c>
      <c r="J176" t="s">
        <v>260</v>
      </c>
      <c r="K176">
        <v>2</v>
      </c>
      <c r="L176" t="s">
        <v>455</v>
      </c>
      <c r="M176">
        <v>25</v>
      </c>
      <c r="N176" s="178">
        <v>43831</v>
      </c>
      <c r="O176" s="178" t="s">
        <v>587</v>
      </c>
      <c r="Q176" t="s">
        <v>260</v>
      </c>
      <c r="R176">
        <v>2</v>
      </c>
    </row>
    <row r="177" spans="1:18" x14ac:dyDescent="0.25">
      <c r="A177" t="str">
        <f>TableGDMMJRN[[#This Row],[Study Package Code]]</f>
        <v>JOUR5000</v>
      </c>
      <c r="B177" s="1">
        <f>TableGDMMJRN[[#This Row],[Ver]]</f>
        <v>3</v>
      </c>
      <c r="D177" t="str">
        <f>TableGDMMJRN[[#This Row],[Structure Line]]</f>
        <v>Ethical Frameworks and Media Law</v>
      </c>
      <c r="E177" s="115">
        <f>TableGDMMJRN[[#This Row],[Credit Points]]</f>
        <v>25</v>
      </c>
      <c r="F177">
        <v>7</v>
      </c>
      <c r="G177" t="s">
        <v>585</v>
      </c>
      <c r="H177">
        <v>1</v>
      </c>
      <c r="I177" t="s">
        <v>340</v>
      </c>
      <c r="J177" t="s">
        <v>259</v>
      </c>
      <c r="K177">
        <v>3</v>
      </c>
      <c r="L177" t="s">
        <v>446</v>
      </c>
      <c r="M177">
        <v>25</v>
      </c>
      <c r="N177" s="178">
        <v>45292</v>
      </c>
      <c r="O177" s="178" t="s">
        <v>587</v>
      </c>
      <c r="Q177" t="s">
        <v>259</v>
      </c>
      <c r="R177">
        <v>2</v>
      </c>
    </row>
    <row r="178" spans="1:18" x14ac:dyDescent="0.25">
      <c r="A178" t="str">
        <f>TableGDMMJRN[[#This Row],[Study Package Code]]</f>
        <v>JOUR5010</v>
      </c>
      <c r="B178" s="1">
        <f>TableGDMMJRN[[#This Row],[Ver]]</f>
        <v>3</v>
      </c>
      <c r="D178" t="str">
        <f>TableGDMMJRN[[#This Row],[Structure Line]]</f>
        <v>Audio &amp; Visual News Presentation</v>
      </c>
      <c r="E178" s="115">
        <f>TableGDMMJRN[[#This Row],[Credit Points]]</f>
        <v>25</v>
      </c>
      <c r="F178">
        <v>8</v>
      </c>
      <c r="G178" t="s">
        <v>585</v>
      </c>
      <c r="H178">
        <v>1</v>
      </c>
      <c r="I178" t="s">
        <v>340</v>
      </c>
      <c r="J178" t="s">
        <v>263</v>
      </c>
      <c r="K178">
        <v>3</v>
      </c>
      <c r="L178" t="s">
        <v>465</v>
      </c>
      <c r="M178">
        <v>25</v>
      </c>
      <c r="N178" s="178">
        <v>45292</v>
      </c>
      <c r="O178" s="178" t="s">
        <v>587</v>
      </c>
      <c r="Q178" t="s">
        <v>263</v>
      </c>
      <c r="R178">
        <v>2</v>
      </c>
    </row>
    <row r="179" spans="1:18" x14ac:dyDescent="0.25">
      <c r="B179"/>
      <c r="E179"/>
      <c r="F179" s="111"/>
      <c r="G179" s="112" t="s">
        <v>573</v>
      </c>
      <c r="H179" s="265">
        <v>44562</v>
      </c>
      <c r="I179" s="177"/>
      <c r="J179" s="253" t="s">
        <v>63</v>
      </c>
      <c r="K179" s="252" t="s">
        <v>64</v>
      </c>
      <c r="L179" s="177" t="s">
        <v>62</v>
      </c>
      <c r="M179" s="177"/>
      <c r="N179" s="250" t="s">
        <v>574</v>
      </c>
      <c r="O179" s="178">
        <v>45338</v>
      </c>
    </row>
    <row r="180" spans="1:18" x14ac:dyDescent="0.25">
      <c r="A180" t="s">
        <v>0</v>
      </c>
      <c r="B180" s="1" t="s">
        <v>46</v>
      </c>
      <c r="C180" t="s">
        <v>575</v>
      </c>
      <c r="D180" t="s">
        <v>3</v>
      </c>
      <c r="E180" s="115" t="s">
        <v>576</v>
      </c>
      <c r="F180" t="s">
        <v>577</v>
      </c>
      <c r="G180" t="s">
        <v>578</v>
      </c>
      <c r="H180" t="s">
        <v>579</v>
      </c>
      <c r="I180" t="s">
        <v>21</v>
      </c>
      <c r="J180" t="s">
        <v>580</v>
      </c>
      <c r="K180" t="s">
        <v>1</v>
      </c>
      <c r="L180" t="s">
        <v>581</v>
      </c>
      <c r="M180" t="s">
        <v>47</v>
      </c>
      <c r="N180" t="s">
        <v>582</v>
      </c>
      <c r="O180" t="s">
        <v>583</v>
      </c>
      <c r="Q180" t="s">
        <v>584</v>
      </c>
      <c r="R180" t="s">
        <v>1</v>
      </c>
    </row>
    <row r="181" spans="1:18" x14ac:dyDescent="0.25">
      <c r="A181" t="str">
        <f>TableGCMMJRN[[#This Row],[Study Package Code]]</f>
        <v>JOUR5003</v>
      </c>
      <c r="B181" s="1">
        <f>TableGCMMJRN[[#This Row],[Ver]]</f>
        <v>3</v>
      </c>
      <c r="D181" t="str">
        <f>TableGCMMJRN[[#This Row],[Structure Line]]</f>
        <v>Online &amp; Text-based Journalism</v>
      </c>
      <c r="E181" s="115">
        <f>TableGCMMJRN[[#This Row],[Credit Points]]</f>
        <v>25</v>
      </c>
      <c r="F181">
        <v>1</v>
      </c>
      <c r="G181" t="s">
        <v>585</v>
      </c>
      <c r="H181">
        <v>1</v>
      </c>
      <c r="I181" t="s">
        <v>339</v>
      </c>
      <c r="J181" t="s">
        <v>257</v>
      </c>
      <c r="K181">
        <v>3</v>
      </c>
      <c r="L181" t="s">
        <v>452</v>
      </c>
      <c r="M181">
        <v>25</v>
      </c>
      <c r="N181" s="178">
        <v>45292</v>
      </c>
      <c r="O181" s="178" t="s">
        <v>587</v>
      </c>
      <c r="Q181" t="s">
        <v>257</v>
      </c>
      <c r="R181">
        <v>2</v>
      </c>
    </row>
    <row r="182" spans="1:18" x14ac:dyDescent="0.25">
      <c r="A182" t="str">
        <f>TableGCMMJRN[[#This Row],[Study Package Code]]</f>
        <v>JOUR5002</v>
      </c>
      <c r="B182" s="1">
        <f>TableGCMMJRN[[#This Row],[Ver]]</f>
        <v>3</v>
      </c>
      <c r="D182" t="str">
        <f>TableGCMMJRN[[#This Row],[Structure Line]]</f>
        <v>Audio &amp; Deadline Journalism</v>
      </c>
      <c r="E182" s="115">
        <f>TableGCMMJRN[[#This Row],[Credit Points]]</f>
        <v>25</v>
      </c>
      <c r="F182">
        <v>2</v>
      </c>
      <c r="G182" t="s">
        <v>585</v>
      </c>
      <c r="H182">
        <v>1</v>
      </c>
      <c r="I182" t="s">
        <v>339</v>
      </c>
      <c r="J182" t="s">
        <v>258</v>
      </c>
      <c r="K182">
        <v>3</v>
      </c>
      <c r="L182" t="s">
        <v>449</v>
      </c>
      <c r="M182">
        <v>25</v>
      </c>
      <c r="N182" s="178">
        <v>45292</v>
      </c>
      <c r="O182" s="178" t="s">
        <v>587</v>
      </c>
      <c r="Q182" t="s">
        <v>258</v>
      </c>
      <c r="R182">
        <v>2</v>
      </c>
    </row>
    <row r="183" spans="1:18" x14ac:dyDescent="0.25">
      <c r="A183" t="str">
        <f>TableGCMMJRN[[#This Row],[Study Package Code]]</f>
        <v>JOUR5012</v>
      </c>
      <c r="B183" s="1">
        <f>TableGCMMJRN[[#This Row],[Ver]]</f>
        <v>3</v>
      </c>
      <c r="D183" t="str">
        <f>TableGCMMJRN[[#This Row],[Structure Line]]</f>
        <v>Understanding Journalism</v>
      </c>
      <c r="E183" s="115">
        <f>TableGCMMJRN[[#This Row],[Credit Points]]</f>
        <v>25</v>
      </c>
      <c r="F183">
        <v>3</v>
      </c>
      <c r="G183" t="s">
        <v>585</v>
      </c>
      <c r="H183">
        <v>1</v>
      </c>
      <c r="I183" t="s">
        <v>339</v>
      </c>
      <c r="J183" t="s">
        <v>261</v>
      </c>
      <c r="K183">
        <v>3</v>
      </c>
      <c r="L183" t="s">
        <v>468</v>
      </c>
      <c r="M183">
        <v>25</v>
      </c>
      <c r="N183" s="178">
        <v>44197</v>
      </c>
      <c r="O183" s="178" t="s">
        <v>587</v>
      </c>
      <c r="Q183" t="s">
        <v>261</v>
      </c>
      <c r="R183">
        <v>3</v>
      </c>
    </row>
    <row r="184" spans="1:18" x14ac:dyDescent="0.25">
      <c r="A184" t="str">
        <f>TableGCMMJRN[[#This Row],[Study Package Code]]</f>
        <v>JOUR5005</v>
      </c>
      <c r="B184" s="1">
        <f>TableGCMMJRN[[#This Row],[Ver]]</f>
        <v>3</v>
      </c>
      <c r="D184" t="str">
        <f>TableGCMMJRN[[#This Row],[Structure Line]]</f>
        <v>Video Journalism &amp; Storytelling</v>
      </c>
      <c r="E184" s="115">
        <f>TableGCMMJRN[[#This Row],[Credit Points]]</f>
        <v>25</v>
      </c>
      <c r="F184">
        <v>4</v>
      </c>
      <c r="G184" t="s">
        <v>585</v>
      </c>
      <c r="H184">
        <v>1</v>
      </c>
      <c r="I184" t="s">
        <v>339</v>
      </c>
      <c r="J184" t="s">
        <v>262</v>
      </c>
      <c r="K184">
        <v>3</v>
      </c>
      <c r="L184" t="s">
        <v>457</v>
      </c>
      <c r="M184">
        <v>25</v>
      </c>
      <c r="N184" s="178">
        <v>45292</v>
      </c>
      <c r="O184" s="178" t="s">
        <v>587</v>
      </c>
      <c r="Q184" t="s">
        <v>262</v>
      </c>
      <c r="R184">
        <v>2</v>
      </c>
    </row>
    <row r="186" spans="1:18" x14ac:dyDescent="0.25">
      <c r="B186"/>
      <c r="E186"/>
      <c r="F186" s="111"/>
      <c r="G186" s="112" t="s">
        <v>573</v>
      </c>
      <c r="H186" s="271">
        <v>45292</v>
      </c>
      <c r="I186" s="177"/>
      <c r="J186" s="272" t="s">
        <v>101</v>
      </c>
      <c r="K186" s="252" t="s">
        <v>80</v>
      </c>
      <c r="L186" s="240" t="s">
        <v>100</v>
      </c>
      <c r="N186" s="250" t="s">
        <v>574</v>
      </c>
      <c r="O186" s="178">
        <v>45338</v>
      </c>
    </row>
    <row r="187" spans="1:18" x14ac:dyDescent="0.25">
      <c r="A187" t="s">
        <v>0</v>
      </c>
      <c r="B187" s="1" t="s">
        <v>46</v>
      </c>
      <c r="C187" t="s">
        <v>575</v>
      </c>
      <c r="D187" t="s">
        <v>3</v>
      </c>
      <c r="E187" s="115" t="s">
        <v>576</v>
      </c>
      <c r="F187" t="s">
        <v>577</v>
      </c>
      <c r="G187" t="s">
        <v>578</v>
      </c>
      <c r="H187" t="s">
        <v>579</v>
      </c>
      <c r="I187" t="s">
        <v>21</v>
      </c>
      <c r="J187" t="s">
        <v>580</v>
      </c>
      <c r="K187" t="s">
        <v>1</v>
      </c>
      <c r="L187" t="s">
        <v>581</v>
      </c>
      <c r="M187" t="s">
        <v>47</v>
      </c>
      <c r="N187" t="s">
        <v>582</v>
      </c>
      <c r="O187" t="s">
        <v>583</v>
      </c>
      <c r="Q187" t="s">
        <v>584</v>
      </c>
      <c r="R187" t="s">
        <v>1</v>
      </c>
    </row>
    <row r="188" spans="1:18" x14ac:dyDescent="0.25">
      <c r="A188" t="str">
        <f>TableMCHRIGLO[[#This Row],[Study Package Code]]</f>
        <v>HRIG5003</v>
      </c>
      <c r="B188" s="1">
        <f>TableMCHRIGLO[[#This Row],[Ver]]</f>
        <v>2</v>
      </c>
      <c r="D188" t="str">
        <f>TableMCHRIGLO[[#This Row],[Structure Line]]</f>
        <v>Activism, Advocacy and Change</v>
      </c>
      <c r="E188" s="115">
        <f>TableMCHRIGLO[[#This Row],[Credit Points]]</f>
        <v>25</v>
      </c>
      <c r="F188">
        <v>1</v>
      </c>
      <c r="G188" t="s">
        <v>585</v>
      </c>
      <c r="H188">
        <v>1</v>
      </c>
      <c r="I188" t="s">
        <v>586</v>
      </c>
      <c r="J188" t="s">
        <v>232</v>
      </c>
      <c r="K188">
        <v>2</v>
      </c>
      <c r="L188" t="s">
        <v>405</v>
      </c>
      <c r="M188">
        <v>25</v>
      </c>
      <c r="N188" s="178">
        <v>45292</v>
      </c>
      <c r="O188" s="178" t="s">
        <v>587</v>
      </c>
    </row>
    <row r="189" spans="1:18" x14ac:dyDescent="0.25">
      <c r="A189" t="str">
        <f>TableMCHRIGLO[[#This Row],[Study Package Code]]</f>
        <v>HRIG5000</v>
      </c>
      <c r="B189" s="1">
        <f>TableMCHRIGLO[[#This Row],[Ver]]</f>
        <v>2</v>
      </c>
      <c r="D189" t="str">
        <f>TableMCHRIGLO[[#This Row],[Structure Line]]</f>
        <v>Human Rights Education in Practice</v>
      </c>
      <c r="E189" s="115">
        <f>TableMCHRIGLO[[#This Row],[Credit Points]]</f>
        <v>25</v>
      </c>
      <c r="F189">
        <v>2</v>
      </c>
      <c r="G189" t="s">
        <v>585</v>
      </c>
      <c r="H189">
        <v>1</v>
      </c>
      <c r="I189" t="s">
        <v>586</v>
      </c>
      <c r="J189" t="s">
        <v>226</v>
      </c>
      <c r="K189">
        <v>2</v>
      </c>
      <c r="L189" t="s">
        <v>396</v>
      </c>
      <c r="M189">
        <v>25</v>
      </c>
      <c r="N189" s="178">
        <v>45292</v>
      </c>
      <c r="O189" s="178" t="s">
        <v>587</v>
      </c>
    </row>
    <row r="190" spans="1:18" x14ac:dyDescent="0.25">
      <c r="A190" t="str">
        <f>TableMCHRIGLO[[#This Row],[Study Package Code]]</f>
        <v>GLBL5000</v>
      </c>
      <c r="B190" s="1">
        <f>TableMCHRIGLO[[#This Row],[Ver]]</f>
        <v>1</v>
      </c>
      <c r="D190" t="str">
        <f>TableMCHRIGLO[[#This Row],[Structure Line]]</f>
        <v>Engaging Cultural Diversity</v>
      </c>
      <c r="E190" s="115">
        <f>TableMCHRIGLO[[#This Row],[Credit Points]]</f>
        <v>25</v>
      </c>
      <c r="F190">
        <v>3</v>
      </c>
      <c r="G190" t="s">
        <v>585</v>
      </c>
      <c r="H190">
        <v>1</v>
      </c>
      <c r="I190" t="s">
        <v>586</v>
      </c>
      <c r="J190" t="s">
        <v>234</v>
      </c>
      <c r="K190">
        <v>1</v>
      </c>
      <c r="L190" t="s">
        <v>389</v>
      </c>
      <c r="M190">
        <v>25</v>
      </c>
      <c r="N190" s="178">
        <v>45108</v>
      </c>
      <c r="O190" s="178" t="s">
        <v>587</v>
      </c>
    </row>
    <row r="191" spans="1:18" x14ac:dyDescent="0.25">
      <c r="A191" t="str">
        <f>TableMCHRIGLO[[#This Row],[Study Package Code]]</f>
        <v>GLBL5001</v>
      </c>
      <c r="B191" s="1">
        <f>TableMCHRIGLO[[#This Row],[Ver]]</f>
        <v>1</v>
      </c>
      <c r="D191" t="str">
        <f>TableMCHRIGLO[[#This Row],[Structure Line]]</f>
        <v>Global Futures and Just Transformations</v>
      </c>
      <c r="E191" s="115">
        <f>TableMCHRIGLO[[#This Row],[Credit Points]]</f>
        <v>25</v>
      </c>
      <c r="F191">
        <v>4</v>
      </c>
      <c r="G191" t="s">
        <v>585</v>
      </c>
      <c r="H191">
        <v>1</v>
      </c>
      <c r="I191" t="s">
        <v>586</v>
      </c>
      <c r="J191" t="s">
        <v>236</v>
      </c>
      <c r="K191">
        <v>1</v>
      </c>
      <c r="L191" t="s">
        <v>390</v>
      </c>
      <c r="M191">
        <v>25</v>
      </c>
      <c r="N191" s="178">
        <v>45108</v>
      </c>
      <c r="O191" s="178" t="s">
        <v>587</v>
      </c>
    </row>
    <row r="192" spans="1:18" x14ac:dyDescent="0.25">
      <c r="A192" t="str">
        <f>TableMCHRIGLO[[#This Row],[Study Package Code]]</f>
        <v>HRIG5014</v>
      </c>
      <c r="B192" s="1">
        <f>TableMCHRIGLO[[#This Row],[Ver]]</f>
        <v>2</v>
      </c>
      <c r="D192" t="str">
        <f>TableMCHRIGLO[[#This Row],[Structure Line]]</f>
        <v>Dialogue across Cultures and Religions</v>
      </c>
      <c r="E192" s="115">
        <f>TableMCHRIGLO[[#This Row],[Credit Points]]</f>
        <v>25</v>
      </c>
      <c r="F192">
        <v>5</v>
      </c>
      <c r="G192" t="s">
        <v>585</v>
      </c>
      <c r="H192">
        <v>1</v>
      </c>
      <c r="I192" t="s">
        <v>586</v>
      </c>
      <c r="J192" t="s">
        <v>229</v>
      </c>
      <c r="K192">
        <v>2</v>
      </c>
      <c r="L192" t="s">
        <v>415</v>
      </c>
      <c r="M192">
        <v>25</v>
      </c>
      <c r="N192" s="178">
        <v>45292</v>
      </c>
      <c r="O192" s="178" t="s">
        <v>587</v>
      </c>
    </row>
    <row r="193" spans="1:18" x14ac:dyDescent="0.25">
      <c r="A193" t="str">
        <f>TableMCHRIGLO[[#This Row],[Study Package Code]]</f>
        <v>HRIG5013</v>
      </c>
      <c r="B193" s="1">
        <f>TableMCHRIGLO[[#This Row],[Ver]]</f>
        <v>2</v>
      </c>
      <c r="D193" t="str">
        <f>TableMCHRIGLO[[#This Row],[Structure Line]]</f>
        <v>Introduction to Human Rights and Social Justice</v>
      </c>
      <c r="E193" s="115">
        <f>TableMCHRIGLO[[#This Row],[Credit Points]]</f>
        <v>25</v>
      </c>
      <c r="F193">
        <v>6</v>
      </c>
      <c r="G193" t="s">
        <v>585</v>
      </c>
      <c r="H193">
        <v>1</v>
      </c>
      <c r="I193" t="s">
        <v>586</v>
      </c>
      <c r="J193" t="s">
        <v>228</v>
      </c>
      <c r="K193">
        <v>2</v>
      </c>
      <c r="L193" t="s">
        <v>412</v>
      </c>
      <c r="M193">
        <v>25</v>
      </c>
      <c r="N193" s="178">
        <v>45292</v>
      </c>
      <c r="O193" s="178" t="s">
        <v>587</v>
      </c>
    </row>
    <row r="194" spans="1:18" x14ac:dyDescent="0.25">
      <c r="A194" t="str">
        <f>TableMCHRIGLO[[#This Row],[Study Package Code]]</f>
        <v>HRIG5001</v>
      </c>
      <c r="B194" s="1">
        <f>TableMCHRIGLO[[#This Row],[Ver]]</f>
        <v>2</v>
      </c>
      <c r="D194" t="str">
        <f>TableMCHRIGLO[[#This Row],[Structure Line]]</f>
        <v>Social Justice and Development</v>
      </c>
      <c r="E194" s="115">
        <f>TableMCHRIGLO[[#This Row],[Credit Points]]</f>
        <v>25</v>
      </c>
      <c r="F194">
        <v>7</v>
      </c>
      <c r="G194" t="s">
        <v>585</v>
      </c>
      <c r="H194">
        <v>1</v>
      </c>
      <c r="I194" t="s">
        <v>586</v>
      </c>
      <c r="J194" t="s">
        <v>231</v>
      </c>
      <c r="K194">
        <v>2</v>
      </c>
      <c r="L194" t="s">
        <v>399</v>
      </c>
      <c r="M194">
        <v>25</v>
      </c>
      <c r="N194" s="178">
        <v>45292</v>
      </c>
      <c r="O194" s="178" t="s">
        <v>587</v>
      </c>
    </row>
    <row r="195" spans="1:18" x14ac:dyDescent="0.25">
      <c r="A195" t="str">
        <f>TableMCHRIGLO[[#This Row],[Study Package Code]]</f>
        <v>GLBL5002</v>
      </c>
      <c r="B195" s="1">
        <f>TableMCHRIGLO[[#This Row],[Ver]]</f>
        <v>1</v>
      </c>
      <c r="D195" t="str">
        <f>TableMCHRIGLO[[#This Row],[Structure Line]]</f>
        <v>Engaging Africa</v>
      </c>
      <c r="E195" s="115">
        <f>TableMCHRIGLO[[#This Row],[Credit Points]]</f>
        <v>25</v>
      </c>
      <c r="F195">
        <v>8</v>
      </c>
      <c r="G195" t="s">
        <v>585</v>
      </c>
      <c r="H195">
        <v>2</v>
      </c>
      <c r="I195" t="s">
        <v>586</v>
      </c>
      <c r="J195" t="s">
        <v>237</v>
      </c>
      <c r="K195">
        <v>1</v>
      </c>
      <c r="L195" t="s">
        <v>391</v>
      </c>
      <c r="M195">
        <v>25</v>
      </c>
      <c r="N195" s="178">
        <v>45108</v>
      </c>
      <c r="O195" s="178" t="s">
        <v>587</v>
      </c>
    </row>
    <row r="196" spans="1:18" x14ac:dyDescent="0.25">
      <c r="A196" t="str">
        <f>TableMCHRIGLO[[#This Row],[Study Package Code]]</f>
        <v>GLBL5003</v>
      </c>
      <c r="B196" s="1">
        <f>TableMCHRIGLO[[#This Row],[Ver]]</f>
        <v>1</v>
      </c>
      <c r="D196" t="str">
        <f>TableMCHRIGLO[[#This Row],[Structure Line]]</f>
        <v>Engaging Asia</v>
      </c>
      <c r="E196" s="115">
        <f>TableMCHRIGLO[[#This Row],[Credit Points]]</f>
        <v>25</v>
      </c>
      <c r="F196">
        <v>9</v>
      </c>
      <c r="G196" t="s">
        <v>585</v>
      </c>
      <c r="H196">
        <v>2</v>
      </c>
      <c r="I196" t="s">
        <v>586</v>
      </c>
      <c r="J196" t="s">
        <v>238</v>
      </c>
      <c r="K196">
        <v>1</v>
      </c>
      <c r="L196" t="s">
        <v>392</v>
      </c>
      <c r="M196">
        <v>25</v>
      </c>
      <c r="N196" s="178">
        <v>45108</v>
      </c>
      <c r="O196" s="178" t="s">
        <v>587</v>
      </c>
    </row>
    <row r="197" spans="1:18" x14ac:dyDescent="0.25">
      <c r="A197" t="str">
        <f>TableMCHRIGLO[[#This Row],[Study Package Code]]</f>
        <v>HRIG5002</v>
      </c>
      <c r="B197" s="1">
        <f>TableMCHRIGLO[[#This Row],[Ver]]</f>
        <v>2</v>
      </c>
      <c r="D197" t="str">
        <f>TableMCHRIGLO[[#This Row],[Structure Line]]</f>
        <v>International Human Rights Law and Practice</v>
      </c>
      <c r="E197" s="115">
        <f>TableMCHRIGLO[[#This Row],[Credit Points]]</f>
        <v>25</v>
      </c>
      <c r="F197">
        <v>10</v>
      </c>
      <c r="G197" t="s">
        <v>585</v>
      </c>
      <c r="H197">
        <v>2</v>
      </c>
      <c r="I197" t="s">
        <v>586</v>
      </c>
      <c r="J197" t="s">
        <v>230</v>
      </c>
      <c r="K197">
        <v>2</v>
      </c>
      <c r="L197" t="s">
        <v>402</v>
      </c>
      <c r="M197">
        <v>25</v>
      </c>
      <c r="N197" s="178">
        <v>45292</v>
      </c>
      <c r="O197" s="178" t="s">
        <v>587</v>
      </c>
    </row>
    <row r="198" spans="1:18" x14ac:dyDescent="0.25">
      <c r="A198" t="str">
        <f>TableMCHRIGLO[[#This Row],[Study Package Code]]</f>
        <v>AC-HRIGLO1</v>
      </c>
      <c r="B198" s="1">
        <f>TableMCHRIGLO[[#This Row],[Ver]]</f>
        <v>0</v>
      </c>
      <c r="D198" t="str">
        <f>TableMCHRIGLO[[#This Row],[Structure Line]]</f>
        <v>Choose HUMN6001 or COMS6004</v>
      </c>
      <c r="E198" s="115">
        <f>TableMCHRIGLO[[#This Row],[Credit Points]]</f>
        <v>50</v>
      </c>
      <c r="F198">
        <v>11</v>
      </c>
      <c r="G198" t="s">
        <v>590</v>
      </c>
      <c r="H198">
        <v>2</v>
      </c>
      <c r="I198" t="s">
        <v>586</v>
      </c>
      <c r="J198" t="s">
        <v>240</v>
      </c>
      <c r="K198">
        <v>0</v>
      </c>
      <c r="L198" t="s">
        <v>615</v>
      </c>
      <c r="M198">
        <v>50</v>
      </c>
      <c r="N198" s="178"/>
      <c r="O198" s="178"/>
    </row>
    <row r="199" spans="1:18" x14ac:dyDescent="0.25">
      <c r="A199" t="str">
        <f>TableMCHRIGLO[[#This Row],[Study Package Code]]</f>
        <v>AC-HRIGLO2</v>
      </c>
      <c r="B199" s="1">
        <f>TableMCHRIGLO[[#This Row],[Ver]]</f>
        <v>0</v>
      </c>
      <c r="D199" t="str">
        <f>TableMCHRIGLO[[#This Row],[Structure Line]]</f>
        <v>Choose HUMN6003 or COMS6002</v>
      </c>
      <c r="E199" s="115">
        <f>TableMCHRIGLO[[#This Row],[Credit Points]]</f>
        <v>50</v>
      </c>
      <c r="F199">
        <v>12</v>
      </c>
      <c r="G199" t="s">
        <v>590</v>
      </c>
      <c r="H199">
        <v>2</v>
      </c>
      <c r="I199" t="s">
        <v>586</v>
      </c>
      <c r="J199" t="s">
        <v>241</v>
      </c>
      <c r="K199">
        <v>0</v>
      </c>
      <c r="L199" t="s">
        <v>616</v>
      </c>
      <c r="M199">
        <v>50</v>
      </c>
      <c r="N199" s="178"/>
      <c r="O199" s="178"/>
    </row>
    <row r="200" spans="1:18" x14ac:dyDescent="0.25">
      <c r="A200" t="str">
        <f>TableMCHRIGLO[[#This Row],[Study Package Code]]</f>
        <v>Elective</v>
      </c>
      <c r="B200" s="1">
        <f>TableMCHRIGLO[[#This Row],[Ver]]</f>
        <v>0</v>
      </c>
      <c r="D200" t="str">
        <f>TableMCHRIGLO[[#This Row],[Structure Line]]</f>
        <v>Choose Electives</v>
      </c>
      <c r="E200" s="115">
        <f>TableMCHRIGLO[[#This Row],[Credit Points]]</f>
        <v>50</v>
      </c>
      <c r="F200">
        <v>13</v>
      </c>
      <c r="G200" t="s">
        <v>235</v>
      </c>
      <c r="H200">
        <v>0</v>
      </c>
      <c r="I200" t="s">
        <v>586</v>
      </c>
      <c r="J200" t="s">
        <v>235</v>
      </c>
      <c r="K200">
        <v>0</v>
      </c>
      <c r="L200" t="s">
        <v>617</v>
      </c>
      <c r="M200">
        <v>50</v>
      </c>
      <c r="N200" s="178"/>
      <c r="O200" s="178"/>
    </row>
    <row r="201" spans="1:18" x14ac:dyDescent="0.25">
      <c r="A201" t="str">
        <f>TableMCHRIGLO[[#This Row],[Study Package Code]]</f>
        <v>COMS6004</v>
      </c>
      <c r="B201" s="1">
        <f>TableMCHRIGLO[[#This Row],[Ver]]</f>
        <v>2</v>
      </c>
      <c r="D201" t="str">
        <f>TableMCHRIGLO[[#This Row],[Structure Line]]</f>
        <v>Masters Professional or Creative Project</v>
      </c>
      <c r="E201" s="115">
        <f>TableMCHRIGLO[[#This Row],[Credit Points]]</f>
        <v>50</v>
      </c>
      <c r="F201">
        <v>11</v>
      </c>
      <c r="G201" t="s">
        <v>590</v>
      </c>
      <c r="H201">
        <v>2</v>
      </c>
      <c r="I201" t="s">
        <v>586</v>
      </c>
      <c r="J201" t="s">
        <v>139</v>
      </c>
      <c r="K201">
        <v>2</v>
      </c>
      <c r="L201" t="s">
        <v>376</v>
      </c>
      <c r="M201">
        <v>50</v>
      </c>
      <c r="N201" s="178">
        <v>45292</v>
      </c>
      <c r="O201" s="178"/>
    </row>
    <row r="202" spans="1:18" x14ac:dyDescent="0.25">
      <c r="A202" t="str">
        <f>TableMCHRIGLO[[#This Row],[Study Package Code]]</f>
        <v>HUMN6001</v>
      </c>
      <c r="B202" s="1">
        <f>TableMCHRIGLO[[#This Row],[Ver]]</f>
        <v>1</v>
      </c>
      <c r="D202" t="str">
        <f>TableMCHRIGLO[[#This Row],[Structure Line]]</f>
        <v>Masters Research Project 1</v>
      </c>
      <c r="E202" s="115">
        <f>TableMCHRIGLO[[#This Row],[Credit Points]]</f>
        <v>50</v>
      </c>
      <c r="F202">
        <v>11</v>
      </c>
      <c r="G202" t="s">
        <v>590</v>
      </c>
      <c r="H202">
        <v>2</v>
      </c>
      <c r="I202" t="s">
        <v>586</v>
      </c>
      <c r="J202" t="s">
        <v>165</v>
      </c>
      <c r="K202">
        <v>1</v>
      </c>
      <c r="L202" t="s">
        <v>597</v>
      </c>
      <c r="M202">
        <v>50</v>
      </c>
      <c r="N202" s="178">
        <v>45292</v>
      </c>
      <c r="O202" s="178"/>
    </row>
    <row r="203" spans="1:18" x14ac:dyDescent="0.25">
      <c r="A203" t="str">
        <f>TableMCHRIGLO[[#This Row],[Study Package Code]]</f>
        <v>COMS6002</v>
      </c>
      <c r="B203" s="1">
        <f>TableMCHRIGLO[[#This Row],[Ver]]</f>
        <v>3</v>
      </c>
      <c r="D203" t="str">
        <f>TableMCHRIGLO[[#This Row],[Structure Line]]</f>
        <v>Masters Professional Experience</v>
      </c>
      <c r="E203" s="115">
        <f>TableMCHRIGLO[[#This Row],[Credit Points]]</f>
        <v>50</v>
      </c>
      <c r="F203">
        <v>12</v>
      </c>
      <c r="G203" t="s">
        <v>590</v>
      </c>
      <c r="H203">
        <v>2</v>
      </c>
      <c r="I203" t="s">
        <v>586</v>
      </c>
      <c r="J203" t="s">
        <v>161</v>
      </c>
      <c r="K203">
        <v>3</v>
      </c>
      <c r="L203" t="s">
        <v>369</v>
      </c>
      <c r="M203">
        <v>50</v>
      </c>
      <c r="N203" s="178">
        <v>45292</v>
      </c>
      <c r="O203" s="178"/>
    </row>
    <row r="204" spans="1:18" x14ac:dyDescent="0.25">
      <c r="A204" t="str">
        <f>TableMCHRIGLO[[#This Row],[Study Package Code]]</f>
        <v>HUMN6003</v>
      </c>
      <c r="B204" s="1">
        <f>TableMCHRIGLO[[#This Row],[Ver]]</f>
        <v>1</v>
      </c>
      <c r="D204" t="str">
        <f>TableMCHRIGLO[[#This Row],[Structure Line]]</f>
        <v>Masters Research Project 2</v>
      </c>
      <c r="E204" s="115">
        <f>TableMCHRIGLO[[#This Row],[Credit Points]]</f>
        <v>50</v>
      </c>
      <c r="F204">
        <v>12</v>
      </c>
      <c r="G204" t="s">
        <v>590</v>
      </c>
      <c r="H204">
        <v>2</v>
      </c>
      <c r="I204" t="s">
        <v>586</v>
      </c>
      <c r="J204" t="s">
        <v>144</v>
      </c>
      <c r="K204">
        <v>1</v>
      </c>
      <c r="L204" t="s">
        <v>594</v>
      </c>
      <c r="M204">
        <v>50</v>
      </c>
      <c r="N204" s="178">
        <v>45292</v>
      </c>
      <c r="O204" s="178"/>
    </row>
    <row r="205" spans="1:18" x14ac:dyDescent="0.25">
      <c r="B205"/>
      <c r="E205"/>
      <c r="F205" s="111"/>
      <c r="G205" s="112" t="s">
        <v>573</v>
      </c>
      <c r="H205" s="251">
        <v>45292</v>
      </c>
      <c r="I205" s="177"/>
      <c r="J205" s="253" t="s">
        <v>99</v>
      </c>
      <c r="K205" s="252" t="s">
        <v>64</v>
      </c>
      <c r="L205" s="177" t="s">
        <v>98</v>
      </c>
      <c r="N205" s="250" t="s">
        <v>574</v>
      </c>
      <c r="O205" s="178">
        <v>45338</v>
      </c>
    </row>
    <row r="206" spans="1:18" x14ac:dyDescent="0.25">
      <c r="A206" t="s">
        <v>0</v>
      </c>
      <c r="B206" s="1" t="s">
        <v>46</v>
      </c>
      <c r="C206" t="s">
        <v>575</v>
      </c>
      <c r="D206" t="s">
        <v>3</v>
      </c>
      <c r="E206" s="115" t="s">
        <v>576</v>
      </c>
      <c r="F206" t="s">
        <v>577</v>
      </c>
      <c r="G206" t="s">
        <v>578</v>
      </c>
      <c r="H206" t="s">
        <v>579</v>
      </c>
      <c r="I206" t="s">
        <v>21</v>
      </c>
      <c r="J206" t="s">
        <v>580</v>
      </c>
      <c r="K206" t="s">
        <v>1</v>
      </c>
      <c r="L206" t="s">
        <v>581</v>
      </c>
      <c r="M206" t="s">
        <v>47</v>
      </c>
      <c r="N206" t="s">
        <v>582</v>
      </c>
      <c r="O206" t="s">
        <v>583</v>
      </c>
      <c r="Q206" t="s">
        <v>584</v>
      </c>
      <c r="R206" t="s">
        <v>1</v>
      </c>
    </row>
    <row r="207" spans="1:18" x14ac:dyDescent="0.25">
      <c r="A207" t="str">
        <f>TableMCHRIGHT[[#This Row],[Study Package Code]]</f>
        <v>HRIG5003</v>
      </c>
      <c r="B207" s="1">
        <f>TableMCHRIGHT[[#This Row],[Ver]]</f>
        <v>2</v>
      </c>
      <c r="D207" t="str">
        <f>TableMCHRIGHT[[#This Row],[Structure Line]]</f>
        <v>Activism, Advocacy and Change</v>
      </c>
      <c r="E207" s="115">
        <f>TableMCHRIGHT[[#This Row],[Credit Points]]</f>
        <v>25</v>
      </c>
      <c r="F207">
        <v>1</v>
      </c>
      <c r="G207" t="s">
        <v>585</v>
      </c>
      <c r="H207">
        <v>1</v>
      </c>
      <c r="I207" t="s">
        <v>586</v>
      </c>
      <c r="J207" t="s">
        <v>232</v>
      </c>
      <c r="K207">
        <v>2</v>
      </c>
      <c r="L207" t="s">
        <v>405</v>
      </c>
      <c r="M207">
        <v>25</v>
      </c>
      <c r="N207" s="178">
        <v>45292</v>
      </c>
      <c r="O207" s="178" t="s">
        <v>587</v>
      </c>
      <c r="Q207" t="s">
        <v>228</v>
      </c>
      <c r="R207">
        <v>1</v>
      </c>
    </row>
    <row r="208" spans="1:18" x14ac:dyDescent="0.25">
      <c r="A208" t="str">
        <f>TableMCHRIGHT[[#This Row],[Study Package Code]]</f>
        <v>HRIG5000</v>
      </c>
      <c r="B208" s="1">
        <f>TableMCHRIGHT[[#This Row],[Ver]]</f>
        <v>2</v>
      </c>
      <c r="D208" t="str">
        <f>TableMCHRIGHT[[#This Row],[Structure Line]]</f>
        <v>Human Rights Education in Practice</v>
      </c>
      <c r="E208" s="115">
        <f>TableMCHRIGHT[[#This Row],[Credit Points]]</f>
        <v>25</v>
      </c>
      <c r="F208">
        <v>2</v>
      </c>
      <c r="G208" t="s">
        <v>585</v>
      </c>
      <c r="H208">
        <v>1</v>
      </c>
      <c r="I208" t="s">
        <v>586</v>
      </c>
      <c r="J208" t="s">
        <v>226</v>
      </c>
      <c r="K208">
        <v>2</v>
      </c>
      <c r="L208" t="s">
        <v>396</v>
      </c>
      <c r="M208">
        <v>25</v>
      </c>
      <c r="N208" s="178">
        <v>45292</v>
      </c>
      <c r="O208" s="178" t="s">
        <v>587</v>
      </c>
      <c r="Q208" t="s">
        <v>226</v>
      </c>
      <c r="R208">
        <v>1</v>
      </c>
    </row>
    <row r="209" spans="1:18" x14ac:dyDescent="0.25">
      <c r="A209" t="str">
        <f>TableMCHRIGHT[[#This Row],[Study Package Code]]</f>
        <v>HRIG5014</v>
      </c>
      <c r="B209" s="1">
        <f>TableMCHRIGHT[[#This Row],[Ver]]</f>
        <v>2</v>
      </c>
      <c r="D209" t="str">
        <f>TableMCHRIGHT[[#This Row],[Structure Line]]</f>
        <v>Dialogue across Cultures and Religions</v>
      </c>
      <c r="E209" s="115">
        <f>TableMCHRIGHT[[#This Row],[Credit Points]]</f>
        <v>25</v>
      </c>
      <c r="F209">
        <v>3</v>
      </c>
      <c r="G209" t="s">
        <v>585</v>
      </c>
      <c r="H209">
        <v>1</v>
      </c>
      <c r="I209" t="s">
        <v>586</v>
      </c>
      <c r="J209" t="s">
        <v>229</v>
      </c>
      <c r="K209">
        <v>2</v>
      </c>
      <c r="L209" t="s">
        <v>415</v>
      </c>
      <c r="M209">
        <v>25</v>
      </c>
      <c r="N209" s="178">
        <v>45292</v>
      </c>
      <c r="O209" s="178" t="s">
        <v>587</v>
      </c>
      <c r="Q209" t="s">
        <v>231</v>
      </c>
      <c r="R209">
        <v>1</v>
      </c>
    </row>
    <row r="210" spans="1:18" x14ac:dyDescent="0.25">
      <c r="A210" t="str">
        <f>TableMCHRIGHT[[#This Row],[Study Package Code]]</f>
        <v>HRIG5013</v>
      </c>
      <c r="B210" s="1">
        <f>TableMCHRIGHT[[#This Row],[Ver]]</f>
        <v>2</v>
      </c>
      <c r="D210" t="str">
        <f>TableMCHRIGHT[[#This Row],[Structure Line]]</f>
        <v>Introduction to Human Rights and Social Justice</v>
      </c>
      <c r="E210" s="115">
        <f>TableMCHRIGHT[[#This Row],[Credit Points]]</f>
        <v>25</v>
      </c>
      <c r="F210">
        <v>4</v>
      </c>
      <c r="G210" t="s">
        <v>585</v>
      </c>
      <c r="H210">
        <v>1</v>
      </c>
      <c r="I210" t="s">
        <v>586</v>
      </c>
      <c r="J210" t="s">
        <v>228</v>
      </c>
      <c r="K210">
        <v>2</v>
      </c>
      <c r="L210" t="s">
        <v>412</v>
      </c>
      <c r="M210">
        <v>25</v>
      </c>
      <c r="N210" s="178">
        <v>45292</v>
      </c>
      <c r="O210" s="178" t="s">
        <v>587</v>
      </c>
      <c r="Q210" t="s">
        <v>229</v>
      </c>
      <c r="R210">
        <v>1</v>
      </c>
    </row>
    <row r="211" spans="1:18" x14ac:dyDescent="0.25">
      <c r="A211" t="str">
        <f>TableMCHRIGHT[[#This Row],[Study Package Code]]</f>
        <v>HRIG5001</v>
      </c>
      <c r="B211" s="1">
        <f>TableMCHRIGHT[[#This Row],[Ver]]</f>
        <v>2</v>
      </c>
      <c r="D211" t="str">
        <f>TableMCHRIGHT[[#This Row],[Structure Line]]</f>
        <v>Social Justice and Development</v>
      </c>
      <c r="E211" s="115">
        <f>TableMCHRIGHT[[#This Row],[Credit Points]]</f>
        <v>25</v>
      </c>
      <c r="F211">
        <v>5</v>
      </c>
      <c r="G211" t="s">
        <v>585</v>
      </c>
      <c r="H211">
        <v>1</v>
      </c>
      <c r="I211" t="s">
        <v>586</v>
      </c>
      <c r="J211" t="s">
        <v>231</v>
      </c>
      <c r="K211">
        <v>2</v>
      </c>
      <c r="L211" t="s">
        <v>399</v>
      </c>
      <c r="M211">
        <v>25</v>
      </c>
      <c r="N211" s="178">
        <v>45292</v>
      </c>
      <c r="O211" s="178" t="s">
        <v>587</v>
      </c>
      <c r="Q211" t="s">
        <v>618</v>
      </c>
      <c r="R211">
        <v>1</v>
      </c>
    </row>
    <row r="212" spans="1:18" x14ac:dyDescent="0.25">
      <c r="A212" t="str">
        <f>TableMCHRIGHT[[#This Row],[Study Package Code]]</f>
        <v>AC-HRIGHT1</v>
      </c>
      <c r="B212" s="1">
        <f>TableMCHRIGHT[[#This Row],[Ver]]</f>
        <v>0</v>
      </c>
      <c r="D212" t="str">
        <f>TableMCHRIGHT[[#This Row],[Structure Line]]</f>
        <v>Choose HUMN6001 or COMS6004. Choose HUMN6001 to enrol if want to complete HUMN6003, as it is the pre-requisite to HUMN6003. Alternatively, students may choose to complete the Alternate Cores COMS6004 and COMS6002.</v>
      </c>
      <c r="E212" s="115">
        <f>TableMCHRIGHT[[#This Row],[Credit Points]]</f>
        <v>50</v>
      </c>
      <c r="F212">
        <v>6</v>
      </c>
      <c r="G212" t="s">
        <v>590</v>
      </c>
      <c r="H212">
        <v>1</v>
      </c>
      <c r="I212" t="s">
        <v>586</v>
      </c>
      <c r="J212" t="s">
        <v>233</v>
      </c>
      <c r="K212">
        <v>0</v>
      </c>
      <c r="L212" t="s">
        <v>619</v>
      </c>
      <c r="M212">
        <v>50</v>
      </c>
      <c r="N212" s="178"/>
      <c r="O212" s="178"/>
      <c r="Q212" t="s">
        <v>620</v>
      </c>
      <c r="R212">
        <v>1</v>
      </c>
    </row>
    <row r="213" spans="1:18" x14ac:dyDescent="0.25">
      <c r="A213" t="str">
        <f>TableMCHRIGHT[[#This Row],[Study Package Code]]</f>
        <v>HRIG5002</v>
      </c>
      <c r="B213" s="1">
        <f>TableMCHRIGHT[[#This Row],[Ver]]</f>
        <v>2</v>
      </c>
      <c r="D213" t="str">
        <f>TableMCHRIGHT[[#This Row],[Structure Line]]</f>
        <v>International Human Rights Law and Practice</v>
      </c>
      <c r="E213" s="115">
        <f>TableMCHRIGHT[[#This Row],[Credit Points]]</f>
        <v>25</v>
      </c>
      <c r="F213">
        <v>7</v>
      </c>
      <c r="G213" t="s">
        <v>585</v>
      </c>
      <c r="H213">
        <v>2</v>
      </c>
      <c r="I213" t="s">
        <v>586</v>
      </c>
      <c r="J213" t="s">
        <v>230</v>
      </c>
      <c r="K213">
        <v>2</v>
      </c>
      <c r="L213" t="s">
        <v>402</v>
      </c>
      <c r="M213">
        <v>25</v>
      </c>
      <c r="N213" s="178">
        <v>45292</v>
      </c>
      <c r="O213" s="178" t="s">
        <v>587</v>
      </c>
      <c r="Q213" t="s">
        <v>230</v>
      </c>
      <c r="R213">
        <v>1</v>
      </c>
    </row>
    <row r="214" spans="1:18" x14ac:dyDescent="0.25">
      <c r="A214" t="str">
        <f>TableMCHRIGHT[[#This Row],[Study Package Code]]</f>
        <v>AC-HRIGHT2</v>
      </c>
      <c r="B214" s="1">
        <f>TableMCHRIGHT[[#This Row],[Ver]]</f>
        <v>0</v>
      </c>
      <c r="D214" t="str">
        <f>TableMCHRIGHT[[#This Row],[Structure Line]]</f>
        <v>Choose HUMN6003 or COMS6002. HUMN6001 must be completed prior to enrolling into HUMN6003. Alternatively, students may choose to complete the Alternate Cores COMS6004 and COMS6002.</v>
      </c>
      <c r="E214" s="115">
        <f>TableMCHRIGHT[[#This Row],[Credit Points]]</f>
        <v>50</v>
      </c>
      <c r="F214">
        <v>8</v>
      </c>
      <c r="G214" t="s">
        <v>590</v>
      </c>
      <c r="H214">
        <v>2</v>
      </c>
      <c r="I214" t="s">
        <v>586</v>
      </c>
      <c r="J214" t="s">
        <v>239</v>
      </c>
      <c r="K214">
        <v>0</v>
      </c>
      <c r="L214" t="s">
        <v>621</v>
      </c>
      <c r="M214">
        <v>50</v>
      </c>
      <c r="N214" s="178"/>
      <c r="O214" s="178"/>
      <c r="Q214" t="s">
        <v>232</v>
      </c>
      <c r="R214">
        <v>1</v>
      </c>
    </row>
    <row r="215" spans="1:18" x14ac:dyDescent="0.25">
      <c r="A215" t="str">
        <f>TableMCHRIGHT[[#This Row],[Study Package Code]]</f>
        <v>Elective</v>
      </c>
      <c r="B215" s="1">
        <f>TableMCHRIGHT[[#This Row],[Ver]]</f>
        <v>0</v>
      </c>
      <c r="D215" t="str">
        <f>TableMCHRIGHT[[#This Row],[Structure Line]]</f>
        <v>Choose Electives</v>
      </c>
      <c r="E215" s="115">
        <f>TableMCHRIGHT[[#This Row],[Credit Points]]</f>
        <v>50</v>
      </c>
      <c r="F215">
        <v>9</v>
      </c>
      <c r="G215" t="s">
        <v>235</v>
      </c>
      <c r="H215">
        <v>0</v>
      </c>
      <c r="I215" t="s">
        <v>586</v>
      </c>
      <c r="J215" t="s">
        <v>235</v>
      </c>
      <c r="K215">
        <v>0</v>
      </c>
      <c r="L215" t="s">
        <v>617</v>
      </c>
      <c r="M215">
        <v>50</v>
      </c>
      <c r="N215" s="178"/>
      <c r="O215" s="178"/>
      <c r="Q215" t="s">
        <v>235</v>
      </c>
      <c r="R215">
        <v>0</v>
      </c>
    </row>
    <row r="216" spans="1:18" x14ac:dyDescent="0.25">
      <c r="A216" t="str">
        <f>TableMCHRIGHT[[#This Row],[Study Package Code]]</f>
        <v>COMS6004</v>
      </c>
      <c r="B216" s="1">
        <f>TableMCHRIGHT[[#This Row],[Ver]]</f>
        <v>2</v>
      </c>
      <c r="D216" t="str">
        <f>TableMCHRIGHT[[#This Row],[Structure Line]]</f>
        <v>Masters Professional or Creative Project</v>
      </c>
      <c r="E216" s="115">
        <f>TableMCHRIGHT[[#This Row],[Credit Points]]</f>
        <v>50</v>
      </c>
      <c r="F216">
        <v>6</v>
      </c>
      <c r="G216" t="s">
        <v>590</v>
      </c>
      <c r="H216">
        <v>1</v>
      </c>
      <c r="I216" t="s">
        <v>586</v>
      </c>
      <c r="J216" t="s">
        <v>139</v>
      </c>
      <c r="K216">
        <v>2</v>
      </c>
      <c r="L216" t="s">
        <v>376</v>
      </c>
      <c r="M216">
        <v>50</v>
      </c>
      <c r="N216" s="178">
        <v>45292</v>
      </c>
      <c r="O216" s="178"/>
      <c r="Q216" t="s">
        <v>235</v>
      </c>
      <c r="R216">
        <v>0</v>
      </c>
    </row>
    <row r="217" spans="1:18" x14ac:dyDescent="0.25">
      <c r="A217" t="str">
        <f>TableMCHRIGHT[[#This Row],[Study Package Code]]</f>
        <v>HUMN6001</v>
      </c>
      <c r="B217" s="1">
        <f>TableMCHRIGHT[[#This Row],[Ver]]</f>
        <v>1</v>
      </c>
      <c r="D217" t="str">
        <f>TableMCHRIGHT[[#This Row],[Structure Line]]</f>
        <v>Masters Research Project 1</v>
      </c>
      <c r="E217" s="115">
        <f>TableMCHRIGHT[[#This Row],[Credit Points]]</f>
        <v>50</v>
      </c>
      <c r="F217">
        <v>6</v>
      </c>
      <c r="G217" t="s">
        <v>590</v>
      </c>
      <c r="H217">
        <v>1</v>
      </c>
      <c r="I217" t="s">
        <v>586</v>
      </c>
      <c r="J217" t="s">
        <v>165</v>
      </c>
      <c r="K217">
        <v>1</v>
      </c>
      <c r="L217" t="s">
        <v>597</v>
      </c>
      <c r="M217">
        <v>50</v>
      </c>
      <c r="N217" s="178">
        <v>45292</v>
      </c>
      <c r="O217" s="178"/>
    </row>
    <row r="218" spans="1:18" x14ac:dyDescent="0.25">
      <c r="A218" t="str">
        <f>TableMCHRIGHT[[#This Row],[Study Package Code]]</f>
        <v>COMS6002</v>
      </c>
      <c r="B218" s="1">
        <f>TableMCHRIGHT[[#This Row],[Ver]]</f>
        <v>3</v>
      </c>
      <c r="D218" t="str">
        <f>TableMCHRIGHT[[#This Row],[Structure Line]]</f>
        <v>Masters Professional Experience</v>
      </c>
      <c r="E218" s="115">
        <f>TableMCHRIGHT[[#This Row],[Credit Points]]</f>
        <v>50</v>
      </c>
      <c r="F218">
        <v>8</v>
      </c>
      <c r="G218" t="s">
        <v>590</v>
      </c>
      <c r="H218">
        <v>2</v>
      </c>
      <c r="I218" t="s">
        <v>586</v>
      </c>
      <c r="J218" t="s">
        <v>161</v>
      </c>
      <c r="K218">
        <v>3</v>
      </c>
      <c r="L218" t="s">
        <v>369</v>
      </c>
      <c r="M218">
        <v>50</v>
      </c>
      <c r="N218" s="178">
        <v>45292</v>
      </c>
      <c r="O218" s="178"/>
    </row>
    <row r="219" spans="1:18" x14ac:dyDescent="0.25">
      <c r="A219" t="str">
        <f>TableMCHRIGHT[[#This Row],[Study Package Code]]</f>
        <v>HUMN6003</v>
      </c>
      <c r="B219" s="1">
        <f>TableMCHRIGHT[[#This Row],[Ver]]</f>
        <v>1</v>
      </c>
      <c r="D219" t="str">
        <f>TableMCHRIGHT[[#This Row],[Structure Line]]</f>
        <v>Masters Research Project 2</v>
      </c>
      <c r="E219" s="115">
        <f>TableMCHRIGHT[[#This Row],[Credit Points]]</f>
        <v>50</v>
      </c>
      <c r="F219">
        <v>8</v>
      </c>
      <c r="G219" t="s">
        <v>590</v>
      </c>
      <c r="H219">
        <v>2</v>
      </c>
      <c r="I219" t="s">
        <v>586</v>
      </c>
      <c r="J219" t="s">
        <v>144</v>
      </c>
      <c r="K219">
        <v>1</v>
      </c>
      <c r="L219" t="s">
        <v>594</v>
      </c>
      <c r="M219">
        <v>50</v>
      </c>
      <c r="N219" s="178">
        <v>45292</v>
      </c>
      <c r="O219" s="178"/>
    </row>
    <row r="220" spans="1:18" x14ac:dyDescent="0.25">
      <c r="B220"/>
      <c r="E220"/>
      <c r="F220" s="111"/>
      <c r="G220" s="112" t="s">
        <v>573</v>
      </c>
      <c r="H220" s="265">
        <v>42005</v>
      </c>
      <c r="I220" s="177"/>
      <c r="J220" s="253" t="s">
        <v>91</v>
      </c>
      <c r="K220" s="266" t="s">
        <v>80</v>
      </c>
      <c r="L220" s="177" t="s">
        <v>90</v>
      </c>
      <c r="M220" s="177"/>
      <c r="N220" s="250" t="s">
        <v>574</v>
      </c>
      <c r="O220" s="178">
        <v>45338</v>
      </c>
    </row>
    <row r="221" spans="1:18" x14ac:dyDescent="0.25">
      <c r="A221" t="s">
        <v>0</v>
      </c>
      <c r="B221" s="1" t="s">
        <v>46</v>
      </c>
      <c r="C221" t="s">
        <v>575</v>
      </c>
      <c r="D221" t="s">
        <v>3</v>
      </c>
      <c r="E221" s="115" t="s">
        <v>576</v>
      </c>
      <c r="F221" t="s">
        <v>577</v>
      </c>
      <c r="G221" t="s">
        <v>578</v>
      </c>
      <c r="H221" t="s">
        <v>579</v>
      </c>
      <c r="I221" t="s">
        <v>21</v>
      </c>
      <c r="J221" t="s">
        <v>580</v>
      </c>
      <c r="K221" t="s">
        <v>1</v>
      </c>
      <c r="L221" t="s">
        <v>581</v>
      </c>
      <c r="M221" t="s">
        <v>47</v>
      </c>
      <c r="N221" t="s">
        <v>582</v>
      </c>
      <c r="O221" t="s">
        <v>583</v>
      </c>
      <c r="Q221" t="s">
        <v>584</v>
      </c>
      <c r="R221" t="s">
        <v>1</v>
      </c>
    </row>
    <row r="222" spans="1:18" x14ac:dyDescent="0.25">
      <c r="A222" t="str">
        <f>TableGDHRIGHT[[#This Row],[Study Package Code]]</f>
        <v>HRIG5013</v>
      </c>
      <c r="B222" s="1">
        <f>TableGDHRIGHT[[#This Row],[Ver]]</f>
        <v>2</v>
      </c>
      <c r="D222" t="str">
        <f>TableGDHRIGHT[[#This Row],[Structure Line]]</f>
        <v>Introduction to Human Rights and Social Justice</v>
      </c>
      <c r="E222" s="115">
        <f>TableGDHRIGHT[[#This Row],[Credit Points]]</f>
        <v>25</v>
      </c>
      <c r="F222">
        <v>1</v>
      </c>
      <c r="G222" t="s">
        <v>585</v>
      </c>
      <c r="H222">
        <v>1</v>
      </c>
      <c r="I222" t="s">
        <v>339</v>
      </c>
      <c r="J222" t="s">
        <v>228</v>
      </c>
      <c r="K222">
        <v>2</v>
      </c>
      <c r="L222" t="s">
        <v>412</v>
      </c>
      <c r="M222">
        <v>25</v>
      </c>
      <c r="N222" s="178">
        <v>45292</v>
      </c>
      <c r="O222" s="178" t="s">
        <v>587</v>
      </c>
      <c r="Q222" t="s">
        <v>228</v>
      </c>
      <c r="R222">
        <v>1</v>
      </c>
    </row>
    <row r="223" spans="1:18" x14ac:dyDescent="0.25">
      <c r="A223" t="str">
        <f>TableGDHRIGHT[[#This Row],[Study Package Code]]</f>
        <v>HRIG5000</v>
      </c>
      <c r="B223" s="1">
        <f>TableGDHRIGHT[[#This Row],[Ver]]</f>
        <v>2</v>
      </c>
      <c r="D223" t="str">
        <f>TableGDHRIGHT[[#This Row],[Structure Line]]</f>
        <v>Human Rights Education in Practice</v>
      </c>
      <c r="E223" s="115">
        <f>TableGDHRIGHT[[#This Row],[Credit Points]]</f>
        <v>25</v>
      </c>
      <c r="F223">
        <v>2</v>
      </c>
      <c r="G223" t="s">
        <v>585</v>
      </c>
      <c r="H223">
        <v>1</v>
      </c>
      <c r="I223" t="s">
        <v>339</v>
      </c>
      <c r="J223" t="s">
        <v>226</v>
      </c>
      <c r="K223">
        <v>2</v>
      </c>
      <c r="L223" t="s">
        <v>396</v>
      </c>
      <c r="M223">
        <v>25</v>
      </c>
      <c r="N223" s="178">
        <v>45292</v>
      </c>
      <c r="O223" s="178" t="s">
        <v>587</v>
      </c>
      <c r="Q223" t="s">
        <v>226</v>
      </c>
      <c r="R223">
        <v>1</v>
      </c>
    </row>
    <row r="224" spans="1:18" x14ac:dyDescent="0.25">
      <c r="A224" t="str">
        <f>TableGDHRIGHT[[#This Row],[Study Package Code]]</f>
        <v>HRIG5014</v>
      </c>
      <c r="B224" s="1">
        <f>TableGDHRIGHT[[#This Row],[Ver]]</f>
        <v>2</v>
      </c>
      <c r="D224" t="str">
        <f>TableGDHRIGHT[[#This Row],[Structure Line]]</f>
        <v>Dialogue across Cultures and Religions</v>
      </c>
      <c r="E224" s="115">
        <f>TableGDHRIGHT[[#This Row],[Credit Points]]</f>
        <v>25</v>
      </c>
      <c r="F224">
        <v>3</v>
      </c>
      <c r="G224" t="s">
        <v>585</v>
      </c>
      <c r="H224">
        <v>1</v>
      </c>
      <c r="I224" t="s">
        <v>340</v>
      </c>
      <c r="J224" t="s">
        <v>229</v>
      </c>
      <c r="K224">
        <v>2</v>
      </c>
      <c r="L224" t="s">
        <v>415</v>
      </c>
      <c r="M224">
        <v>25</v>
      </c>
      <c r="N224" s="178">
        <v>45292</v>
      </c>
      <c r="O224" s="178" t="s">
        <v>587</v>
      </c>
      <c r="Q224" t="s">
        <v>229</v>
      </c>
      <c r="R224">
        <v>1</v>
      </c>
    </row>
    <row r="225" spans="1:18" x14ac:dyDescent="0.25">
      <c r="A225" t="str">
        <f>TableGDHRIGHT[[#This Row],[Study Package Code]]</f>
        <v>HRIG5002</v>
      </c>
      <c r="B225" s="1">
        <f>TableGDHRIGHT[[#This Row],[Ver]]</f>
        <v>2</v>
      </c>
      <c r="D225" t="str">
        <f>TableGDHRIGHT[[#This Row],[Structure Line]]</f>
        <v>International Human Rights Law and Practice</v>
      </c>
      <c r="E225" s="115">
        <f>TableGDHRIGHT[[#This Row],[Credit Points]]</f>
        <v>25</v>
      </c>
      <c r="F225">
        <v>4</v>
      </c>
      <c r="G225" t="s">
        <v>585</v>
      </c>
      <c r="H225">
        <v>1</v>
      </c>
      <c r="I225" t="s">
        <v>340</v>
      </c>
      <c r="J225" t="s">
        <v>230</v>
      </c>
      <c r="K225">
        <v>2</v>
      </c>
      <c r="L225" t="s">
        <v>402</v>
      </c>
      <c r="M225">
        <v>25</v>
      </c>
      <c r="N225" s="178">
        <v>45292</v>
      </c>
      <c r="O225" s="178" t="s">
        <v>587</v>
      </c>
      <c r="Q225" t="s">
        <v>230</v>
      </c>
      <c r="R225">
        <v>1</v>
      </c>
    </row>
    <row r="226" spans="1:18" x14ac:dyDescent="0.25">
      <c r="A226" t="str">
        <f>TableGDHRIGHT[[#This Row],[Study Package Code]]</f>
        <v>HRIG5001</v>
      </c>
      <c r="B226" s="1">
        <f>TableGDHRIGHT[[#This Row],[Ver]]</f>
        <v>2</v>
      </c>
      <c r="D226" t="str">
        <f>TableGDHRIGHT[[#This Row],[Structure Line]]</f>
        <v>Social Justice and Development</v>
      </c>
      <c r="E226" s="115">
        <f>TableGDHRIGHT[[#This Row],[Credit Points]]</f>
        <v>25</v>
      </c>
      <c r="F226">
        <v>5</v>
      </c>
      <c r="G226" t="s">
        <v>585</v>
      </c>
      <c r="H226">
        <v>1</v>
      </c>
      <c r="I226" t="s">
        <v>339</v>
      </c>
      <c r="J226" t="s">
        <v>231</v>
      </c>
      <c r="K226">
        <v>2</v>
      </c>
      <c r="L226" t="s">
        <v>399</v>
      </c>
      <c r="M226">
        <v>25</v>
      </c>
      <c r="N226" s="178">
        <v>45292</v>
      </c>
      <c r="O226" s="178" t="s">
        <v>587</v>
      </c>
      <c r="Q226" t="s">
        <v>231</v>
      </c>
      <c r="R226">
        <v>1</v>
      </c>
    </row>
    <row r="227" spans="1:18" x14ac:dyDescent="0.25">
      <c r="A227" t="str">
        <f>TableGDHRIGHT[[#This Row],[Study Package Code]]</f>
        <v>HRIG5003</v>
      </c>
      <c r="B227" s="1">
        <f>TableGDHRIGHT[[#This Row],[Ver]]</f>
        <v>2</v>
      </c>
      <c r="D227" t="str">
        <f>TableGDHRIGHT[[#This Row],[Structure Line]]</f>
        <v>Activism, Advocacy and Change</v>
      </c>
      <c r="E227" s="115">
        <f>TableGDHRIGHT[[#This Row],[Credit Points]]</f>
        <v>25</v>
      </c>
      <c r="F227">
        <v>6</v>
      </c>
      <c r="G227" t="s">
        <v>585</v>
      </c>
      <c r="H227">
        <v>1</v>
      </c>
      <c r="I227" t="s">
        <v>340</v>
      </c>
      <c r="J227" t="s">
        <v>232</v>
      </c>
      <c r="K227">
        <v>2</v>
      </c>
      <c r="L227" t="s">
        <v>405</v>
      </c>
      <c r="M227">
        <v>25</v>
      </c>
      <c r="N227" s="178">
        <v>45292</v>
      </c>
      <c r="O227" s="178" t="s">
        <v>587</v>
      </c>
      <c r="Q227" t="s">
        <v>232</v>
      </c>
      <c r="R227">
        <v>1</v>
      </c>
    </row>
    <row r="228" spans="1:18" x14ac:dyDescent="0.25">
      <c r="A228" t="str">
        <f>TableGDHRIGHT[[#This Row],[Study Package Code]]</f>
        <v>Elective</v>
      </c>
      <c r="B228" s="1">
        <f>TableGDHRIGHT[[#This Row],[Ver]]</f>
        <v>0</v>
      </c>
      <c r="D228" t="str">
        <f>TableGDHRIGHT[[#This Row],[Structure Line]]</f>
        <v>Select postgraduate units to the total value of:</v>
      </c>
      <c r="E228" s="115">
        <f>TableGDHRIGHT[[#This Row],[Credit Points]]</f>
        <v>25</v>
      </c>
      <c r="F228">
        <v>7</v>
      </c>
      <c r="G228" t="s">
        <v>235</v>
      </c>
      <c r="H228">
        <v>1</v>
      </c>
      <c r="I228" t="s">
        <v>340</v>
      </c>
      <c r="J228" t="s">
        <v>235</v>
      </c>
      <c r="K228">
        <v>0</v>
      </c>
      <c r="L228" t="s">
        <v>622</v>
      </c>
      <c r="M228">
        <v>25</v>
      </c>
      <c r="N228" s="178"/>
      <c r="O228" s="178"/>
      <c r="Q228" t="s">
        <v>235</v>
      </c>
      <c r="R228">
        <v>0</v>
      </c>
    </row>
    <row r="229" spans="1:18" x14ac:dyDescent="0.25">
      <c r="A229" t="str">
        <f>TableGDHRIGHT[[#This Row],[Study Package Code]]</f>
        <v>Elective</v>
      </c>
      <c r="B229" s="1">
        <f>TableGDHRIGHT[[#This Row],[Ver]]</f>
        <v>0</v>
      </c>
      <c r="D229" t="str">
        <f>TableGDHRIGHT[[#This Row],[Structure Line]]</f>
        <v>Select postgraduate units to the total value of:</v>
      </c>
      <c r="E229" s="115">
        <f>TableGDHRIGHT[[#This Row],[Credit Points]]</f>
        <v>25</v>
      </c>
      <c r="F229">
        <v>8</v>
      </c>
      <c r="G229" t="s">
        <v>235</v>
      </c>
      <c r="H229">
        <v>1</v>
      </c>
      <c r="I229" t="s">
        <v>339</v>
      </c>
      <c r="J229" t="s">
        <v>235</v>
      </c>
      <c r="K229">
        <v>0</v>
      </c>
      <c r="L229" t="s">
        <v>622</v>
      </c>
      <c r="M229">
        <v>25</v>
      </c>
      <c r="N229" s="178"/>
      <c r="O229" s="178"/>
      <c r="Q229" t="s">
        <v>235</v>
      </c>
      <c r="R229">
        <v>0</v>
      </c>
    </row>
    <row r="230" spans="1:18" x14ac:dyDescent="0.25">
      <c r="B230"/>
      <c r="E230"/>
      <c r="F230" s="111"/>
      <c r="G230" s="112" t="s">
        <v>573</v>
      </c>
      <c r="H230" s="265">
        <v>42005</v>
      </c>
      <c r="I230" s="177"/>
      <c r="J230" s="253" t="s">
        <v>87</v>
      </c>
      <c r="K230" s="266" t="s">
        <v>80</v>
      </c>
      <c r="L230" s="177" t="s">
        <v>86</v>
      </c>
      <c r="M230" s="177"/>
      <c r="N230" s="250" t="s">
        <v>574</v>
      </c>
      <c r="O230" s="178">
        <v>45338</v>
      </c>
    </row>
    <row r="231" spans="1:18" x14ac:dyDescent="0.25">
      <c r="A231" t="s">
        <v>0</v>
      </c>
      <c r="B231" s="1" t="s">
        <v>46</v>
      </c>
      <c r="C231" t="s">
        <v>575</v>
      </c>
      <c r="D231" t="s">
        <v>3</v>
      </c>
      <c r="E231" s="115" t="s">
        <v>576</v>
      </c>
      <c r="F231" t="s">
        <v>577</v>
      </c>
      <c r="G231" t="s">
        <v>578</v>
      </c>
      <c r="H231" t="s">
        <v>579</v>
      </c>
      <c r="I231" t="s">
        <v>21</v>
      </c>
      <c r="J231" t="s">
        <v>580</v>
      </c>
      <c r="K231" t="s">
        <v>1</v>
      </c>
      <c r="L231" t="s">
        <v>581</v>
      </c>
      <c r="M231" t="s">
        <v>47</v>
      </c>
      <c r="N231" t="s">
        <v>582</v>
      </c>
      <c r="O231" t="s">
        <v>583</v>
      </c>
      <c r="Q231" t="s">
        <v>584</v>
      </c>
      <c r="R231" t="s">
        <v>1</v>
      </c>
    </row>
    <row r="232" spans="1:18" x14ac:dyDescent="0.25">
      <c r="A232" t="str">
        <f>TableGCHRIGHT[[#This Row],[Study Package Code]]</f>
        <v>Opt-HRIGHT</v>
      </c>
      <c r="B232" s="1">
        <f>TableGCHRIGHT[[#This Row],[Ver]]</f>
        <v>0</v>
      </c>
      <c r="D232" t="str">
        <f>TableGCHRIGHT[[#This Row],[Structure Line]]</f>
        <v>Choose Options</v>
      </c>
      <c r="E232" s="115">
        <f>TableGCHRIGHT[[#This Row],[Credit Points]]</f>
        <v>100</v>
      </c>
      <c r="F232">
        <v>1</v>
      </c>
      <c r="G232" t="s">
        <v>335</v>
      </c>
      <c r="H232">
        <v>0</v>
      </c>
      <c r="I232" t="s">
        <v>586</v>
      </c>
      <c r="J232" t="s">
        <v>501</v>
      </c>
      <c r="K232">
        <v>0</v>
      </c>
      <c r="L232" t="s">
        <v>592</v>
      </c>
      <c r="M232">
        <v>100</v>
      </c>
      <c r="N232" s="178"/>
      <c r="O232" s="178"/>
      <c r="Q232" t="s">
        <v>623</v>
      </c>
      <c r="R232">
        <v>0</v>
      </c>
    </row>
    <row r="233" spans="1:18" x14ac:dyDescent="0.25">
      <c r="A233" t="str">
        <f>TableGCHRIGHT[[#This Row],[Study Package Code]]</f>
        <v>HRIG5000</v>
      </c>
      <c r="B233" s="1">
        <f>TableGCHRIGHT[[#This Row],[Ver]]</f>
        <v>2</v>
      </c>
      <c r="D233" t="str">
        <f>TableGCHRIGHT[[#This Row],[Structure Line]]</f>
        <v>Human Rights Education in Practice</v>
      </c>
      <c r="E233" s="115">
        <f>TableGCHRIGHT[[#This Row],[Credit Points]]</f>
        <v>25</v>
      </c>
      <c r="F233">
        <v>1</v>
      </c>
      <c r="G233" t="s">
        <v>335</v>
      </c>
      <c r="H233">
        <v>0</v>
      </c>
      <c r="I233" t="s">
        <v>586</v>
      </c>
      <c r="J233" t="s">
        <v>226</v>
      </c>
      <c r="K233">
        <v>2</v>
      </c>
      <c r="L233" t="s">
        <v>396</v>
      </c>
      <c r="M233">
        <v>25</v>
      </c>
      <c r="N233" s="178">
        <v>45292</v>
      </c>
      <c r="O233" s="178"/>
      <c r="Q233" t="s">
        <v>226</v>
      </c>
      <c r="R233">
        <v>1</v>
      </c>
    </row>
    <row r="234" spans="1:18" x14ac:dyDescent="0.25">
      <c r="A234" t="str">
        <f>TableGCHRIGHT[[#This Row],[Study Package Code]]</f>
        <v>HRIG5001</v>
      </c>
      <c r="B234" s="1">
        <f>TableGCHRIGHT[[#This Row],[Ver]]</f>
        <v>2</v>
      </c>
      <c r="D234" t="str">
        <f>TableGCHRIGHT[[#This Row],[Structure Line]]</f>
        <v>Social Justice and Development</v>
      </c>
      <c r="E234" s="115">
        <f>TableGCHRIGHT[[#This Row],[Credit Points]]</f>
        <v>25</v>
      </c>
      <c r="F234">
        <v>1</v>
      </c>
      <c r="G234" t="s">
        <v>335</v>
      </c>
      <c r="H234">
        <v>0</v>
      </c>
      <c r="I234" t="s">
        <v>586</v>
      </c>
      <c r="J234" t="s">
        <v>231</v>
      </c>
      <c r="K234">
        <v>2</v>
      </c>
      <c r="L234" t="s">
        <v>399</v>
      </c>
      <c r="M234">
        <v>25</v>
      </c>
      <c r="N234" s="178">
        <v>45292</v>
      </c>
      <c r="O234" s="178"/>
      <c r="Q234" t="s">
        <v>231</v>
      </c>
      <c r="R234">
        <v>1</v>
      </c>
    </row>
    <row r="235" spans="1:18" x14ac:dyDescent="0.25">
      <c r="A235" t="str">
        <f>TableGCHRIGHT[[#This Row],[Study Package Code]]</f>
        <v>HRIG5002</v>
      </c>
      <c r="B235" s="1">
        <f>TableGCHRIGHT[[#This Row],[Ver]]</f>
        <v>2</v>
      </c>
      <c r="D235" t="str">
        <f>TableGCHRIGHT[[#This Row],[Structure Line]]</f>
        <v>International Human Rights Law and Practice</v>
      </c>
      <c r="E235" s="115">
        <f>TableGCHRIGHT[[#This Row],[Credit Points]]</f>
        <v>25</v>
      </c>
      <c r="F235">
        <v>1</v>
      </c>
      <c r="G235" t="s">
        <v>335</v>
      </c>
      <c r="H235">
        <v>0</v>
      </c>
      <c r="I235" t="s">
        <v>586</v>
      </c>
      <c r="J235" t="s">
        <v>230</v>
      </c>
      <c r="K235">
        <v>2</v>
      </c>
      <c r="L235" t="s">
        <v>402</v>
      </c>
      <c r="M235">
        <v>25</v>
      </c>
      <c r="N235" s="178">
        <v>45292</v>
      </c>
      <c r="O235" s="178"/>
      <c r="Q235" t="s">
        <v>230</v>
      </c>
      <c r="R235">
        <v>1</v>
      </c>
    </row>
    <row r="236" spans="1:18" x14ac:dyDescent="0.25">
      <c r="A236" t="str">
        <f>TableGCHRIGHT[[#This Row],[Study Package Code]]</f>
        <v>HRIG5003</v>
      </c>
      <c r="B236" s="1">
        <f>TableGCHRIGHT[[#This Row],[Ver]]</f>
        <v>2</v>
      </c>
      <c r="D236" t="str">
        <f>TableGCHRIGHT[[#This Row],[Structure Line]]</f>
        <v>Activism, Advocacy and Change</v>
      </c>
      <c r="E236" s="115">
        <f>TableGCHRIGHT[[#This Row],[Credit Points]]</f>
        <v>25</v>
      </c>
      <c r="F236">
        <v>1</v>
      </c>
      <c r="G236" t="s">
        <v>335</v>
      </c>
      <c r="H236">
        <v>0</v>
      </c>
      <c r="I236" t="s">
        <v>586</v>
      </c>
      <c r="J236" t="s">
        <v>232</v>
      </c>
      <c r="K236">
        <v>2</v>
      </c>
      <c r="L236" t="s">
        <v>405</v>
      </c>
      <c r="M236">
        <v>25</v>
      </c>
      <c r="N236" s="178">
        <v>45292</v>
      </c>
      <c r="O236" s="178"/>
      <c r="Q236" t="s">
        <v>232</v>
      </c>
      <c r="R236">
        <v>1</v>
      </c>
    </row>
    <row r="237" spans="1:18" x14ac:dyDescent="0.25">
      <c r="A237" t="str">
        <f>TableGCHRIGHT[[#This Row],[Study Package Code]]</f>
        <v>HRIG5004</v>
      </c>
      <c r="B237" s="1">
        <f>TableGCHRIGHT[[#This Row],[Ver]]</f>
        <v>3</v>
      </c>
      <c r="D237" t="str">
        <f>TableGCHRIGHT[[#This Row],[Structure Line]]</f>
        <v>Forced Migration and Refugee Rights</v>
      </c>
      <c r="E237" s="115">
        <f>TableGCHRIGHT[[#This Row],[Credit Points]]</f>
        <v>25</v>
      </c>
      <c r="F237">
        <v>1</v>
      </c>
      <c r="G237" t="s">
        <v>335</v>
      </c>
      <c r="H237">
        <v>0</v>
      </c>
      <c r="I237" t="s">
        <v>586</v>
      </c>
      <c r="J237" t="s">
        <v>246</v>
      </c>
      <c r="K237">
        <v>3</v>
      </c>
      <c r="L237" t="s">
        <v>408</v>
      </c>
      <c r="M237">
        <v>25</v>
      </c>
      <c r="N237" s="178">
        <v>45292</v>
      </c>
      <c r="O237" s="178"/>
      <c r="Q237" t="s">
        <v>246</v>
      </c>
      <c r="R237">
        <v>2</v>
      </c>
    </row>
    <row r="238" spans="1:18" x14ac:dyDescent="0.25">
      <c r="A238" t="str">
        <f>TableGCHRIGHT[[#This Row],[Study Package Code]]</f>
        <v>HRIG5014</v>
      </c>
      <c r="B238" s="1">
        <f>TableGCHRIGHT[[#This Row],[Ver]]</f>
        <v>2</v>
      </c>
      <c r="D238" t="str">
        <f>TableGCHRIGHT[[#This Row],[Structure Line]]</f>
        <v>Dialogue across Cultures and Religions</v>
      </c>
      <c r="E238" s="115">
        <f>TableGCHRIGHT[[#This Row],[Credit Points]]</f>
        <v>25</v>
      </c>
      <c r="F238">
        <v>1</v>
      </c>
      <c r="G238" t="s">
        <v>335</v>
      </c>
      <c r="H238">
        <v>0</v>
      </c>
      <c r="I238" t="s">
        <v>586</v>
      </c>
      <c r="J238" t="s">
        <v>229</v>
      </c>
      <c r="K238">
        <v>2</v>
      </c>
      <c r="L238" t="s">
        <v>415</v>
      </c>
      <c r="M238">
        <v>25</v>
      </c>
      <c r="N238" s="178">
        <v>45292</v>
      </c>
      <c r="O238" s="178"/>
      <c r="Q238" t="s">
        <v>229</v>
      </c>
      <c r="R238">
        <v>1</v>
      </c>
    </row>
    <row r="240" spans="1:18" x14ac:dyDescent="0.25">
      <c r="B240"/>
      <c r="E240"/>
      <c r="F240" s="111"/>
      <c r="G240" s="112" t="s">
        <v>573</v>
      </c>
      <c r="H240" s="251">
        <v>45292</v>
      </c>
      <c r="I240" s="177"/>
      <c r="J240" s="253" t="s">
        <v>111</v>
      </c>
      <c r="K240" s="252" t="s">
        <v>56</v>
      </c>
      <c r="L240" s="177" t="s">
        <v>110</v>
      </c>
      <c r="N240" s="250" t="s">
        <v>574</v>
      </c>
      <c r="O240" s="178">
        <v>45338</v>
      </c>
    </row>
    <row r="241" spans="1:18" x14ac:dyDescent="0.25">
      <c r="A241" t="s">
        <v>0</v>
      </c>
      <c r="B241" s="1" t="s">
        <v>46</v>
      </c>
      <c r="C241" t="s">
        <v>575</v>
      </c>
      <c r="D241" t="s">
        <v>3</v>
      </c>
      <c r="E241" s="115" t="s">
        <v>576</v>
      </c>
      <c r="F241" t="s">
        <v>577</v>
      </c>
      <c r="G241" t="s">
        <v>578</v>
      </c>
      <c r="H241" t="s">
        <v>579</v>
      </c>
      <c r="I241" t="s">
        <v>21</v>
      </c>
      <c r="J241" t="s">
        <v>580</v>
      </c>
      <c r="K241" t="s">
        <v>1</v>
      </c>
      <c r="L241" t="s">
        <v>581</v>
      </c>
      <c r="M241" t="s">
        <v>47</v>
      </c>
      <c r="N241" t="s">
        <v>582</v>
      </c>
      <c r="O241" t="s">
        <v>583</v>
      </c>
      <c r="Q241" t="s">
        <v>584</v>
      </c>
      <c r="R241" t="s">
        <v>1</v>
      </c>
    </row>
    <row r="242" spans="1:18" x14ac:dyDescent="0.25">
      <c r="A242" t="str">
        <f>TableMCNETSCM[[#This Row],[Study Package Code]]</f>
        <v>Opt-NETSCM</v>
      </c>
      <c r="B242" s="1">
        <f>TableMCNETSCM[[#This Row],[Ver]]</f>
        <v>0</v>
      </c>
      <c r="D242" t="str">
        <f>TableMCNETSCM[[#This Row],[Structure Line]]</f>
        <v>Choose Options</v>
      </c>
      <c r="E242" s="115">
        <f>TableMCNETSCM[[#This Row],[Credit Points]]</f>
        <v>125</v>
      </c>
      <c r="F242">
        <v>1</v>
      </c>
      <c r="G242" t="s">
        <v>335</v>
      </c>
      <c r="H242">
        <v>1</v>
      </c>
      <c r="I242" t="s">
        <v>586</v>
      </c>
      <c r="J242" t="s">
        <v>287</v>
      </c>
      <c r="K242">
        <v>0</v>
      </c>
      <c r="L242" t="s">
        <v>592</v>
      </c>
      <c r="M242">
        <v>125</v>
      </c>
      <c r="N242" s="178"/>
      <c r="O242" s="178"/>
    </row>
    <row r="243" spans="1:18" x14ac:dyDescent="0.25">
      <c r="A243" t="str">
        <f>TableMCNETSCM[[#This Row],[Study Package Code]]</f>
        <v>HUMN6001</v>
      </c>
      <c r="B243" s="1">
        <f>TableMCNETSCM[[#This Row],[Ver]]</f>
        <v>1</v>
      </c>
      <c r="D243" t="str">
        <f>TableMCNETSCM[[#This Row],[Structure Line]]</f>
        <v>Masters Research Project 1</v>
      </c>
      <c r="E243" s="115">
        <f>TableMCNETSCM[[#This Row],[Credit Points]]</f>
        <v>50</v>
      </c>
      <c r="F243">
        <v>2</v>
      </c>
      <c r="G243" t="s">
        <v>585</v>
      </c>
      <c r="H243">
        <v>1</v>
      </c>
      <c r="I243" t="s">
        <v>586</v>
      </c>
      <c r="J243" t="s">
        <v>165</v>
      </c>
      <c r="K243">
        <v>1</v>
      </c>
      <c r="L243" t="s">
        <v>597</v>
      </c>
      <c r="M243">
        <v>50</v>
      </c>
      <c r="N243" s="178">
        <v>45292</v>
      </c>
      <c r="O243" s="178" t="s">
        <v>587</v>
      </c>
    </row>
    <row r="244" spans="1:18" x14ac:dyDescent="0.25">
      <c r="A244" t="str">
        <f>TableMCNETSCM[[#This Row],[Study Package Code]]</f>
        <v>AC-NETSCM</v>
      </c>
      <c r="B244" s="1">
        <f>TableMCNETSCM[[#This Row],[Ver]]</f>
        <v>0</v>
      </c>
      <c r="D244" t="str">
        <f>TableMCNETSCM[[#This Row],[Structure Line]]</f>
        <v>Choose NETS5000 or NETS5001</v>
      </c>
      <c r="E244" s="115">
        <f>TableMCNETSCM[[#This Row],[Credit Points]]</f>
        <v>25</v>
      </c>
      <c r="F244">
        <v>3</v>
      </c>
      <c r="G244" t="s">
        <v>590</v>
      </c>
      <c r="H244">
        <v>1</v>
      </c>
      <c r="I244" t="s">
        <v>586</v>
      </c>
      <c r="J244" t="s">
        <v>286</v>
      </c>
      <c r="K244">
        <v>0</v>
      </c>
      <c r="L244" t="s">
        <v>624</v>
      </c>
      <c r="M244">
        <v>25</v>
      </c>
      <c r="N244" s="178"/>
      <c r="O244" s="178"/>
    </row>
    <row r="245" spans="1:18" x14ac:dyDescent="0.25">
      <c r="A245" t="str">
        <f>TableMCNETSCM[[#This Row],[Study Package Code]]</f>
        <v>Opt-NETSCM</v>
      </c>
      <c r="B245" s="1">
        <f>TableMCNETSCM[[#This Row],[Ver]]</f>
        <v>0</v>
      </c>
      <c r="D245" t="str">
        <f>TableMCNETSCM[[#This Row],[Structure Line]]</f>
        <v>Choose Options</v>
      </c>
      <c r="E245" s="115">
        <f>TableMCNETSCM[[#This Row],[Credit Points]]</f>
        <v>50</v>
      </c>
      <c r="F245">
        <v>4</v>
      </c>
      <c r="G245" t="s">
        <v>335</v>
      </c>
      <c r="H245">
        <v>2</v>
      </c>
      <c r="I245" t="s">
        <v>586</v>
      </c>
      <c r="J245" t="s">
        <v>287</v>
      </c>
      <c r="K245">
        <v>0</v>
      </c>
      <c r="L245" t="s">
        <v>592</v>
      </c>
      <c r="M245">
        <v>50</v>
      </c>
      <c r="N245" s="178"/>
      <c r="O245" s="178"/>
    </row>
    <row r="246" spans="1:18" x14ac:dyDescent="0.25">
      <c r="A246" t="str">
        <f>TableMCNETSCM[[#This Row],[Study Package Code]]</f>
        <v>HUMN6003</v>
      </c>
      <c r="B246" s="1">
        <f>TableMCNETSCM[[#This Row],[Ver]]</f>
        <v>1</v>
      </c>
      <c r="D246" t="str">
        <f>TableMCNETSCM[[#This Row],[Structure Line]]</f>
        <v>Masters Research Project 2</v>
      </c>
      <c r="E246" s="115">
        <f>TableMCNETSCM[[#This Row],[Credit Points]]</f>
        <v>50</v>
      </c>
      <c r="F246">
        <v>5</v>
      </c>
      <c r="G246" t="s">
        <v>585</v>
      </c>
      <c r="H246">
        <v>2</v>
      </c>
      <c r="I246" t="s">
        <v>586</v>
      </c>
      <c r="J246" t="s">
        <v>144</v>
      </c>
      <c r="K246">
        <v>1</v>
      </c>
      <c r="L246" t="s">
        <v>594</v>
      </c>
      <c r="M246">
        <v>50</v>
      </c>
      <c r="N246" s="178">
        <v>45292</v>
      </c>
      <c r="O246" s="178" t="s">
        <v>587</v>
      </c>
    </row>
    <row r="247" spans="1:18" x14ac:dyDescent="0.25">
      <c r="A247" t="str">
        <f>TableMCNETSCM[[#This Row],[Study Package Code]]</f>
        <v>NETS5003</v>
      </c>
      <c r="B247" s="1">
        <f>TableMCNETSCM[[#This Row],[Ver]]</f>
        <v>3</v>
      </c>
      <c r="D247" t="str">
        <f>TableMCNETSCM[[#This Row],[Structure Line]]</f>
        <v>Online Power and Resistance</v>
      </c>
      <c r="E247" s="115">
        <f>TableMCNETSCM[[#This Row],[Credit Points]]</f>
        <v>25</v>
      </c>
      <c r="G247" t="s">
        <v>335</v>
      </c>
      <c r="I247" t="s">
        <v>586</v>
      </c>
      <c r="J247" t="s">
        <v>291</v>
      </c>
      <c r="K247">
        <v>3</v>
      </c>
      <c r="L247" t="s">
        <v>484</v>
      </c>
      <c r="M247">
        <v>25</v>
      </c>
      <c r="N247" s="178">
        <v>44562</v>
      </c>
      <c r="O247" s="178"/>
    </row>
    <row r="248" spans="1:18" x14ac:dyDescent="0.25">
      <c r="A248" t="str">
        <f>TableMCNETSCM[[#This Row],[Study Package Code]]</f>
        <v>NETS5004</v>
      </c>
      <c r="B248" s="1">
        <f>TableMCNETSCM[[#This Row],[Ver]]</f>
        <v>2</v>
      </c>
      <c r="D248" t="str">
        <f>TableMCNETSCM[[#This Row],[Structure Line]]</f>
        <v>Social Media, Communities and Networks</v>
      </c>
      <c r="E248" s="115">
        <f>TableMCNETSCM[[#This Row],[Credit Points]]</f>
        <v>25</v>
      </c>
      <c r="G248" t="s">
        <v>335</v>
      </c>
      <c r="I248" t="s">
        <v>586</v>
      </c>
      <c r="J248" t="s">
        <v>202</v>
      </c>
      <c r="K248">
        <v>2</v>
      </c>
      <c r="L248" t="s">
        <v>485</v>
      </c>
      <c r="M248">
        <v>25</v>
      </c>
      <c r="N248" s="178">
        <v>42736</v>
      </c>
      <c r="O248" s="178"/>
    </row>
    <row r="249" spans="1:18" x14ac:dyDescent="0.25">
      <c r="A249" t="str">
        <f>TableMCNETSCM[[#This Row],[Study Package Code]]</f>
        <v>NETS5005</v>
      </c>
      <c r="B249" s="1">
        <f>TableMCNETSCM[[#This Row],[Ver]]</f>
        <v>2</v>
      </c>
      <c r="D249" t="str">
        <f>TableMCNETSCM[[#This Row],[Structure Line]]</f>
        <v>Writing on the Web</v>
      </c>
      <c r="E249" s="115">
        <f>TableMCNETSCM[[#This Row],[Credit Points]]</f>
        <v>25</v>
      </c>
      <c r="G249" t="s">
        <v>335</v>
      </c>
      <c r="I249" t="s">
        <v>586</v>
      </c>
      <c r="J249" t="s">
        <v>292</v>
      </c>
      <c r="K249">
        <v>2</v>
      </c>
      <c r="L249" t="s">
        <v>486</v>
      </c>
      <c r="M249">
        <v>25</v>
      </c>
      <c r="N249" s="178">
        <v>42736</v>
      </c>
      <c r="O249" s="178"/>
    </row>
    <row r="250" spans="1:18" x14ac:dyDescent="0.25">
      <c r="A250" t="str">
        <f>TableMCNETSCM[[#This Row],[Study Package Code]]</f>
        <v>NETS5006</v>
      </c>
      <c r="B250" s="1">
        <f>TableMCNETSCM[[#This Row],[Ver]]</f>
        <v>2</v>
      </c>
      <c r="D250" t="str">
        <f>TableMCNETSCM[[#This Row],[Structure Line]]</f>
        <v>The Digital Economy</v>
      </c>
      <c r="E250" s="115">
        <f>TableMCNETSCM[[#This Row],[Credit Points]]</f>
        <v>25</v>
      </c>
      <c r="G250" t="s">
        <v>335</v>
      </c>
      <c r="I250" t="s">
        <v>586</v>
      </c>
      <c r="J250" t="s">
        <v>293</v>
      </c>
      <c r="K250">
        <v>2</v>
      </c>
      <c r="L250" t="s">
        <v>487</v>
      </c>
      <c r="M250">
        <v>25</v>
      </c>
      <c r="N250" s="178">
        <v>42736</v>
      </c>
      <c r="O250" s="178"/>
    </row>
    <row r="251" spans="1:18" x14ac:dyDescent="0.25">
      <c r="A251" t="str">
        <f>TableMCNETSCM[[#This Row],[Study Package Code]]</f>
        <v>NETS5007</v>
      </c>
      <c r="B251" s="1">
        <f>TableMCNETSCM[[#This Row],[Ver]]</f>
        <v>2</v>
      </c>
      <c r="D251" t="str">
        <f>TableMCNETSCM[[#This Row],[Structure Line]]</f>
        <v>Internet Collaboration and Innovation</v>
      </c>
      <c r="E251" s="115">
        <f>TableMCNETSCM[[#This Row],[Credit Points]]</f>
        <v>25</v>
      </c>
      <c r="G251" t="s">
        <v>335</v>
      </c>
      <c r="I251" t="s">
        <v>586</v>
      </c>
      <c r="J251" t="s">
        <v>294</v>
      </c>
      <c r="K251">
        <v>2</v>
      </c>
      <c r="L251" t="s">
        <v>489</v>
      </c>
      <c r="M251">
        <v>25</v>
      </c>
      <c r="N251" s="178">
        <v>42736</v>
      </c>
      <c r="O251" s="178"/>
    </row>
    <row r="252" spans="1:18" x14ac:dyDescent="0.25">
      <c r="A252" t="str">
        <f>TableMCNETSCM[[#This Row],[Study Package Code]]</f>
        <v>NETS5009</v>
      </c>
      <c r="B252" s="1">
        <f>TableMCNETSCM[[#This Row],[Ver]]</f>
        <v>3</v>
      </c>
      <c r="D252" t="str">
        <f>TableMCNETSCM[[#This Row],[Structure Line]]</f>
        <v>Digital and Social Media Development Futures</v>
      </c>
      <c r="E252" s="115">
        <f>TableMCNETSCM[[#This Row],[Credit Points]]</f>
        <v>25</v>
      </c>
      <c r="G252" t="s">
        <v>335</v>
      </c>
      <c r="I252" t="s">
        <v>586</v>
      </c>
      <c r="J252" t="s">
        <v>295</v>
      </c>
      <c r="K252">
        <v>3</v>
      </c>
      <c r="L252" t="s">
        <v>490</v>
      </c>
      <c r="M252">
        <v>25</v>
      </c>
      <c r="N252" s="178">
        <v>44927</v>
      </c>
      <c r="O252" s="178"/>
    </row>
    <row r="253" spans="1:18" x14ac:dyDescent="0.25">
      <c r="A253" t="str">
        <f>TableMCNETSCM[[#This Row],[Study Package Code]]</f>
        <v>NETS5010</v>
      </c>
      <c r="B253" s="1">
        <f>TableMCNETSCM[[#This Row],[Ver]]</f>
        <v>1</v>
      </c>
      <c r="D253" t="str">
        <f>TableMCNETSCM[[#This Row],[Structure Line]]</f>
        <v>Web Media</v>
      </c>
      <c r="E253" s="115">
        <f>TableMCNETSCM[[#This Row],[Credit Points]]</f>
        <v>25</v>
      </c>
      <c r="G253" t="s">
        <v>335</v>
      </c>
      <c r="I253" t="s">
        <v>586</v>
      </c>
      <c r="J253" t="s">
        <v>146</v>
      </c>
      <c r="K253">
        <v>1</v>
      </c>
      <c r="L253" t="s">
        <v>491</v>
      </c>
      <c r="M253">
        <v>25</v>
      </c>
      <c r="N253" s="178">
        <v>42005</v>
      </c>
      <c r="O253" s="178"/>
    </row>
    <row r="254" spans="1:18" x14ac:dyDescent="0.25">
      <c r="A254" t="str">
        <f>TableMCNETSCM[[#This Row],[Study Package Code]]</f>
        <v>NETS5011</v>
      </c>
      <c r="B254" s="1">
        <f>TableMCNETSCM[[#This Row],[Ver]]</f>
        <v>3</v>
      </c>
      <c r="D254" t="str">
        <f>TableMCNETSCM[[#This Row],[Structure Line]]</f>
        <v>Online Games and Play</v>
      </c>
      <c r="E254" s="115">
        <f>TableMCNETSCM[[#This Row],[Credit Points]]</f>
        <v>25</v>
      </c>
      <c r="G254" t="s">
        <v>335</v>
      </c>
      <c r="I254" t="s">
        <v>586</v>
      </c>
      <c r="J254" t="s">
        <v>296</v>
      </c>
      <c r="K254">
        <v>3</v>
      </c>
      <c r="L254" t="s">
        <v>492</v>
      </c>
      <c r="M254">
        <v>25</v>
      </c>
      <c r="N254" s="178">
        <v>45292</v>
      </c>
      <c r="O254" s="178"/>
    </row>
    <row r="255" spans="1:18" x14ac:dyDescent="0.25">
      <c r="A255" t="str">
        <f>TableMCNETSCM[[#This Row],[Study Package Code]]</f>
        <v>NETS5000</v>
      </c>
      <c r="B255" s="1">
        <f>TableMCNETSCM[[#This Row],[Ver]]</f>
        <v>1</v>
      </c>
      <c r="D255" t="str">
        <f>TableMCNETSCM[[#This Row],[Structure Line]]</f>
        <v>Web Communications</v>
      </c>
      <c r="E255" s="115">
        <f>TableMCNETSCM[[#This Row],[Credit Points]]</f>
        <v>25</v>
      </c>
      <c r="F255">
        <v>3</v>
      </c>
      <c r="G255" t="s">
        <v>590</v>
      </c>
      <c r="H255">
        <v>1</v>
      </c>
      <c r="I255" t="s">
        <v>586</v>
      </c>
      <c r="J255" t="s">
        <v>167</v>
      </c>
      <c r="K255">
        <v>1</v>
      </c>
      <c r="L255" t="s">
        <v>482</v>
      </c>
      <c r="M255">
        <v>25</v>
      </c>
      <c r="N255" s="178">
        <v>42005</v>
      </c>
      <c r="O255" s="178"/>
    </row>
    <row r="256" spans="1:18" x14ac:dyDescent="0.25">
      <c r="A256" t="str">
        <f>TableMCNETSCM[[#This Row],[Study Package Code]]</f>
        <v>NETS5001</v>
      </c>
      <c r="B256" s="1">
        <f>TableMCNETSCM[[#This Row],[Ver]]</f>
        <v>2</v>
      </c>
      <c r="D256" t="str">
        <f>TableMCNETSCM[[#This Row],[Structure Line]]</f>
        <v>Digital Culture and Everyday Life</v>
      </c>
      <c r="E256" s="115">
        <f>TableMCNETSCM[[#This Row],[Credit Points]]</f>
        <v>25</v>
      </c>
      <c r="F256">
        <v>3</v>
      </c>
      <c r="G256" t="s">
        <v>590</v>
      </c>
      <c r="H256">
        <v>1</v>
      </c>
      <c r="I256" t="s">
        <v>586</v>
      </c>
      <c r="J256" t="s">
        <v>290</v>
      </c>
      <c r="K256">
        <v>2</v>
      </c>
      <c r="L256" t="s">
        <v>483</v>
      </c>
      <c r="M256">
        <v>25</v>
      </c>
      <c r="N256" s="178">
        <v>42736</v>
      </c>
      <c r="O256" s="178"/>
    </row>
    <row r="257" spans="1:18" x14ac:dyDescent="0.25">
      <c r="A257">
        <f>TableMCNETSCM[[#This Row],[Study Package Code]]</f>
        <v>0</v>
      </c>
      <c r="B257" s="1">
        <f>TableMCNETSCM[[#This Row],[Ver]]</f>
        <v>0</v>
      </c>
      <c r="D257">
        <f>TableMCNETSCM[[#This Row],[Structure Line]]</f>
        <v>0</v>
      </c>
      <c r="E257" s="115">
        <f>TableMCNETSCM[[#This Row],[Credit Points]]</f>
        <v>0</v>
      </c>
      <c r="N257" s="178"/>
      <c r="O257" s="178"/>
    </row>
    <row r="258" spans="1:18" x14ac:dyDescent="0.25">
      <c r="A258">
        <f>TableMCNETSCM[[#This Row],[Study Package Code]]</f>
        <v>0</v>
      </c>
      <c r="B258" s="1">
        <f>TableMCNETSCM[[#This Row],[Ver]]</f>
        <v>0</v>
      </c>
      <c r="D258">
        <f>TableMCNETSCM[[#This Row],[Structure Line]]</f>
        <v>0</v>
      </c>
      <c r="E258" s="115">
        <f>TableMCNETSCM[[#This Row],[Credit Points]]</f>
        <v>0</v>
      </c>
      <c r="N258" s="178"/>
      <c r="O258" s="178"/>
    </row>
    <row r="259" spans="1:18" x14ac:dyDescent="0.25">
      <c r="A259">
        <f>TableMCNETSCM[[#This Row],[Study Package Code]]</f>
        <v>0</v>
      </c>
      <c r="B259" s="1">
        <f>TableMCNETSCM[[#This Row],[Ver]]</f>
        <v>0</v>
      </c>
      <c r="D259">
        <f>TableMCNETSCM[[#This Row],[Structure Line]]</f>
        <v>0</v>
      </c>
      <c r="E259" s="115">
        <f>TableMCNETSCM[[#This Row],[Credit Points]]</f>
        <v>0</v>
      </c>
      <c r="N259" s="178"/>
      <c r="O259" s="178"/>
    </row>
    <row r="260" spans="1:18" x14ac:dyDescent="0.25">
      <c r="B260"/>
      <c r="E260"/>
      <c r="F260" s="111"/>
      <c r="G260" s="112" t="s">
        <v>573</v>
      </c>
      <c r="H260" s="265">
        <v>43831</v>
      </c>
      <c r="I260" s="177"/>
      <c r="J260" s="253" t="s">
        <v>105</v>
      </c>
      <c r="K260" s="266" t="s">
        <v>64</v>
      </c>
      <c r="L260" s="177" t="s">
        <v>104</v>
      </c>
      <c r="M260" s="177"/>
      <c r="N260" s="250" t="s">
        <v>574</v>
      </c>
      <c r="O260" s="178">
        <v>45338</v>
      </c>
    </row>
    <row r="261" spans="1:18" x14ac:dyDescent="0.25">
      <c r="A261" t="s">
        <v>0</v>
      </c>
      <c r="B261" s="1" t="s">
        <v>46</v>
      </c>
      <c r="C261" t="s">
        <v>575</v>
      </c>
      <c r="D261" t="s">
        <v>3</v>
      </c>
      <c r="E261" s="115" t="s">
        <v>576</v>
      </c>
      <c r="F261" t="s">
        <v>577</v>
      </c>
      <c r="G261" t="s">
        <v>578</v>
      </c>
      <c r="H261" t="s">
        <v>579</v>
      </c>
      <c r="I261" t="s">
        <v>21</v>
      </c>
      <c r="J261" t="s">
        <v>580</v>
      </c>
      <c r="K261" t="s">
        <v>1</v>
      </c>
      <c r="L261" t="s">
        <v>581</v>
      </c>
      <c r="M261" t="s">
        <v>47</v>
      </c>
      <c r="N261" t="s">
        <v>582</v>
      </c>
      <c r="O261" t="s">
        <v>583</v>
      </c>
      <c r="Q261" t="s">
        <v>584</v>
      </c>
      <c r="R261" t="s">
        <v>1</v>
      </c>
    </row>
    <row r="262" spans="1:18" x14ac:dyDescent="0.25">
      <c r="A262" t="str">
        <f>TableGDNETSCM[[#This Row],[Study Package Code]]</f>
        <v>Opt-NETSCM</v>
      </c>
      <c r="B262" s="1">
        <f>TableGDNETSCM[[#This Row],[Ver]]</f>
        <v>0</v>
      </c>
      <c r="D262" t="str">
        <f>TableGDNETSCM[[#This Row],[Structure Line]]</f>
        <v>Select Options</v>
      </c>
      <c r="E262" s="115">
        <f>TableGDNETSCM[[#This Row],[Credit Points]]</f>
        <v>75</v>
      </c>
      <c r="F262">
        <v>1</v>
      </c>
      <c r="G262" t="s">
        <v>335</v>
      </c>
      <c r="H262">
        <v>1</v>
      </c>
      <c r="I262" t="s">
        <v>339</v>
      </c>
      <c r="J262" t="s">
        <v>287</v>
      </c>
      <c r="K262">
        <v>0</v>
      </c>
      <c r="L262" t="s">
        <v>625</v>
      </c>
      <c r="M262">
        <v>75</v>
      </c>
      <c r="N262" s="178"/>
      <c r="O262" s="178"/>
      <c r="Q262" t="s">
        <v>626</v>
      </c>
      <c r="R262">
        <v>0</v>
      </c>
    </row>
    <row r="263" spans="1:18" x14ac:dyDescent="0.25">
      <c r="A263" t="str">
        <f>TableGDNETSCM[[#This Row],[Study Package Code]]</f>
        <v>Opt-NETSCM</v>
      </c>
      <c r="B263" s="1">
        <f>TableGDNETSCM[[#This Row],[Ver]]</f>
        <v>0</v>
      </c>
      <c r="D263" t="str">
        <f>TableGDNETSCM[[#This Row],[Structure Line]]</f>
        <v>Select Options</v>
      </c>
      <c r="E263" s="115">
        <f>TableGDNETSCM[[#This Row],[Credit Points]]</f>
        <v>100</v>
      </c>
      <c r="F263">
        <v>2</v>
      </c>
      <c r="G263" t="s">
        <v>335</v>
      </c>
      <c r="H263">
        <v>1</v>
      </c>
      <c r="I263" t="s">
        <v>340</v>
      </c>
      <c r="J263" t="s">
        <v>287</v>
      </c>
      <c r="K263">
        <v>0</v>
      </c>
      <c r="L263" t="s">
        <v>625</v>
      </c>
      <c r="M263">
        <v>100</v>
      </c>
      <c r="N263" s="178"/>
      <c r="O263" s="178"/>
      <c r="Q263" t="s">
        <v>626</v>
      </c>
      <c r="R263">
        <v>0</v>
      </c>
    </row>
    <row r="264" spans="1:18" x14ac:dyDescent="0.25">
      <c r="A264" t="str">
        <f>TableGDNETSCM[[#This Row],[Study Package Code]]</f>
        <v>AC-NETSCM</v>
      </c>
      <c r="B264" s="1">
        <f>TableGDNETSCM[[#This Row],[Ver]]</f>
        <v>0</v>
      </c>
      <c r="D264" t="str">
        <f>TableGDNETSCM[[#This Row],[Structure Line]]</f>
        <v>Choose NETS5000 or NETS5001</v>
      </c>
      <c r="E264" s="115">
        <f>TableGDNETSCM[[#This Row],[Credit Points]]</f>
        <v>25</v>
      </c>
      <c r="F264">
        <v>3</v>
      </c>
      <c r="G264" t="s">
        <v>590</v>
      </c>
      <c r="H264">
        <v>1</v>
      </c>
      <c r="I264" t="s">
        <v>339</v>
      </c>
      <c r="J264" t="s">
        <v>286</v>
      </c>
      <c r="K264">
        <v>0</v>
      </c>
      <c r="L264" t="s">
        <v>624</v>
      </c>
      <c r="M264">
        <v>25</v>
      </c>
      <c r="N264" s="178"/>
      <c r="O264" s="178"/>
      <c r="Q264" t="s">
        <v>627</v>
      </c>
      <c r="R264">
        <v>0</v>
      </c>
    </row>
    <row r="265" spans="1:18" x14ac:dyDescent="0.25">
      <c r="A265" t="str">
        <f>TableGDNETSCM[[#This Row],[Study Package Code]]</f>
        <v>NETS5000</v>
      </c>
      <c r="B265" s="1">
        <f>TableGDNETSCM[[#This Row],[Ver]]</f>
        <v>1</v>
      </c>
      <c r="D265" t="str">
        <f>TableGDNETSCM[[#This Row],[Structure Line]]</f>
        <v>Web Communications</v>
      </c>
      <c r="E265" s="115">
        <f>TableGDNETSCM[[#This Row],[Credit Points]]</f>
        <v>25</v>
      </c>
      <c r="G265" t="s">
        <v>335</v>
      </c>
      <c r="H265">
        <v>1</v>
      </c>
      <c r="J265" t="s">
        <v>167</v>
      </c>
      <c r="K265">
        <v>1</v>
      </c>
      <c r="L265" t="s">
        <v>482</v>
      </c>
      <c r="M265">
        <v>25</v>
      </c>
      <c r="N265" s="178">
        <v>42005</v>
      </c>
      <c r="O265" s="178"/>
      <c r="Q265" t="s">
        <v>167</v>
      </c>
      <c r="R265">
        <v>1</v>
      </c>
    </row>
    <row r="266" spans="1:18" x14ac:dyDescent="0.25">
      <c r="A266" t="str">
        <f>TableGDNETSCM[[#This Row],[Study Package Code]]</f>
        <v>NETS5001</v>
      </c>
      <c r="B266" s="1">
        <f>TableGDNETSCM[[#This Row],[Ver]]</f>
        <v>2</v>
      </c>
      <c r="D266" t="str">
        <f>TableGDNETSCM[[#This Row],[Structure Line]]</f>
        <v>Digital Culture and Everyday Life</v>
      </c>
      <c r="E266" s="115">
        <f>TableGDNETSCM[[#This Row],[Credit Points]]</f>
        <v>25</v>
      </c>
      <c r="G266" t="s">
        <v>335</v>
      </c>
      <c r="H266">
        <v>1</v>
      </c>
      <c r="J266" t="s">
        <v>290</v>
      </c>
      <c r="K266">
        <v>2</v>
      </c>
      <c r="L266" t="s">
        <v>483</v>
      </c>
      <c r="M266">
        <v>25</v>
      </c>
      <c r="N266" s="178">
        <v>42736</v>
      </c>
      <c r="O266" s="178"/>
      <c r="Q266" t="s">
        <v>290</v>
      </c>
      <c r="R266">
        <v>2</v>
      </c>
    </row>
    <row r="267" spans="1:18" x14ac:dyDescent="0.25">
      <c r="A267" t="str">
        <f>TableGDNETSCM[[#This Row],[Study Package Code]]</f>
        <v>NETS5003</v>
      </c>
      <c r="B267" s="1">
        <f>TableGDNETSCM[[#This Row],[Ver]]</f>
        <v>3</v>
      </c>
      <c r="D267" t="str">
        <f>TableGDNETSCM[[#This Row],[Structure Line]]</f>
        <v>Online Power and Resistance</v>
      </c>
      <c r="E267" s="115">
        <f>TableGDNETSCM[[#This Row],[Credit Points]]</f>
        <v>25</v>
      </c>
      <c r="G267" t="s">
        <v>335</v>
      </c>
      <c r="H267">
        <v>1</v>
      </c>
      <c r="J267" t="s">
        <v>291</v>
      </c>
      <c r="K267">
        <v>3</v>
      </c>
      <c r="L267" t="s">
        <v>484</v>
      </c>
      <c r="M267">
        <v>25</v>
      </c>
      <c r="N267" s="178">
        <v>44562</v>
      </c>
      <c r="O267" s="178"/>
      <c r="Q267" t="s">
        <v>291</v>
      </c>
      <c r="R267">
        <v>3</v>
      </c>
    </row>
    <row r="268" spans="1:18" x14ac:dyDescent="0.25">
      <c r="A268" t="str">
        <f>TableGDNETSCM[[#This Row],[Study Package Code]]</f>
        <v>NETS5004</v>
      </c>
      <c r="B268" s="1">
        <f>TableGDNETSCM[[#This Row],[Ver]]</f>
        <v>2</v>
      </c>
      <c r="D268" t="str">
        <f>TableGDNETSCM[[#This Row],[Structure Line]]</f>
        <v>Social Media, Communities and Networks</v>
      </c>
      <c r="E268" s="115">
        <f>TableGDNETSCM[[#This Row],[Credit Points]]</f>
        <v>25</v>
      </c>
      <c r="G268" t="s">
        <v>335</v>
      </c>
      <c r="H268">
        <v>1</v>
      </c>
      <c r="J268" t="s">
        <v>202</v>
      </c>
      <c r="K268">
        <v>2</v>
      </c>
      <c r="L268" t="s">
        <v>485</v>
      </c>
      <c r="M268">
        <v>25</v>
      </c>
      <c r="N268" s="178">
        <v>42736</v>
      </c>
      <c r="O268" s="178"/>
      <c r="Q268" t="s">
        <v>202</v>
      </c>
      <c r="R268">
        <v>2</v>
      </c>
    </row>
    <row r="269" spans="1:18" x14ac:dyDescent="0.25">
      <c r="A269" t="str">
        <f>TableGDNETSCM[[#This Row],[Study Package Code]]</f>
        <v>NETS5005</v>
      </c>
      <c r="B269" s="1">
        <f>TableGDNETSCM[[#This Row],[Ver]]</f>
        <v>2</v>
      </c>
      <c r="D269" t="str">
        <f>TableGDNETSCM[[#This Row],[Structure Line]]</f>
        <v>Writing on the Web</v>
      </c>
      <c r="E269" s="115">
        <f>TableGDNETSCM[[#This Row],[Credit Points]]</f>
        <v>25</v>
      </c>
      <c r="G269" t="s">
        <v>335</v>
      </c>
      <c r="H269">
        <v>1</v>
      </c>
      <c r="J269" t="s">
        <v>292</v>
      </c>
      <c r="K269">
        <v>2</v>
      </c>
      <c r="L269" t="s">
        <v>486</v>
      </c>
      <c r="M269">
        <v>25</v>
      </c>
      <c r="N269" s="178">
        <v>42736</v>
      </c>
      <c r="O269" s="178"/>
      <c r="Q269" t="s">
        <v>292</v>
      </c>
      <c r="R269">
        <v>2</v>
      </c>
    </row>
    <row r="270" spans="1:18" x14ac:dyDescent="0.25">
      <c r="A270" t="str">
        <f>TableGDNETSCM[[#This Row],[Study Package Code]]</f>
        <v>NETS5006</v>
      </c>
      <c r="B270" s="1">
        <f>TableGDNETSCM[[#This Row],[Ver]]</f>
        <v>2</v>
      </c>
      <c r="D270" t="str">
        <f>TableGDNETSCM[[#This Row],[Structure Line]]</f>
        <v>The Digital Economy</v>
      </c>
      <c r="E270" s="115">
        <f>TableGDNETSCM[[#This Row],[Credit Points]]</f>
        <v>25</v>
      </c>
      <c r="G270" t="s">
        <v>335</v>
      </c>
      <c r="H270">
        <v>1</v>
      </c>
      <c r="J270" t="s">
        <v>293</v>
      </c>
      <c r="K270">
        <v>2</v>
      </c>
      <c r="L270" t="s">
        <v>487</v>
      </c>
      <c r="M270">
        <v>25</v>
      </c>
      <c r="N270" s="178">
        <v>42736</v>
      </c>
      <c r="O270" s="178"/>
      <c r="Q270" t="s">
        <v>293</v>
      </c>
      <c r="R270">
        <v>2</v>
      </c>
    </row>
    <row r="271" spans="1:18" x14ac:dyDescent="0.25">
      <c r="A271" t="str">
        <f>TableGDNETSCM[[#This Row],[Study Package Code]]</f>
        <v>NETS5007</v>
      </c>
      <c r="B271" s="1">
        <f>TableGDNETSCM[[#This Row],[Ver]]</f>
        <v>2</v>
      </c>
      <c r="D271" t="str">
        <f>TableGDNETSCM[[#This Row],[Structure Line]]</f>
        <v>Internet Collaboration and Innovation</v>
      </c>
      <c r="E271" s="115">
        <f>TableGDNETSCM[[#This Row],[Credit Points]]</f>
        <v>25</v>
      </c>
      <c r="G271" t="s">
        <v>335</v>
      </c>
      <c r="H271">
        <v>1</v>
      </c>
      <c r="J271" t="s">
        <v>294</v>
      </c>
      <c r="K271">
        <v>2</v>
      </c>
      <c r="L271" t="s">
        <v>489</v>
      </c>
      <c r="M271">
        <v>25</v>
      </c>
      <c r="N271" s="178">
        <v>42736</v>
      </c>
      <c r="O271" s="178"/>
      <c r="Q271" t="s">
        <v>294</v>
      </c>
      <c r="R271">
        <v>2</v>
      </c>
    </row>
    <row r="272" spans="1:18" x14ac:dyDescent="0.25">
      <c r="A272" t="str">
        <f>TableGDNETSCM[[#This Row],[Study Package Code]]</f>
        <v>NETS5009</v>
      </c>
      <c r="B272" s="1">
        <f>TableGDNETSCM[[#This Row],[Ver]]</f>
        <v>3</v>
      </c>
      <c r="D272" t="str">
        <f>TableGDNETSCM[[#This Row],[Structure Line]]</f>
        <v>Digital and Social Media Development Futures</v>
      </c>
      <c r="E272" s="115">
        <f>TableGDNETSCM[[#This Row],[Credit Points]]</f>
        <v>25</v>
      </c>
      <c r="G272" t="s">
        <v>335</v>
      </c>
      <c r="H272">
        <v>1</v>
      </c>
      <c r="J272" t="s">
        <v>295</v>
      </c>
      <c r="K272">
        <v>3</v>
      </c>
      <c r="L272" t="s">
        <v>490</v>
      </c>
      <c r="M272">
        <v>25</v>
      </c>
      <c r="N272" s="178">
        <v>44927</v>
      </c>
      <c r="O272" s="178"/>
      <c r="Q272" t="s">
        <v>295</v>
      </c>
      <c r="R272">
        <v>3</v>
      </c>
    </row>
    <row r="273" spans="1:18" x14ac:dyDescent="0.25">
      <c r="A273" t="str">
        <f>TableGDNETSCM[[#This Row],[Study Package Code]]</f>
        <v>NETS5010</v>
      </c>
      <c r="B273" s="1">
        <f>TableGDNETSCM[[#This Row],[Ver]]</f>
        <v>1</v>
      </c>
      <c r="D273" t="str">
        <f>TableGDNETSCM[[#This Row],[Structure Line]]</f>
        <v>Web Media</v>
      </c>
      <c r="E273" s="115">
        <f>TableGDNETSCM[[#This Row],[Credit Points]]</f>
        <v>25</v>
      </c>
      <c r="G273" t="s">
        <v>335</v>
      </c>
      <c r="H273">
        <v>1</v>
      </c>
      <c r="J273" t="s">
        <v>146</v>
      </c>
      <c r="K273">
        <v>1</v>
      </c>
      <c r="L273" t="s">
        <v>491</v>
      </c>
      <c r="M273">
        <v>25</v>
      </c>
      <c r="N273" s="178">
        <v>42005</v>
      </c>
      <c r="O273" s="178"/>
      <c r="Q273" t="s">
        <v>146</v>
      </c>
      <c r="R273">
        <v>1</v>
      </c>
    </row>
    <row r="274" spans="1:18" x14ac:dyDescent="0.25">
      <c r="A274" t="str">
        <f>TableGDNETSCM[[#This Row],[Study Package Code]]</f>
        <v>NETS5011</v>
      </c>
      <c r="B274" s="1">
        <f>TableGDNETSCM[[#This Row],[Ver]]</f>
        <v>3</v>
      </c>
      <c r="D274" t="str">
        <f>TableGDNETSCM[[#This Row],[Structure Line]]</f>
        <v>Online Games and Play</v>
      </c>
      <c r="E274" s="115">
        <f>TableGDNETSCM[[#This Row],[Credit Points]]</f>
        <v>25</v>
      </c>
      <c r="G274" t="s">
        <v>335</v>
      </c>
      <c r="H274">
        <v>1</v>
      </c>
      <c r="J274" t="s">
        <v>296</v>
      </c>
      <c r="K274">
        <v>3</v>
      </c>
      <c r="L274" t="s">
        <v>492</v>
      </c>
      <c r="M274">
        <v>25</v>
      </c>
      <c r="N274" s="178">
        <v>45292</v>
      </c>
      <c r="O274" s="178"/>
      <c r="Q274" t="s">
        <v>296</v>
      </c>
      <c r="R274">
        <v>2</v>
      </c>
    </row>
    <row r="275" spans="1:18" x14ac:dyDescent="0.25">
      <c r="A275" t="str">
        <f>TableGDNETSCM[[#This Row],[Study Package Code]]</f>
        <v>NETS5000</v>
      </c>
      <c r="B275" s="1">
        <f>TableGDNETSCM[[#This Row],[Ver]]</f>
        <v>1</v>
      </c>
      <c r="D275" t="str">
        <f>TableGDNETSCM[[#This Row],[Structure Line]]</f>
        <v>Web Communications</v>
      </c>
      <c r="E275" s="115">
        <f>TableGDNETSCM[[#This Row],[Credit Points]]</f>
        <v>25</v>
      </c>
      <c r="F275">
        <v>3</v>
      </c>
      <c r="G275" t="s">
        <v>590</v>
      </c>
      <c r="H275">
        <v>1</v>
      </c>
      <c r="I275" t="s">
        <v>339</v>
      </c>
      <c r="J275" t="s">
        <v>167</v>
      </c>
      <c r="K275">
        <v>1</v>
      </c>
      <c r="L275" t="s">
        <v>482</v>
      </c>
      <c r="M275">
        <v>25</v>
      </c>
      <c r="N275" s="178">
        <v>42005</v>
      </c>
      <c r="O275" s="178"/>
      <c r="Q275" t="s">
        <v>167</v>
      </c>
      <c r="R275">
        <v>1</v>
      </c>
    </row>
    <row r="276" spans="1:18" x14ac:dyDescent="0.25">
      <c r="A276" t="str">
        <f>TableGDNETSCM[[#This Row],[Study Package Code]]</f>
        <v>NETS5001</v>
      </c>
      <c r="B276" s="1">
        <f>TableGDNETSCM[[#This Row],[Ver]]</f>
        <v>2</v>
      </c>
      <c r="D276" t="str">
        <f>TableGDNETSCM[[#This Row],[Structure Line]]</f>
        <v>Digital Culture and Everyday Life</v>
      </c>
      <c r="E276" s="115">
        <f>TableGDNETSCM[[#This Row],[Credit Points]]</f>
        <v>25</v>
      </c>
      <c r="F276">
        <v>3</v>
      </c>
      <c r="G276" t="s">
        <v>590</v>
      </c>
      <c r="H276">
        <v>1</v>
      </c>
      <c r="I276" t="s">
        <v>339</v>
      </c>
      <c r="J276" t="s">
        <v>290</v>
      </c>
      <c r="K276">
        <v>2</v>
      </c>
      <c r="L276" t="s">
        <v>483</v>
      </c>
      <c r="M276">
        <v>25</v>
      </c>
      <c r="N276" s="178">
        <v>42736</v>
      </c>
      <c r="O276" s="178"/>
      <c r="Q276" t="s">
        <v>290</v>
      </c>
      <c r="R276">
        <v>2</v>
      </c>
    </row>
    <row r="277" spans="1:18" x14ac:dyDescent="0.25">
      <c r="B277"/>
      <c r="E277"/>
      <c r="F277" s="111"/>
      <c r="G277" s="112" t="s">
        <v>573</v>
      </c>
      <c r="H277" s="265">
        <v>43831</v>
      </c>
      <c r="I277" s="177"/>
      <c r="J277" s="253" t="s">
        <v>103</v>
      </c>
      <c r="K277" s="266" t="s">
        <v>64</v>
      </c>
      <c r="L277" s="177" t="s">
        <v>102</v>
      </c>
      <c r="M277" s="177"/>
      <c r="N277" s="250" t="s">
        <v>574</v>
      </c>
      <c r="O277" s="178">
        <v>45338</v>
      </c>
    </row>
    <row r="278" spans="1:18" x14ac:dyDescent="0.25">
      <c r="A278" t="s">
        <v>0</v>
      </c>
      <c r="B278" s="1" t="s">
        <v>46</v>
      </c>
      <c r="C278" t="s">
        <v>575</v>
      </c>
      <c r="D278" t="s">
        <v>3</v>
      </c>
      <c r="E278" s="115" t="s">
        <v>576</v>
      </c>
      <c r="F278" t="s">
        <v>577</v>
      </c>
      <c r="G278" t="s">
        <v>578</v>
      </c>
      <c r="H278" t="s">
        <v>579</v>
      </c>
      <c r="I278" t="s">
        <v>21</v>
      </c>
      <c r="J278" t="s">
        <v>580</v>
      </c>
      <c r="K278" t="s">
        <v>1</v>
      </c>
      <c r="L278" t="s">
        <v>581</v>
      </c>
      <c r="M278" t="s">
        <v>47</v>
      </c>
      <c r="N278" t="s">
        <v>582</v>
      </c>
      <c r="O278" t="s">
        <v>583</v>
      </c>
      <c r="Q278" t="s">
        <v>584</v>
      </c>
      <c r="R278" t="s">
        <v>1</v>
      </c>
    </row>
    <row r="279" spans="1:18" x14ac:dyDescent="0.25">
      <c r="A279" t="str">
        <f>TableGCNETSCM[[#This Row],[Study Package Code]]</f>
        <v>Opt-NETSCM</v>
      </c>
      <c r="B279" s="1">
        <f>TableGCNETSCM[[#This Row],[Ver]]</f>
        <v>0</v>
      </c>
      <c r="D279" t="str">
        <f>TableGCNETSCM[[#This Row],[Structure Line]]</f>
        <v>Choose Options</v>
      </c>
      <c r="E279" s="115">
        <f>TableGCNETSCM[[#This Row],[Credit Points]]</f>
        <v>75</v>
      </c>
      <c r="F279">
        <v>1</v>
      </c>
      <c r="G279" t="s">
        <v>335</v>
      </c>
      <c r="H279">
        <v>1</v>
      </c>
      <c r="I279" t="s">
        <v>339</v>
      </c>
      <c r="J279" t="s">
        <v>287</v>
      </c>
      <c r="K279">
        <v>0</v>
      </c>
      <c r="L279" t="s">
        <v>592</v>
      </c>
      <c r="M279">
        <v>75</v>
      </c>
      <c r="N279" s="178"/>
      <c r="O279" s="178"/>
      <c r="Q279" t="s">
        <v>626</v>
      </c>
      <c r="R279">
        <v>0</v>
      </c>
    </row>
    <row r="280" spans="1:18" x14ac:dyDescent="0.25">
      <c r="A280" t="str">
        <f>TableGCNETSCM[[#This Row],[Study Package Code]]</f>
        <v>AC-NETSCM</v>
      </c>
      <c r="B280" s="1">
        <f>TableGCNETSCM[[#This Row],[Ver]]</f>
        <v>0</v>
      </c>
      <c r="D280" t="str">
        <f>TableGCNETSCM[[#This Row],[Structure Line]]</f>
        <v>Choose NETS5000 or NETS5001</v>
      </c>
      <c r="E280" s="115">
        <f>TableGCNETSCM[[#This Row],[Credit Points]]</f>
        <v>25</v>
      </c>
      <c r="F280">
        <v>2</v>
      </c>
      <c r="G280" t="s">
        <v>590</v>
      </c>
      <c r="H280">
        <v>1</v>
      </c>
      <c r="I280" t="s">
        <v>339</v>
      </c>
      <c r="J280" t="s">
        <v>286</v>
      </c>
      <c r="K280">
        <v>0</v>
      </c>
      <c r="L280" t="s">
        <v>624</v>
      </c>
      <c r="M280">
        <v>25</v>
      </c>
      <c r="N280" s="178"/>
      <c r="O280" s="178"/>
      <c r="Q280" t="s">
        <v>627</v>
      </c>
      <c r="R280">
        <v>0</v>
      </c>
    </row>
    <row r="281" spans="1:18" x14ac:dyDescent="0.25">
      <c r="A281" t="str">
        <f>TableGCNETSCM[[#This Row],[Study Package Code]]</f>
        <v>NETS5000</v>
      </c>
      <c r="B281" s="1">
        <f>TableGCNETSCM[[#This Row],[Ver]]</f>
        <v>1</v>
      </c>
      <c r="D281" t="str">
        <f>TableGCNETSCM[[#This Row],[Structure Line]]</f>
        <v>Web Communications</v>
      </c>
      <c r="E281" s="115">
        <f>TableGCNETSCM[[#This Row],[Credit Points]]</f>
        <v>25</v>
      </c>
      <c r="F281">
        <v>1</v>
      </c>
      <c r="G281" t="s">
        <v>335</v>
      </c>
      <c r="H281">
        <v>1</v>
      </c>
      <c r="I281" t="s">
        <v>339</v>
      </c>
      <c r="J281" t="s">
        <v>167</v>
      </c>
      <c r="K281">
        <v>1</v>
      </c>
      <c r="L281" t="s">
        <v>482</v>
      </c>
      <c r="M281">
        <v>25</v>
      </c>
      <c r="N281" s="178">
        <v>42005</v>
      </c>
      <c r="O281" s="178"/>
      <c r="Q281" t="s">
        <v>167</v>
      </c>
      <c r="R281">
        <v>1</v>
      </c>
    </row>
    <row r="282" spans="1:18" x14ac:dyDescent="0.25">
      <c r="A282" t="str">
        <f>TableGCNETSCM[[#This Row],[Study Package Code]]</f>
        <v>NETS5001</v>
      </c>
      <c r="B282" s="1">
        <f>TableGCNETSCM[[#This Row],[Ver]]</f>
        <v>2</v>
      </c>
      <c r="D282" t="str">
        <f>TableGCNETSCM[[#This Row],[Structure Line]]</f>
        <v>Digital Culture and Everyday Life</v>
      </c>
      <c r="E282" s="115">
        <f>TableGCNETSCM[[#This Row],[Credit Points]]</f>
        <v>25</v>
      </c>
      <c r="F282">
        <v>1</v>
      </c>
      <c r="G282" t="s">
        <v>335</v>
      </c>
      <c r="H282">
        <v>1</v>
      </c>
      <c r="I282" t="s">
        <v>339</v>
      </c>
      <c r="J282" t="s">
        <v>290</v>
      </c>
      <c r="K282">
        <v>2</v>
      </c>
      <c r="L282" t="s">
        <v>483</v>
      </c>
      <c r="M282">
        <v>25</v>
      </c>
      <c r="N282" s="178">
        <v>42736</v>
      </c>
      <c r="O282" s="178"/>
      <c r="Q282" t="s">
        <v>290</v>
      </c>
      <c r="R282">
        <v>2</v>
      </c>
    </row>
    <row r="283" spans="1:18" x14ac:dyDescent="0.25">
      <c r="A283" t="str">
        <f>TableGCNETSCM[[#This Row],[Study Package Code]]</f>
        <v>NETS5003</v>
      </c>
      <c r="B283" s="1">
        <f>TableGCNETSCM[[#This Row],[Ver]]</f>
        <v>3</v>
      </c>
      <c r="D283" t="str">
        <f>TableGCNETSCM[[#This Row],[Structure Line]]</f>
        <v>Online Power and Resistance</v>
      </c>
      <c r="E283" s="115">
        <f>TableGCNETSCM[[#This Row],[Credit Points]]</f>
        <v>25</v>
      </c>
      <c r="F283">
        <v>1</v>
      </c>
      <c r="G283" t="s">
        <v>335</v>
      </c>
      <c r="H283">
        <v>1</v>
      </c>
      <c r="I283" t="s">
        <v>339</v>
      </c>
      <c r="J283" t="s">
        <v>291</v>
      </c>
      <c r="K283">
        <v>3</v>
      </c>
      <c r="L283" t="s">
        <v>484</v>
      </c>
      <c r="M283">
        <v>25</v>
      </c>
      <c r="N283" s="178">
        <v>44562</v>
      </c>
      <c r="O283" s="178"/>
      <c r="Q283" t="s">
        <v>291</v>
      </c>
      <c r="R283">
        <v>3</v>
      </c>
    </row>
    <row r="284" spans="1:18" x14ac:dyDescent="0.25">
      <c r="A284" t="str">
        <f>TableGCNETSCM[[#This Row],[Study Package Code]]</f>
        <v>NETS5004</v>
      </c>
      <c r="B284" s="1">
        <f>TableGCNETSCM[[#This Row],[Ver]]</f>
        <v>2</v>
      </c>
      <c r="D284" t="str">
        <f>TableGCNETSCM[[#This Row],[Structure Line]]</f>
        <v>Social Media, Communities and Networks</v>
      </c>
      <c r="E284" s="115">
        <f>TableGCNETSCM[[#This Row],[Credit Points]]</f>
        <v>25</v>
      </c>
      <c r="F284">
        <v>1</v>
      </c>
      <c r="G284" t="s">
        <v>335</v>
      </c>
      <c r="H284">
        <v>1</v>
      </c>
      <c r="I284" t="s">
        <v>339</v>
      </c>
      <c r="J284" t="s">
        <v>202</v>
      </c>
      <c r="K284">
        <v>2</v>
      </c>
      <c r="L284" t="s">
        <v>485</v>
      </c>
      <c r="M284">
        <v>25</v>
      </c>
      <c r="N284" s="178">
        <v>42736</v>
      </c>
      <c r="O284" s="178"/>
      <c r="Q284" t="s">
        <v>202</v>
      </c>
      <c r="R284">
        <v>2</v>
      </c>
    </row>
    <row r="285" spans="1:18" x14ac:dyDescent="0.25">
      <c r="A285" t="str">
        <f>TableGCNETSCM[[#This Row],[Study Package Code]]</f>
        <v>NETS5005</v>
      </c>
      <c r="B285" s="1">
        <f>TableGCNETSCM[[#This Row],[Ver]]</f>
        <v>2</v>
      </c>
      <c r="D285" t="str">
        <f>TableGCNETSCM[[#This Row],[Structure Line]]</f>
        <v>Writing on the Web</v>
      </c>
      <c r="E285" s="115">
        <f>TableGCNETSCM[[#This Row],[Credit Points]]</f>
        <v>25</v>
      </c>
      <c r="F285">
        <v>1</v>
      </c>
      <c r="G285" t="s">
        <v>335</v>
      </c>
      <c r="H285">
        <v>1</v>
      </c>
      <c r="I285" t="s">
        <v>339</v>
      </c>
      <c r="J285" t="s">
        <v>292</v>
      </c>
      <c r="K285">
        <v>2</v>
      </c>
      <c r="L285" t="s">
        <v>486</v>
      </c>
      <c r="M285">
        <v>25</v>
      </c>
      <c r="N285" s="178">
        <v>42736</v>
      </c>
      <c r="O285" s="178"/>
      <c r="Q285" t="s">
        <v>292</v>
      </c>
      <c r="R285">
        <v>2</v>
      </c>
    </row>
    <row r="286" spans="1:18" x14ac:dyDescent="0.25">
      <c r="A286" t="str">
        <f>TableGCNETSCM[[#This Row],[Study Package Code]]</f>
        <v>NETS5006</v>
      </c>
      <c r="B286" s="1">
        <f>TableGCNETSCM[[#This Row],[Ver]]</f>
        <v>2</v>
      </c>
      <c r="D286" t="str">
        <f>TableGCNETSCM[[#This Row],[Structure Line]]</f>
        <v>The Digital Economy</v>
      </c>
      <c r="E286" s="115">
        <f>TableGCNETSCM[[#This Row],[Credit Points]]</f>
        <v>25</v>
      </c>
      <c r="F286">
        <v>1</v>
      </c>
      <c r="G286" t="s">
        <v>335</v>
      </c>
      <c r="H286">
        <v>1</v>
      </c>
      <c r="I286" t="s">
        <v>339</v>
      </c>
      <c r="J286" t="s">
        <v>293</v>
      </c>
      <c r="K286">
        <v>2</v>
      </c>
      <c r="L286" t="s">
        <v>487</v>
      </c>
      <c r="M286">
        <v>25</v>
      </c>
      <c r="N286" s="178">
        <v>42736</v>
      </c>
      <c r="O286" s="178"/>
      <c r="Q286" t="s">
        <v>293</v>
      </c>
      <c r="R286">
        <v>2</v>
      </c>
    </row>
    <row r="287" spans="1:18" x14ac:dyDescent="0.25">
      <c r="A287" t="str">
        <f>TableGCNETSCM[[#This Row],[Study Package Code]]</f>
        <v>NETS5007</v>
      </c>
      <c r="B287" s="1">
        <f>TableGCNETSCM[[#This Row],[Ver]]</f>
        <v>2</v>
      </c>
      <c r="D287" t="str">
        <f>TableGCNETSCM[[#This Row],[Structure Line]]</f>
        <v>Internet Collaboration and Innovation</v>
      </c>
      <c r="E287" s="115">
        <f>TableGCNETSCM[[#This Row],[Credit Points]]</f>
        <v>25</v>
      </c>
      <c r="F287">
        <v>1</v>
      </c>
      <c r="G287" t="s">
        <v>335</v>
      </c>
      <c r="H287">
        <v>1</v>
      </c>
      <c r="I287" t="s">
        <v>339</v>
      </c>
      <c r="J287" t="s">
        <v>294</v>
      </c>
      <c r="K287">
        <v>2</v>
      </c>
      <c r="L287" t="s">
        <v>489</v>
      </c>
      <c r="M287">
        <v>25</v>
      </c>
      <c r="N287" s="178">
        <v>42736</v>
      </c>
      <c r="O287" s="178"/>
      <c r="Q287" t="s">
        <v>294</v>
      </c>
      <c r="R287">
        <v>2</v>
      </c>
    </row>
    <row r="288" spans="1:18" x14ac:dyDescent="0.25">
      <c r="A288" t="str">
        <f>TableGCNETSCM[[#This Row],[Study Package Code]]</f>
        <v>NETS5009</v>
      </c>
      <c r="B288" s="1">
        <f>TableGCNETSCM[[#This Row],[Ver]]</f>
        <v>3</v>
      </c>
      <c r="D288" t="str">
        <f>TableGCNETSCM[[#This Row],[Structure Line]]</f>
        <v>Digital and Social Media Development Futures</v>
      </c>
      <c r="E288" s="115">
        <f>TableGCNETSCM[[#This Row],[Credit Points]]</f>
        <v>25</v>
      </c>
      <c r="F288">
        <v>1</v>
      </c>
      <c r="G288" t="s">
        <v>335</v>
      </c>
      <c r="H288">
        <v>1</v>
      </c>
      <c r="I288" t="s">
        <v>339</v>
      </c>
      <c r="J288" t="s">
        <v>295</v>
      </c>
      <c r="K288">
        <v>3</v>
      </c>
      <c r="L288" t="s">
        <v>490</v>
      </c>
      <c r="M288">
        <v>25</v>
      </c>
      <c r="N288" s="178">
        <v>44927</v>
      </c>
      <c r="O288" s="178"/>
      <c r="Q288" t="s">
        <v>295</v>
      </c>
      <c r="R288">
        <v>3</v>
      </c>
    </row>
    <row r="289" spans="1:18" x14ac:dyDescent="0.25">
      <c r="A289" t="str">
        <f>TableGCNETSCM[[#This Row],[Study Package Code]]</f>
        <v>NETS5010</v>
      </c>
      <c r="B289" s="1">
        <f>TableGCNETSCM[[#This Row],[Ver]]</f>
        <v>1</v>
      </c>
      <c r="D289" t="str">
        <f>TableGCNETSCM[[#This Row],[Structure Line]]</f>
        <v>Web Media</v>
      </c>
      <c r="E289" s="115">
        <f>TableGCNETSCM[[#This Row],[Credit Points]]</f>
        <v>25</v>
      </c>
      <c r="F289">
        <v>1</v>
      </c>
      <c r="G289" t="s">
        <v>335</v>
      </c>
      <c r="H289">
        <v>1</v>
      </c>
      <c r="I289" t="s">
        <v>339</v>
      </c>
      <c r="J289" t="s">
        <v>146</v>
      </c>
      <c r="K289">
        <v>1</v>
      </c>
      <c r="L289" t="s">
        <v>491</v>
      </c>
      <c r="M289">
        <v>25</v>
      </c>
      <c r="N289" s="178">
        <v>42005</v>
      </c>
      <c r="O289" s="178"/>
      <c r="Q289" t="s">
        <v>146</v>
      </c>
      <c r="R289">
        <v>1</v>
      </c>
    </row>
    <row r="290" spans="1:18" x14ac:dyDescent="0.25">
      <c r="A290" t="str">
        <f>TableGCNETSCM[[#This Row],[Study Package Code]]</f>
        <v>NETS5011</v>
      </c>
      <c r="B290" s="1">
        <f>TableGCNETSCM[[#This Row],[Ver]]</f>
        <v>3</v>
      </c>
      <c r="D290" t="str">
        <f>TableGCNETSCM[[#This Row],[Structure Line]]</f>
        <v>Online Games and Play</v>
      </c>
      <c r="E290" s="115">
        <f>TableGCNETSCM[[#This Row],[Credit Points]]</f>
        <v>25</v>
      </c>
      <c r="F290">
        <v>1</v>
      </c>
      <c r="G290" t="s">
        <v>335</v>
      </c>
      <c r="H290">
        <v>1</v>
      </c>
      <c r="I290" t="s">
        <v>339</v>
      </c>
      <c r="J290" t="s">
        <v>296</v>
      </c>
      <c r="K290">
        <v>3</v>
      </c>
      <c r="L290" t="s">
        <v>492</v>
      </c>
      <c r="M290">
        <v>25</v>
      </c>
      <c r="N290" s="178">
        <v>45292</v>
      </c>
      <c r="O290" s="178"/>
      <c r="Q290" t="s">
        <v>296</v>
      </c>
      <c r="R290">
        <v>2</v>
      </c>
    </row>
    <row r="291" spans="1:18" x14ac:dyDescent="0.25">
      <c r="A291" t="str">
        <f>TableGCNETSCM[[#This Row],[Study Package Code]]</f>
        <v>NETS5000</v>
      </c>
      <c r="B291" s="1">
        <f>TableGCNETSCM[[#This Row],[Ver]]</f>
        <v>1</v>
      </c>
      <c r="D291" t="str">
        <f>TableGCNETSCM[[#This Row],[Structure Line]]</f>
        <v>Web Communications</v>
      </c>
      <c r="E291" s="115">
        <f>TableGCNETSCM[[#This Row],[Credit Points]]</f>
        <v>25</v>
      </c>
      <c r="F291">
        <v>2</v>
      </c>
      <c r="G291" t="s">
        <v>590</v>
      </c>
      <c r="H291">
        <v>1</v>
      </c>
      <c r="I291" t="s">
        <v>339</v>
      </c>
      <c r="J291" t="s">
        <v>167</v>
      </c>
      <c r="K291">
        <v>1</v>
      </c>
      <c r="L291" t="s">
        <v>482</v>
      </c>
      <c r="M291">
        <v>25</v>
      </c>
      <c r="N291" s="178">
        <v>42005</v>
      </c>
      <c r="O291" s="178"/>
      <c r="Q291" t="s">
        <v>167</v>
      </c>
      <c r="R291">
        <v>1</v>
      </c>
    </row>
    <row r="292" spans="1:18" x14ac:dyDescent="0.25">
      <c r="A292" t="str">
        <f>TableGCNETSCM[[#This Row],[Study Package Code]]</f>
        <v>NETS5001</v>
      </c>
      <c r="B292" s="1">
        <f>TableGCNETSCM[[#This Row],[Ver]]</f>
        <v>2</v>
      </c>
      <c r="D292" t="str">
        <f>TableGCNETSCM[[#This Row],[Structure Line]]</f>
        <v>Digital Culture and Everyday Life</v>
      </c>
      <c r="E292" s="115">
        <f>TableGCNETSCM[[#This Row],[Credit Points]]</f>
        <v>25</v>
      </c>
      <c r="F292">
        <v>2</v>
      </c>
      <c r="G292" t="s">
        <v>590</v>
      </c>
      <c r="H292">
        <v>1</v>
      </c>
      <c r="I292" t="s">
        <v>339</v>
      </c>
      <c r="J292" t="s">
        <v>290</v>
      </c>
      <c r="K292">
        <v>2</v>
      </c>
      <c r="L292" t="s">
        <v>483</v>
      </c>
      <c r="M292">
        <v>25</v>
      </c>
      <c r="N292" s="178">
        <v>42736</v>
      </c>
      <c r="O292" s="178"/>
      <c r="Q292" t="s">
        <v>290</v>
      </c>
      <c r="R292">
        <v>2</v>
      </c>
    </row>
    <row r="294" spans="1:18" x14ac:dyDescent="0.25">
      <c r="B294"/>
      <c r="E294"/>
      <c r="F294" s="111"/>
      <c r="G294" s="112" t="s">
        <v>573</v>
      </c>
      <c r="H294" s="251">
        <v>45292</v>
      </c>
      <c r="I294" s="177"/>
      <c r="J294" s="253" t="s">
        <v>118</v>
      </c>
      <c r="K294" s="252" t="s">
        <v>64</v>
      </c>
      <c r="L294" s="177" t="s">
        <v>117</v>
      </c>
      <c r="N294" s="250" t="s">
        <v>574</v>
      </c>
      <c r="O294" s="178">
        <v>45344</v>
      </c>
    </row>
    <row r="295" spans="1:18" x14ac:dyDescent="0.25">
      <c r="A295" t="s">
        <v>0</v>
      </c>
      <c r="B295" s="1" t="s">
        <v>46</v>
      </c>
      <c r="C295" t="s">
        <v>575</v>
      </c>
      <c r="D295" t="s">
        <v>3</v>
      </c>
      <c r="E295" s="115" t="s">
        <v>576</v>
      </c>
      <c r="F295" t="s">
        <v>577</v>
      </c>
      <c r="G295" t="s">
        <v>578</v>
      </c>
      <c r="H295" t="s">
        <v>579</v>
      </c>
      <c r="I295" t="s">
        <v>21</v>
      </c>
      <c r="J295" t="s">
        <v>580</v>
      </c>
      <c r="K295" t="s">
        <v>1</v>
      </c>
      <c r="L295" t="s">
        <v>581</v>
      </c>
      <c r="M295" t="s">
        <v>47</v>
      </c>
      <c r="N295" t="s">
        <v>582</v>
      </c>
      <c r="O295" t="s">
        <v>583</v>
      </c>
      <c r="Q295" t="s">
        <v>584</v>
      </c>
      <c r="R295" t="s">
        <v>1</v>
      </c>
    </row>
    <row r="296" spans="1:18" x14ac:dyDescent="0.25">
      <c r="A296" t="str">
        <f>TableMCINTRNS[[#This Row],[Study Package Code]]</f>
        <v>POLS5000</v>
      </c>
      <c r="B296" s="1">
        <f>TableMCINTRNS[[#This Row],[Ver]]</f>
        <v>2</v>
      </c>
      <c r="D296" t="str">
        <f>TableMCINTRNS[[#This Row],[Structure Line]]</f>
        <v>Foundations of International Security in the 21st Century</v>
      </c>
      <c r="E296" s="115">
        <f>TableMCINTRNS[[#This Row],[Credit Points]]</f>
        <v>25</v>
      </c>
      <c r="F296">
        <v>1</v>
      </c>
      <c r="G296" t="s">
        <v>585</v>
      </c>
      <c r="H296">
        <v>1</v>
      </c>
      <c r="I296" t="s">
        <v>586</v>
      </c>
      <c r="J296" t="s">
        <v>277</v>
      </c>
      <c r="K296">
        <v>2</v>
      </c>
      <c r="L296" t="s">
        <v>511</v>
      </c>
      <c r="M296">
        <v>25</v>
      </c>
      <c r="N296" s="178">
        <v>43101</v>
      </c>
      <c r="O296" s="178" t="s">
        <v>587</v>
      </c>
      <c r="Q296" t="s">
        <v>628</v>
      </c>
      <c r="R296">
        <v>1</v>
      </c>
    </row>
    <row r="297" spans="1:18" x14ac:dyDescent="0.25">
      <c r="A297" t="str">
        <f>TableMCINTRNS[[#This Row],[Study Package Code]]</f>
        <v>AC-INTRNS</v>
      </c>
      <c r="B297" s="1">
        <f>TableMCINTRNS[[#This Row],[Ver]]</f>
        <v>0</v>
      </c>
      <c r="D297" t="str">
        <f>TableMCINTRNS[[#This Row],[Structure Line]]</f>
        <v>Choose INTR5001 or POLS5003</v>
      </c>
      <c r="E297" s="115">
        <f>TableMCINTRNS[[#This Row],[Credit Points]]</f>
        <v>25</v>
      </c>
      <c r="F297">
        <v>2</v>
      </c>
      <c r="G297" t="s">
        <v>590</v>
      </c>
      <c r="H297">
        <v>1</v>
      </c>
      <c r="I297" t="s">
        <v>586</v>
      </c>
      <c r="J297" t="s">
        <v>311</v>
      </c>
      <c r="K297">
        <v>0</v>
      </c>
      <c r="L297" t="s">
        <v>629</v>
      </c>
      <c r="M297">
        <v>25</v>
      </c>
      <c r="N297" s="178"/>
      <c r="O297" s="178"/>
      <c r="Q297" t="s">
        <v>277</v>
      </c>
      <c r="R297">
        <v>2</v>
      </c>
    </row>
    <row r="298" spans="1:18" x14ac:dyDescent="0.25">
      <c r="A298" t="str">
        <f>TableMCINTRNS[[#This Row],[Study Package Code]]</f>
        <v>Opt-INTRNSY1</v>
      </c>
      <c r="B298" s="1">
        <f>TableMCINTRNS[[#This Row],[Ver]]</f>
        <v>0</v>
      </c>
      <c r="D298" t="str">
        <f>TableMCINTRNS[[#This Row],[Structure Line]]</f>
        <v>Choose Options for Year 1</v>
      </c>
      <c r="E298" s="115">
        <f>TableMCINTRNS[[#This Row],[Credit Points]]</f>
        <v>150</v>
      </c>
      <c r="F298">
        <v>3</v>
      </c>
      <c r="G298" t="s">
        <v>335</v>
      </c>
      <c r="H298">
        <v>1</v>
      </c>
      <c r="I298" t="s">
        <v>586</v>
      </c>
      <c r="J298" t="s">
        <v>312</v>
      </c>
      <c r="K298">
        <v>0</v>
      </c>
      <c r="L298" t="s">
        <v>600</v>
      </c>
      <c r="M298">
        <v>150</v>
      </c>
      <c r="N298" s="178"/>
      <c r="O298" s="178"/>
      <c r="Q298" t="s">
        <v>630</v>
      </c>
      <c r="R298">
        <v>0</v>
      </c>
    </row>
    <row r="299" spans="1:18" x14ac:dyDescent="0.25">
      <c r="A299" t="str">
        <f>TableMCINTRNS[[#This Row],[Study Package Code]]</f>
        <v>Opt-INTRNSY2</v>
      </c>
      <c r="B299" s="1">
        <f>TableMCINTRNS[[#This Row],[Ver]]</f>
        <v>0</v>
      </c>
      <c r="D299" t="str">
        <f>TableMCINTRNS[[#This Row],[Structure Line]]</f>
        <v>Choose Options for Year 2</v>
      </c>
      <c r="E299" s="115">
        <f>TableMCINTRNS[[#This Row],[Credit Points]]</f>
        <v>100</v>
      </c>
      <c r="F299">
        <v>4</v>
      </c>
      <c r="G299" t="s">
        <v>335</v>
      </c>
      <c r="H299">
        <v>2</v>
      </c>
      <c r="I299" t="s">
        <v>586</v>
      </c>
      <c r="J299" t="s">
        <v>316</v>
      </c>
      <c r="K299">
        <v>0</v>
      </c>
      <c r="L299" t="s">
        <v>603</v>
      </c>
      <c r="M299">
        <v>100</v>
      </c>
      <c r="N299" s="178"/>
      <c r="O299" s="178"/>
      <c r="Q299" t="s">
        <v>631</v>
      </c>
      <c r="R299">
        <v>0</v>
      </c>
    </row>
    <row r="300" spans="1:18" x14ac:dyDescent="0.25">
      <c r="A300" t="str">
        <f>TableMCINTRNS[[#This Row],[Study Package Code]]</f>
        <v>INTR5001</v>
      </c>
      <c r="B300" s="1">
        <f>TableMCINTRNS[[#This Row],[Ver]]</f>
        <v>1</v>
      </c>
      <c r="D300" t="str">
        <f>TableMCINTRNS[[#This Row],[Structure Line]]</f>
        <v>Contemporary Issues in International Relations</v>
      </c>
      <c r="E300" s="115">
        <f>TableMCINTRNS[[#This Row],[Credit Points]]</f>
        <v>25</v>
      </c>
      <c r="F300">
        <v>2</v>
      </c>
      <c r="G300" t="s">
        <v>590</v>
      </c>
      <c r="H300">
        <v>1</v>
      </c>
      <c r="I300" t="s">
        <v>586</v>
      </c>
      <c r="J300" t="s">
        <v>276</v>
      </c>
      <c r="K300">
        <v>1</v>
      </c>
      <c r="L300" t="s">
        <v>430</v>
      </c>
      <c r="M300">
        <v>25</v>
      </c>
      <c r="N300" s="178">
        <v>42005</v>
      </c>
      <c r="O300" s="178"/>
      <c r="Q300" t="s">
        <v>276</v>
      </c>
      <c r="R300">
        <v>1</v>
      </c>
    </row>
    <row r="301" spans="1:18" x14ac:dyDescent="0.25">
      <c r="A301" t="str">
        <f>TableMCINTRNS[[#This Row],[Study Package Code]]</f>
        <v>POLS5003</v>
      </c>
      <c r="B301" s="1">
        <f>TableMCINTRNS[[#This Row],[Ver]]</f>
        <v>1</v>
      </c>
      <c r="D301" t="str">
        <f>TableMCINTRNS[[#This Row],[Structure Line]]</f>
        <v>National Security and Strategy</v>
      </c>
      <c r="E301" s="115">
        <f>TableMCINTRNS[[#This Row],[Credit Points]]</f>
        <v>25</v>
      </c>
      <c r="F301">
        <v>2</v>
      </c>
      <c r="G301" t="s">
        <v>590</v>
      </c>
      <c r="H301">
        <v>1</v>
      </c>
      <c r="I301" t="s">
        <v>586</v>
      </c>
      <c r="J301" t="s">
        <v>304</v>
      </c>
      <c r="K301">
        <v>1</v>
      </c>
      <c r="L301" t="s">
        <v>513</v>
      </c>
      <c r="M301">
        <v>25</v>
      </c>
      <c r="N301" s="178">
        <v>42005</v>
      </c>
      <c r="O301" s="178"/>
      <c r="Q301" t="s">
        <v>304</v>
      </c>
      <c r="R301">
        <v>1</v>
      </c>
    </row>
    <row r="302" spans="1:18" x14ac:dyDescent="0.25">
      <c r="A302" t="str">
        <f>TableMCINTRNS[[#This Row],[Study Package Code]]</f>
        <v>HUMN6001</v>
      </c>
      <c r="B302" s="1">
        <f>TableMCINTRNS[[#This Row],[Ver]]</f>
        <v>1</v>
      </c>
      <c r="D302" t="str">
        <f>TableMCINTRNS[[#This Row],[Structure Line]]</f>
        <v>Masters Research Project 1</v>
      </c>
      <c r="E302" s="115">
        <f>TableMCINTRNS[[#This Row],[Credit Points]]</f>
        <v>50</v>
      </c>
      <c r="F302">
        <v>3</v>
      </c>
      <c r="G302" t="s">
        <v>335</v>
      </c>
      <c r="H302">
        <v>1</v>
      </c>
      <c r="I302" t="s">
        <v>586</v>
      </c>
      <c r="J302" t="s">
        <v>165</v>
      </c>
      <c r="K302">
        <v>1</v>
      </c>
      <c r="L302" t="s">
        <v>597</v>
      </c>
      <c r="M302">
        <v>50</v>
      </c>
      <c r="N302" s="178">
        <v>45292</v>
      </c>
      <c r="O302" s="178"/>
      <c r="Q302" t="s">
        <v>273</v>
      </c>
      <c r="R302">
        <v>1</v>
      </c>
    </row>
    <row r="303" spans="1:18" x14ac:dyDescent="0.25">
      <c r="A303" t="str">
        <f>TableMCINTRNS[[#This Row],[Study Package Code]]</f>
        <v>INTR5002</v>
      </c>
      <c r="B303" s="1">
        <f>TableMCINTRNS[[#This Row],[Ver]]</f>
        <v>1</v>
      </c>
      <c r="D303" t="str">
        <f>TableMCINTRNS[[#This Row],[Structure Line]]</f>
        <v>Asia Pacific Studies</v>
      </c>
      <c r="E303" s="115">
        <f>TableMCINTRNS[[#This Row],[Credit Points]]</f>
        <v>25</v>
      </c>
      <c r="F303">
        <v>3</v>
      </c>
      <c r="G303" t="s">
        <v>335</v>
      </c>
      <c r="H303">
        <v>1</v>
      </c>
      <c r="I303" t="s">
        <v>586</v>
      </c>
      <c r="J303" t="s">
        <v>273</v>
      </c>
      <c r="K303">
        <v>1</v>
      </c>
      <c r="L303" t="s">
        <v>432</v>
      </c>
      <c r="M303">
        <v>25</v>
      </c>
      <c r="N303" s="178">
        <v>42005</v>
      </c>
      <c r="O303" s="178"/>
      <c r="Q303" t="s">
        <v>313</v>
      </c>
      <c r="R303">
        <v>1</v>
      </c>
    </row>
    <row r="304" spans="1:18" x14ac:dyDescent="0.25">
      <c r="A304" t="str">
        <f>TableMCINTRNS[[#This Row],[Study Package Code]]</f>
        <v>INTR5003</v>
      </c>
      <c r="B304" s="1">
        <f>TableMCINTRNS[[#This Row],[Ver]]</f>
        <v>1</v>
      </c>
      <c r="D304" t="str">
        <f>TableMCINTRNS[[#This Row],[Structure Line]]</f>
        <v>Strategic Geography</v>
      </c>
      <c r="E304" s="115">
        <f>TableMCINTRNS[[#This Row],[Credit Points]]</f>
        <v>25</v>
      </c>
      <c r="F304">
        <v>3</v>
      </c>
      <c r="G304" t="s">
        <v>335</v>
      </c>
      <c r="H304">
        <v>1</v>
      </c>
      <c r="I304" t="s">
        <v>586</v>
      </c>
      <c r="J304" t="s">
        <v>313</v>
      </c>
      <c r="K304">
        <v>1</v>
      </c>
      <c r="L304" t="s">
        <v>433</v>
      </c>
      <c r="M304">
        <v>25</v>
      </c>
      <c r="N304" s="178">
        <v>42005</v>
      </c>
      <c r="O304" s="178"/>
      <c r="Q304" t="s">
        <v>314</v>
      </c>
      <c r="R304">
        <v>1</v>
      </c>
    </row>
    <row r="305" spans="1:18" x14ac:dyDescent="0.25">
      <c r="A305" t="str">
        <f>TableMCINTRNS[[#This Row],[Study Package Code]]</f>
        <v>INTR5004</v>
      </c>
      <c r="B305" s="1">
        <f>TableMCINTRNS[[#This Row],[Ver]]</f>
        <v>1</v>
      </c>
      <c r="D305" t="str">
        <f>TableMCINTRNS[[#This Row],[Structure Line]]</f>
        <v>Russian and Eurasian Studies</v>
      </c>
      <c r="E305" s="115">
        <f>TableMCINTRNS[[#This Row],[Credit Points]]</f>
        <v>25</v>
      </c>
      <c r="F305">
        <v>3</v>
      </c>
      <c r="G305" t="s">
        <v>335</v>
      </c>
      <c r="H305">
        <v>1</v>
      </c>
      <c r="I305" t="s">
        <v>586</v>
      </c>
      <c r="J305" t="s">
        <v>314</v>
      </c>
      <c r="K305">
        <v>1</v>
      </c>
      <c r="L305" t="s">
        <v>434</v>
      </c>
      <c r="M305">
        <v>25</v>
      </c>
      <c r="N305" s="178">
        <v>42005</v>
      </c>
      <c r="O305" s="178"/>
      <c r="Q305" t="s">
        <v>315</v>
      </c>
      <c r="R305">
        <v>1</v>
      </c>
    </row>
    <row r="306" spans="1:18" x14ac:dyDescent="0.25">
      <c r="A306" t="str">
        <f>TableMCINTRNS[[#This Row],[Study Package Code]]</f>
        <v>INTR5005</v>
      </c>
      <c r="B306" s="1">
        <f>TableMCINTRNS[[#This Row],[Ver]]</f>
        <v>1</v>
      </c>
      <c r="D306" t="str">
        <f>TableMCINTRNS[[#This Row],[Structure Line]]</f>
        <v>Globalised Terrorism</v>
      </c>
      <c r="E306" s="115">
        <f>TableMCINTRNS[[#This Row],[Credit Points]]</f>
        <v>25</v>
      </c>
      <c r="F306">
        <v>3</v>
      </c>
      <c r="G306" t="s">
        <v>335</v>
      </c>
      <c r="H306">
        <v>1</v>
      </c>
      <c r="I306" t="s">
        <v>586</v>
      </c>
      <c r="J306" t="s">
        <v>315</v>
      </c>
      <c r="K306">
        <v>1</v>
      </c>
      <c r="L306" t="s">
        <v>435</v>
      </c>
      <c r="M306">
        <v>25</v>
      </c>
      <c r="N306" s="178">
        <v>42005</v>
      </c>
      <c r="O306" s="178"/>
      <c r="Q306" t="s">
        <v>275</v>
      </c>
      <c r="R306">
        <v>1</v>
      </c>
    </row>
    <row r="307" spans="1:18" x14ac:dyDescent="0.25">
      <c r="A307" t="str">
        <f>TableMCINTRNS[[#This Row],[Study Package Code]]</f>
        <v>INTR5006</v>
      </c>
      <c r="B307" s="1">
        <f>TableMCINTRNS[[#This Row],[Ver]]</f>
        <v>1</v>
      </c>
      <c r="D307" t="str">
        <f>TableMCINTRNS[[#This Row],[Structure Line]]</f>
        <v>Intelligence and Analysis</v>
      </c>
      <c r="E307" s="115">
        <f>TableMCINTRNS[[#This Row],[Credit Points]]</f>
        <v>25</v>
      </c>
      <c r="F307">
        <v>3</v>
      </c>
      <c r="G307" t="s">
        <v>335</v>
      </c>
      <c r="H307">
        <v>1</v>
      </c>
      <c r="I307" t="s">
        <v>586</v>
      </c>
      <c r="J307" t="s">
        <v>275</v>
      </c>
      <c r="K307">
        <v>1</v>
      </c>
      <c r="L307" t="s">
        <v>436</v>
      </c>
      <c r="M307">
        <v>25</v>
      </c>
      <c r="N307" s="178">
        <v>42005</v>
      </c>
      <c r="O307" s="178"/>
      <c r="Q307" t="s">
        <v>317</v>
      </c>
      <c r="R307">
        <v>2</v>
      </c>
    </row>
    <row r="308" spans="1:18" x14ac:dyDescent="0.25">
      <c r="A308" t="str">
        <f>TableMCINTRNS[[#This Row],[Study Package Code]]</f>
        <v>INTR5008</v>
      </c>
      <c r="B308" s="1">
        <f>TableMCINTRNS[[#This Row],[Ver]]</f>
        <v>2</v>
      </c>
      <c r="D308" t="str">
        <f>TableMCINTRNS[[#This Row],[Structure Line]]</f>
        <v>Cultures of Violence and Conflict</v>
      </c>
      <c r="E308" s="115">
        <f>TableMCINTRNS[[#This Row],[Credit Points]]</f>
        <v>25</v>
      </c>
      <c r="F308">
        <v>3</v>
      </c>
      <c r="G308" t="s">
        <v>335</v>
      </c>
      <c r="H308">
        <v>1</v>
      </c>
      <c r="I308" t="s">
        <v>586</v>
      </c>
      <c r="J308" t="s">
        <v>317</v>
      </c>
      <c r="K308">
        <v>2</v>
      </c>
      <c r="L308" t="s">
        <v>437</v>
      </c>
      <c r="M308">
        <v>25</v>
      </c>
      <c r="N308" s="178">
        <v>44927</v>
      </c>
      <c r="O308" s="178"/>
      <c r="Q308" t="s">
        <v>318</v>
      </c>
      <c r="R308">
        <v>1</v>
      </c>
    </row>
    <row r="309" spans="1:18" x14ac:dyDescent="0.25">
      <c r="A309" t="str">
        <f>TableMCINTRNS[[#This Row],[Study Package Code]]</f>
        <v>INTR5009</v>
      </c>
      <c r="B309" s="1">
        <f>TableMCINTRNS[[#This Row],[Ver]]</f>
        <v>1</v>
      </c>
      <c r="D309" t="str">
        <f>TableMCINTRNS[[#This Row],[Structure Line]]</f>
        <v>Information Operations and Cyber Power</v>
      </c>
      <c r="E309" s="115">
        <f>TableMCINTRNS[[#This Row],[Credit Points]]</f>
        <v>25</v>
      </c>
      <c r="F309">
        <v>3</v>
      </c>
      <c r="G309" t="s">
        <v>335</v>
      </c>
      <c r="H309">
        <v>1</v>
      </c>
      <c r="I309" t="s">
        <v>586</v>
      </c>
      <c r="J309" t="s">
        <v>318</v>
      </c>
      <c r="K309">
        <v>1</v>
      </c>
      <c r="L309" t="s">
        <v>438</v>
      </c>
      <c r="M309">
        <v>25</v>
      </c>
      <c r="N309" s="178">
        <v>44197</v>
      </c>
      <c r="O309" s="178"/>
      <c r="Q309" t="s">
        <v>319</v>
      </c>
      <c r="R309">
        <v>1</v>
      </c>
    </row>
    <row r="310" spans="1:18" x14ac:dyDescent="0.25">
      <c r="A310" t="str">
        <f>TableMCINTRNS[[#This Row],[Study Package Code]]</f>
        <v>POLS5002</v>
      </c>
      <c r="B310" s="1">
        <f>TableMCINTRNS[[#This Row],[Ver]]</f>
        <v>1</v>
      </c>
      <c r="D310" t="str">
        <f>TableMCINTRNS[[#This Row],[Structure Line]]</f>
        <v>Security and Conflict in the Indian Ocean and Persian Gulf</v>
      </c>
      <c r="E310" s="115">
        <f>TableMCINTRNS[[#This Row],[Credit Points]]</f>
        <v>25</v>
      </c>
      <c r="F310">
        <v>3</v>
      </c>
      <c r="G310" t="s">
        <v>335</v>
      </c>
      <c r="H310">
        <v>1</v>
      </c>
      <c r="I310" t="s">
        <v>586</v>
      </c>
      <c r="J310" t="s">
        <v>319</v>
      </c>
      <c r="K310">
        <v>1</v>
      </c>
      <c r="L310" t="s">
        <v>512</v>
      </c>
      <c r="M310">
        <v>25</v>
      </c>
      <c r="N310" s="178">
        <v>42005</v>
      </c>
      <c r="O310" s="178"/>
      <c r="Q310" t="s">
        <v>278</v>
      </c>
      <c r="R310">
        <v>1</v>
      </c>
    </row>
    <row r="311" spans="1:18" x14ac:dyDescent="0.25">
      <c r="A311" t="str">
        <f>TableMCINTRNS[[#This Row],[Study Package Code]]</f>
        <v>POLS5004</v>
      </c>
      <c r="B311" s="1">
        <f>TableMCINTRNS[[#This Row],[Ver]]</f>
        <v>1</v>
      </c>
      <c r="D311" t="str">
        <f>TableMCINTRNS[[#This Row],[Structure Line]]</f>
        <v>Geo-Strategy and Energy Security</v>
      </c>
      <c r="E311" s="115">
        <f>TableMCINTRNS[[#This Row],[Credit Points]]</f>
        <v>25</v>
      </c>
      <c r="F311">
        <v>3</v>
      </c>
      <c r="G311" t="s">
        <v>335</v>
      </c>
      <c r="H311">
        <v>1</v>
      </c>
      <c r="I311" t="s">
        <v>586</v>
      </c>
      <c r="J311" t="s">
        <v>278</v>
      </c>
      <c r="K311">
        <v>1</v>
      </c>
      <c r="L311" t="s">
        <v>514</v>
      </c>
      <c r="M311">
        <v>25</v>
      </c>
      <c r="N311" s="178">
        <v>42005</v>
      </c>
      <c r="O311" s="178"/>
      <c r="Q311" t="s">
        <v>632</v>
      </c>
      <c r="R311">
        <v>1</v>
      </c>
    </row>
    <row r="312" spans="1:18" x14ac:dyDescent="0.25">
      <c r="A312" t="str">
        <f>TableMCINTRNS[[#This Row],[Study Package Code]]</f>
        <v>COMS6004</v>
      </c>
      <c r="B312" s="1">
        <f>TableMCINTRNS[[#This Row],[Ver]]</f>
        <v>2</v>
      </c>
      <c r="D312" t="str">
        <f>TableMCINTRNS[[#This Row],[Structure Line]]</f>
        <v>Masters Professional or Creative Project</v>
      </c>
      <c r="E312" s="115">
        <f>TableMCINTRNS[[#This Row],[Credit Points]]</f>
        <v>50</v>
      </c>
      <c r="F312">
        <v>4</v>
      </c>
      <c r="G312" t="s">
        <v>335</v>
      </c>
      <c r="H312">
        <v>2</v>
      </c>
      <c r="I312" t="s">
        <v>586</v>
      </c>
      <c r="J312" t="s">
        <v>139</v>
      </c>
      <c r="K312">
        <v>2</v>
      </c>
      <c r="L312" t="s">
        <v>376</v>
      </c>
      <c r="M312">
        <v>50</v>
      </c>
      <c r="N312" s="178">
        <v>45292</v>
      </c>
      <c r="O312" s="178"/>
      <c r="Q312" t="s">
        <v>273</v>
      </c>
      <c r="R312">
        <v>1</v>
      </c>
    </row>
    <row r="313" spans="1:18" x14ac:dyDescent="0.25">
      <c r="A313" t="str">
        <f>TableMCINTRNS[[#This Row],[Study Package Code]]</f>
        <v>HUMN6003</v>
      </c>
      <c r="B313" s="1">
        <f>TableMCINTRNS[[#This Row],[Ver]]</f>
        <v>1</v>
      </c>
      <c r="D313" t="str">
        <f>TableMCINTRNS[[#This Row],[Structure Line]]</f>
        <v>Masters Research Project 2</v>
      </c>
      <c r="E313" s="115">
        <f>TableMCINTRNS[[#This Row],[Credit Points]]</f>
        <v>50</v>
      </c>
      <c r="F313">
        <v>4</v>
      </c>
      <c r="G313" t="s">
        <v>335</v>
      </c>
      <c r="H313">
        <v>2</v>
      </c>
      <c r="I313" t="s">
        <v>586</v>
      </c>
      <c r="J313" t="s">
        <v>144</v>
      </c>
      <c r="K313">
        <v>1</v>
      </c>
      <c r="L313" t="s">
        <v>594</v>
      </c>
      <c r="M313">
        <v>50</v>
      </c>
      <c r="N313" s="178">
        <v>45292</v>
      </c>
      <c r="O313" s="178"/>
      <c r="Q313" t="s">
        <v>313</v>
      </c>
      <c r="R313">
        <v>1</v>
      </c>
    </row>
    <row r="314" spans="1:18" x14ac:dyDescent="0.25">
      <c r="A314" t="str">
        <f>TableMCINTRNS[[#This Row],[Study Package Code]]</f>
        <v>INTR5002</v>
      </c>
      <c r="B314" s="1">
        <f>TableMCINTRNS[[#This Row],[Ver]]</f>
        <v>1</v>
      </c>
      <c r="D314" t="str">
        <f>TableMCINTRNS[[#This Row],[Structure Line]]</f>
        <v>Asia Pacific Studies</v>
      </c>
      <c r="E314" s="115">
        <f>TableMCINTRNS[[#This Row],[Credit Points]]</f>
        <v>25</v>
      </c>
      <c r="F314">
        <v>4</v>
      </c>
      <c r="G314" t="s">
        <v>335</v>
      </c>
      <c r="H314">
        <v>2</v>
      </c>
      <c r="I314" t="s">
        <v>586</v>
      </c>
      <c r="J314" t="s">
        <v>273</v>
      </c>
      <c r="K314">
        <v>1</v>
      </c>
      <c r="L314" t="s">
        <v>432</v>
      </c>
      <c r="M314">
        <v>25</v>
      </c>
      <c r="N314" s="178">
        <v>42005</v>
      </c>
      <c r="O314" s="178"/>
      <c r="Q314" t="s">
        <v>314</v>
      </c>
      <c r="R314">
        <v>1</v>
      </c>
    </row>
    <row r="315" spans="1:18" x14ac:dyDescent="0.25">
      <c r="A315" t="str">
        <f>TableMCINTRNS[[#This Row],[Study Package Code]]</f>
        <v>INTR5003</v>
      </c>
      <c r="B315" s="1">
        <f>TableMCINTRNS[[#This Row],[Ver]]</f>
        <v>1</v>
      </c>
      <c r="D315" t="str">
        <f>TableMCINTRNS[[#This Row],[Structure Line]]</f>
        <v>Strategic Geography</v>
      </c>
      <c r="E315" s="115">
        <f>TableMCINTRNS[[#This Row],[Credit Points]]</f>
        <v>25</v>
      </c>
      <c r="F315">
        <v>4</v>
      </c>
      <c r="G315" t="s">
        <v>335</v>
      </c>
      <c r="H315">
        <v>2</v>
      </c>
      <c r="I315" t="s">
        <v>586</v>
      </c>
      <c r="J315" t="s">
        <v>313</v>
      </c>
      <c r="K315">
        <v>1</v>
      </c>
      <c r="L315" t="s">
        <v>433</v>
      </c>
      <c r="M315">
        <v>25</v>
      </c>
      <c r="N315" s="178">
        <v>42005</v>
      </c>
      <c r="O315" s="178"/>
      <c r="Q315" t="s">
        <v>315</v>
      </c>
      <c r="R315">
        <v>1</v>
      </c>
    </row>
    <row r="316" spans="1:18" x14ac:dyDescent="0.25">
      <c r="A316" t="str">
        <f>TableMCINTRNS[[#This Row],[Study Package Code]]</f>
        <v>INTR5004</v>
      </c>
      <c r="B316" s="1">
        <f>TableMCINTRNS[[#This Row],[Ver]]</f>
        <v>1</v>
      </c>
      <c r="D316" t="str">
        <f>TableMCINTRNS[[#This Row],[Structure Line]]</f>
        <v>Russian and Eurasian Studies</v>
      </c>
      <c r="E316" s="115">
        <f>TableMCINTRNS[[#This Row],[Credit Points]]</f>
        <v>25</v>
      </c>
      <c r="F316">
        <v>4</v>
      </c>
      <c r="G316" t="s">
        <v>335</v>
      </c>
      <c r="H316">
        <v>2</v>
      </c>
      <c r="I316" t="s">
        <v>586</v>
      </c>
      <c r="J316" t="s">
        <v>314</v>
      </c>
      <c r="K316">
        <v>1</v>
      </c>
      <c r="L316" t="s">
        <v>434</v>
      </c>
      <c r="M316">
        <v>25</v>
      </c>
      <c r="N316" s="178">
        <v>42005</v>
      </c>
      <c r="O316" s="178"/>
      <c r="Q316" t="s">
        <v>275</v>
      </c>
      <c r="R316">
        <v>1</v>
      </c>
    </row>
    <row r="317" spans="1:18" x14ac:dyDescent="0.25">
      <c r="A317" t="str">
        <f>TableMCINTRNS[[#This Row],[Study Package Code]]</f>
        <v>INTR5005</v>
      </c>
      <c r="B317" s="1">
        <f>TableMCINTRNS[[#This Row],[Ver]]</f>
        <v>1</v>
      </c>
      <c r="D317" t="str">
        <f>TableMCINTRNS[[#This Row],[Structure Line]]</f>
        <v>Globalised Terrorism</v>
      </c>
      <c r="E317" s="115">
        <f>TableMCINTRNS[[#This Row],[Credit Points]]</f>
        <v>25</v>
      </c>
      <c r="F317">
        <v>4</v>
      </c>
      <c r="G317" t="s">
        <v>335</v>
      </c>
      <c r="H317">
        <v>2</v>
      </c>
      <c r="I317" t="s">
        <v>586</v>
      </c>
      <c r="J317" t="s">
        <v>315</v>
      </c>
      <c r="K317">
        <v>1</v>
      </c>
      <c r="L317" t="s">
        <v>435</v>
      </c>
      <c r="M317">
        <v>25</v>
      </c>
      <c r="N317" s="178">
        <v>42005</v>
      </c>
      <c r="O317" s="178"/>
      <c r="Q317" t="s">
        <v>317</v>
      </c>
      <c r="R317">
        <v>2</v>
      </c>
    </row>
    <row r="318" spans="1:18" x14ac:dyDescent="0.25">
      <c r="A318" t="str">
        <f>TableMCINTRNS[[#This Row],[Study Package Code]]</f>
        <v>INTR5006</v>
      </c>
      <c r="B318" s="1">
        <f>TableMCINTRNS[[#This Row],[Ver]]</f>
        <v>1</v>
      </c>
      <c r="D318" t="str">
        <f>TableMCINTRNS[[#This Row],[Structure Line]]</f>
        <v>Intelligence and Analysis</v>
      </c>
      <c r="E318" s="115">
        <f>TableMCINTRNS[[#This Row],[Credit Points]]</f>
        <v>25</v>
      </c>
      <c r="F318">
        <v>4</v>
      </c>
      <c r="G318" t="s">
        <v>335</v>
      </c>
      <c r="H318">
        <v>2</v>
      </c>
      <c r="I318" t="s">
        <v>586</v>
      </c>
      <c r="J318" t="s">
        <v>275</v>
      </c>
      <c r="K318">
        <v>1</v>
      </c>
      <c r="L318" t="s">
        <v>436</v>
      </c>
      <c r="M318">
        <v>25</v>
      </c>
      <c r="N318" s="178">
        <v>42005</v>
      </c>
      <c r="O318" s="178"/>
      <c r="Q318" t="s">
        <v>318</v>
      </c>
      <c r="R318">
        <v>1</v>
      </c>
    </row>
    <row r="319" spans="1:18" x14ac:dyDescent="0.25">
      <c r="A319" t="str">
        <f>TableMCINTRNS[[#This Row],[Study Package Code]]</f>
        <v>INTR5008</v>
      </c>
      <c r="B319" s="1">
        <f>TableMCINTRNS[[#This Row],[Ver]]</f>
        <v>2</v>
      </c>
      <c r="D319" t="str">
        <f>TableMCINTRNS[[#This Row],[Structure Line]]</f>
        <v>Cultures of Violence and Conflict</v>
      </c>
      <c r="E319" s="115">
        <f>TableMCINTRNS[[#This Row],[Credit Points]]</f>
        <v>25</v>
      </c>
      <c r="F319">
        <v>4</v>
      </c>
      <c r="G319" t="s">
        <v>335</v>
      </c>
      <c r="H319">
        <v>2</v>
      </c>
      <c r="I319" t="s">
        <v>586</v>
      </c>
      <c r="J319" t="s">
        <v>317</v>
      </c>
      <c r="K319">
        <v>2</v>
      </c>
      <c r="L319" t="s">
        <v>437</v>
      </c>
      <c r="M319">
        <v>25</v>
      </c>
      <c r="N319" s="178">
        <v>44927</v>
      </c>
      <c r="O319" s="178"/>
      <c r="Q319" t="s">
        <v>633</v>
      </c>
      <c r="R319">
        <v>1</v>
      </c>
    </row>
    <row r="320" spans="1:18" x14ac:dyDescent="0.25">
      <c r="A320" t="str">
        <f>TableMCINTRNS[[#This Row],[Study Package Code]]</f>
        <v>INTR5009</v>
      </c>
      <c r="B320" s="1">
        <f>TableMCINTRNS[[#This Row],[Ver]]</f>
        <v>1</v>
      </c>
      <c r="D320" t="str">
        <f>TableMCINTRNS[[#This Row],[Structure Line]]</f>
        <v>Information Operations and Cyber Power</v>
      </c>
      <c r="E320" s="115">
        <f>TableMCINTRNS[[#This Row],[Credit Points]]</f>
        <v>25</v>
      </c>
      <c r="F320">
        <v>4</v>
      </c>
      <c r="G320" t="s">
        <v>335</v>
      </c>
      <c r="H320">
        <v>2</v>
      </c>
      <c r="I320" t="s">
        <v>586</v>
      </c>
      <c r="J320" t="s">
        <v>318</v>
      </c>
      <c r="K320">
        <v>1</v>
      </c>
      <c r="L320" t="s">
        <v>438</v>
      </c>
      <c r="M320">
        <v>25</v>
      </c>
      <c r="N320" s="178">
        <v>44197</v>
      </c>
      <c r="O320" s="178"/>
      <c r="Q320" t="s">
        <v>634</v>
      </c>
      <c r="R320">
        <v>1</v>
      </c>
    </row>
    <row r="321" spans="1:18" x14ac:dyDescent="0.25">
      <c r="A321" t="str">
        <f>TableMCINTRNS[[#This Row],[Study Package Code]]</f>
        <v>POLS5002</v>
      </c>
      <c r="B321" s="1">
        <f>TableMCINTRNS[[#This Row],[Ver]]</f>
        <v>1</v>
      </c>
      <c r="D321" t="str">
        <f>TableMCINTRNS[[#This Row],[Structure Line]]</f>
        <v>Security and Conflict in the Indian Ocean and Persian Gulf</v>
      </c>
      <c r="E321" s="115">
        <f>TableMCINTRNS[[#This Row],[Credit Points]]</f>
        <v>25</v>
      </c>
      <c r="F321">
        <v>4</v>
      </c>
      <c r="G321" t="s">
        <v>335</v>
      </c>
      <c r="H321">
        <v>2</v>
      </c>
      <c r="I321" t="s">
        <v>586</v>
      </c>
      <c r="J321" t="s">
        <v>319</v>
      </c>
      <c r="K321">
        <v>1</v>
      </c>
      <c r="L321" t="s">
        <v>512</v>
      </c>
      <c r="M321">
        <v>25</v>
      </c>
      <c r="N321" s="178">
        <v>42005</v>
      </c>
      <c r="O321" s="178"/>
      <c r="Q321" t="s">
        <v>319</v>
      </c>
      <c r="R321">
        <v>1</v>
      </c>
    </row>
    <row r="322" spans="1:18" x14ac:dyDescent="0.25">
      <c r="A322" t="str">
        <f>TableMCINTRNS[[#This Row],[Study Package Code]]</f>
        <v>POLS5004</v>
      </c>
      <c r="B322" s="1">
        <f>TableMCINTRNS[[#This Row],[Ver]]</f>
        <v>1</v>
      </c>
      <c r="D322" t="str">
        <f>TableMCINTRNS[[#This Row],[Structure Line]]</f>
        <v>Geo-Strategy and Energy Security</v>
      </c>
      <c r="E322" s="115">
        <f>TableMCINTRNS[[#This Row],[Credit Points]]</f>
        <v>25</v>
      </c>
      <c r="F322">
        <v>4</v>
      </c>
      <c r="G322" t="s">
        <v>335</v>
      </c>
      <c r="H322">
        <v>2</v>
      </c>
      <c r="I322" t="s">
        <v>586</v>
      </c>
      <c r="J322" t="s">
        <v>278</v>
      </c>
      <c r="K322">
        <v>1</v>
      </c>
      <c r="L322" t="s">
        <v>514</v>
      </c>
      <c r="M322">
        <v>25</v>
      </c>
      <c r="N322" s="178">
        <v>42005</v>
      </c>
      <c r="O322" s="178"/>
      <c r="Q322" t="s">
        <v>278</v>
      </c>
      <c r="R322">
        <v>1</v>
      </c>
    </row>
    <row r="323" spans="1:18" x14ac:dyDescent="0.25">
      <c r="B323"/>
      <c r="E323"/>
      <c r="F323" s="111"/>
      <c r="G323" s="112" t="s">
        <v>573</v>
      </c>
      <c r="H323" s="265">
        <v>42005</v>
      </c>
      <c r="I323" s="177"/>
      <c r="J323" s="253" t="s">
        <v>116</v>
      </c>
      <c r="K323" s="266" t="s">
        <v>80</v>
      </c>
      <c r="L323" s="177" t="s">
        <v>115</v>
      </c>
      <c r="M323" s="177"/>
      <c r="N323" s="250" t="s">
        <v>574</v>
      </c>
      <c r="O323" s="178">
        <v>45344</v>
      </c>
    </row>
    <row r="324" spans="1:18" x14ac:dyDescent="0.25">
      <c r="A324" t="s">
        <v>0</v>
      </c>
      <c r="B324" s="1" t="s">
        <v>46</v>
      </c>
      <c r="C324" t="s">
        <v>575</v>
      </c>
      <c r="D324" t="s">
        <v>3</v>
      </c>
      <c r="E324" s="115" t="s">
        <v>576</v>
      </c>
      <c r="F324" t="s">
        <v>577</v>
      </c>
      <c r="G324" t="s">
        <v>578</v>
      </c>
      <c r="H324" t="s">
        <v>579</v>
      </c>
      <c r="I324" t="s">
        <v>21</v>
      </c>
      <c r="J324" t="s">
        <v>580</v>
      </c>
      <c r="K324" t="s">
        <v>1</v>
      </c>
      <c r="L324" t="s">
        <v>581</v>
      </c>
      <c r="M324" t="s">
        <v>47</v>
      </c>
      <c r="N324" t="s">
        <v>582</v>
      </c>
      <c r="O324" t="s">
        <v>583</v>
      </c>
      <c r="Q324" t="s">
        <v>584</v>
      </c>
      <c r="R324" t="s">
        <v>1</v>
      </c>
    </row>
    <row r="325" spans="1:18" x14ac:dyDescent="0.25">
      <c r="A325" t="str">
        <f>TableGDINTRNS[[#This Row],[Study Package Code]]</f>
        <v>POLS5000</v>
      </c>
      <c r="B325" s="1">
        <f>TableGDINTRNS[[#This Row],[Ver]]</f>
        <v>2</v>
      </c>
      <c r="D325" t="str">
        <f>TableGDINTRNS[[#This Row],[Structure Line]]</f>
        <v>Foundations of International Security in the 21st Century</v>
      </c>
      <c r="E325" s="115">
        <f>TableGDINTRNS[[#This Row],[Credit Points]]</f>
        <v>25</v>
      </c>
      <c r="F325">
        <v>1</v>
      </c>
      <c r="G325" t="s">
        <v>585</v>
      </c>
      <c r="H325">
        <v>1</v>
      </c>
      <c r="I325" t="s">
        <v>339</v>
      </c>
      <c r="J325" t="s">
        <v>277</v>
      </c>
      <c r="K325">
        <v>2</v>
      </c>
      <c r="L325" t="s">
        <v>511</v>
      </c>
      <c r="M325">
        <v>25</v>
      </c>
      <c r="N325" s="178">
        <v>43101</v>
      </c>
      <c r="O325" s="178" t="s">
        <v>587</v>
      </c>
      <c r="Q325" t="s">
        <v>277</v>
      </c>
      <c r="R325">
        <v>2</v>
      </c>
    </row>
    <row r="326" spans="1:18" x14ac:dyDescent="0.25">
      <c r="A326" t="str">
        <f>TableGDINTRNS[[#This Row],[Study Package Code]]</f>
        <v>Opt-INTRNS</v>
      </c>
      <c r="B326" s="1">
        <f>TableGDINTRNS[[#This Row],[Ver]]</f>
        <v>0</v>
      </c>
      <c r="D326" t="str">
        <f>TableGDINTRNS[[#This Row],[Structure Line]]</f>
        <v>Choose Options</v>
      </c>
      <c r="E326" s="115">
        <f>TableGDINTRNS[[#This Row],[Credit Points]]</f>
        <v>150</v>
      </c>
      <c r="F326">
        <v>2</v>
      </c>
      <c r="G326" t="s">
        <v>335</v>
      </c>
      <c r="H326">
        <v>1</v>
      </c>
      <c r="I326" t="s">
        <v>586</v>
      </c>
      <c r="J326" t="s">
        <v>305</v>
      </c>
      <c r="K326">
        <v>0</v>
      </c>
      <c r="L326" t="s">
        <v>592</v>
      </c>
      <c r="M326">
        <v>150</v>
      </c>
      <c r="N326" s="178"/>
      <c r="O326" s="178"/>
      <c r="Q326" t="s">
        <v>630</v>
      </c>
      <c r="R326">
        <v>0</v>
      </c>
    </row>
    <row r="327" spans="1:18" x14ac:dyDescent="0.25">
      <c r="A327" t="str">
        <f>TableGDINTRNS[[#This Row],[Study Package Code]]</f>
        <v>AC-INTRNS</v>
      </c>
      <c r="B327" s="1">
        <f>TableGDINTRNS[[#This Row],[Ver]]</f>
        <v>0</v>
      </c>
      <c r="D327" t="str">
        <f>TableGDINTRNS[[#This Row],[Structure Line]]</f>
        <v>Choose INTR5001 or POLS5003</v>
      </c>
      <c r="E327" s="115">
        <f>TableGDINTRNS[[#This Row],[Credit Points]]</f>
        <v>25</v>
      </c>
      <c r="F327">
        <v>3</v>
      </c>
      <c r="G327" t="s">
        <v>590</v>
      </c>
      <c r="H327">
        <v>1</v>
      </c>
      <c r="I327" t="s">
        <v>339</v>
      </c>
      <c r="J327" t="s">
        <v>311</v>
      </c>
      <c r="K327">
        <v>0</v>
      </c>
      <c r="L327" t="s">
        <v>629</v>
      </c>
      <c r="M327">
        <v>25</v>
      </c>
      <c r="N327" s="178"/>
      <c r="O327" s="178"/>
      <c r="Q327" t="s">
        <v>628</v>
      </c>
      <c r="R327">
        <v>0</v>
      </c>
    </row>
    <row r="328" spans="1:18" x14ac:dyDescent="0.25">
      <c r="A328" t="str">
        <f>TableGDINTRNS[[#This Row],[Study Package Code]]</f>
        <v>INTR5002</v>
      </c>
      <c r="B328" s="1">
        <f>TableGDINTRNS[[#This Row],[Ver]]</f>
        <v>1</v>
      </c>
      <c r="D328" t="str">
        <f>TableGDINTRNS[[#This Row],[Structure Line]]</f>
        <v>Asia Pacific Studies</v>
      </c>
      <c r="E328" s="115">
        <f>TableGDINTRNS[[#This Row],[Credit Points]]</f>
        <v>25</v>
      </c>
      <c r="F328">
        <v>2</v>
      </c>
      <c r="G328" t="s">
        <v>335</v>
      </c>
      <c r="H328">
        <v>1</v>
      </c>
      <c r="I328" t="s">
        <v>586</v>
      </c>
      <c r="J328" t="s">
        <v>273</v>
      </c>
      <c r="K328">
        <v>1</v>
      </c>
      <c r="L328" t="s">
        <v>432</v>
      </c>
      <c r="M328">
        <v>25</v>
      </c>
      <c r="N328" s="178">
        <v>42005</v>
      </c>
      <c r="O328" s="178"/>
      <c r="Q328" t="s">
        <v>273</v>
      </c>
      <c r="R328">
        <v>1</v>
      </c>
    </row>
    <row r="329" spans="1:18" x14ac:dyDescent="0.25">
      <c r="A329" t="str">
        <f>TableGDINTRNS[[#This Row],[Study Package Code]]</f>
        <v>INTR5003</v>
      </c>
      <c r="B329" s="1">
        <f>TableGDINTRNS[[#This Row],[Ver]]</f>
        <v>1</v>
      </c>
      <c r="D329" t="str">
        <f>TableGDINTRNS[[#This Row],[Structure Line]]</f>
        <v>Strategic Geography</v>
      </c>
      <c r="E329" s="115">
        <f>TableGDINTRNS[[#This Row],[Credit Points]]</f>
        <v>25</v>
      </c>
      <c r="F329">
        <v>2</v>
      </c>
      <c r="G329" t="s">
        <v>335</v>
      </c>
      <c r="H329">
        <v>1</v>
      </c>
      <c r="I329" t="s">
        <v>586</v>
      </c>
      <c r="J329" t="s">
        <v>313</v>
      </c>
      <c r="K329">
        <v>1</v>
      </c>
      <c r="L329" t="s">
        <v>433</v>
      </c>
      <c r="M329">
        <v>25</v>
      </c>
      <c r="N329" s="178">
        <v>42005</v>
      </c>
      <c r="O329" s="178"/>
      <c r="Q329" t="s">
        <v>313</v>
      </c>
      <c r="R329">
        <v>1</v>
      </c>
    </row>
    <row r="330" spans="1:18" x14ac:dyDescent="0.25">
      <c r="A330" t="str">
        <f>TableGDINTRNS[[#This Row],[Study Package Code]]</f>
        <v>INTR5004</v>
      </c>
      <c r="B330" s="1">
        <f>TableGDINTRNS[[#This Row],[Ver]]</f>
        <v>1</v>
      </c>
      <c r="D330" t="str">
        <f>TableGDINTRNS[[#This Row],[Structure Line]]</f>
        <v>Russian and Eurasian Studies</v>
      </c>
      <c r="E330" s="115">
        <f>TableGDINTRNS[[#This Row],[Credit Points]]</f>
        <v>25</v>
      </c>
      <c r="F330">
        <v>2</v>
      </c>
      <c r="G330" t="s">
        <v>335</v>
      </c>
      <c r="H330">
        <v>1</v>
      </c>
      <c r="I330" t="s">
        <v>586</v>
      </c>
      <c r="J330" t="s">
        <v>314</v>
      </c>
      <c r="K330">
        <v>1</v>
      </c>
      <c r="L330" t="s">
        <v>434</v>
      </c>
      <c r="M330">
        <v>25</v>
      </c>
      <c r="N330" s="178">
        <v>42005</v>
      </c>
      <c r="O330" s="178"/>
      <c r="Q330" t="s">
        <v>314</v>
      </c>
      <c r="R330">
        <v>1</v>
      </c>
    </row>
    <row r="331" spans="1:18" x14ac:dyDescent="0.25">
      <c r="A331" t="str">
        <f>TableGDINTRNS[[#This Row],[Study Package Code]]</f>
        <v>INTR5005</v>
      </c>
      <c r="B331" s="1">
        <f>TableGDINTRNS[[#This Row],[Ver]]</f>
        <v>1</v>
      </c>
      <c r="D331" t="str">
        <f>TableGDINTRNS[[#This Row],[Structure Line]]</f>
        <v>Globalised Terrorism</v>
      </c>
      <c r="E331" s="115">
        <f>TableGDINTRNS[[#This Row],[Credit Points]]</f>
        <v>25</v>
      </c>
      <c r="F331">
        <v>2</v>
      </c>
      <c r="G331" t="s">
        <v>335</v>
      </c>
      <c r="H331">
        <v>1</v>
      </c>
      <c r="I331" t="s">
        <v>586</v>
      </c>
      <c r="J331" t="s">
        <v>315</v>
      </c>
      <c r="K331">
        <v>1</v>
      </c>
      <c r="L331" t="s">
        <v>435</v>
      </c>
      <c r="M331">
        <v>25</v>
      </c>
      <c r="N331" s="178">
        <v>42005</v>
      </c>
      <c r="O331" s="178"/>
      <c r="Q331" t="s">
        <v>315</v>
      </c>
      <c r="R331">
        <v>1</v>
      </c>
    </row>
    <row r="332" spans="1:18" x14ac:dyDescent="0.25">
      <c r="A332" t="str">
        <f>TableGDINTRNS[[#This Row],[Study Package Code]]</f>
        <v>INTR5006</v>
      </c>
      <c r="B332" s="1">
        <f>TableGDINTRNS[[#This Row],[Ver]]</f>
        <v>1</v>
      </c>
      <c r="D332" t="str">
        <f>TableGDINTRNS[[#This Row],[Structure Line]]</f>
        <v>Intelligence and Analysis</v>
      </c>
      <c r="E332" s="115">
        <f>TableGDINTRNS[[#This Row],[Credit Points]]</f>
        <v>25</v>
      </c>
      <c r="F332">
        <v>2</v>
      </c>
      <c r="G332" t="s">
        <v>335</v>
      </c>
      <c r="H332">
        <v>1</v>
      </c>
      <c r="I332" t="s">
        <v>586</v>
      </c>
      <c r="J332" t="s">
        <v>275</v>
      </c>
      <c r="K332">
        <v>1</v>
      </c>
      <c r="L332" t="s">
        <v>436</v>
      </c>
      <c r="M332">
        <v>25</v>
      </c>
      <c r="N332" s="178">
        <v>42005</v>
      </c>
      <c r="O332" s="178"/>
      <c r="Q332" t="s">
        <v>275</v>
      </c>
      <c r="R332">
        <v>1</v>
      </c>
    </row>
    <row r="333" spans="1:18" x14ac:dyDescent="0.25">
      <c r="A333" t="str">
        <f>TableGDINTRNS[[#This Row],[Study Package Code]]</f>
        <v>INTR5008</v>
      </c>
      <c r="B333" s="1">
        <f>TableGDINTRNS[[#This Row],[Ver]]</f>
        <v>2</v>
      </c>
      <c r="D333" t="str">
        <f>TableGDINTRNS[[#This Row],[Structure Line]]</f>
        <v>Cultures of Violence and Conflict</v>
      </c>
      <c r="E333" s="115">
        <f>TableGDINTRNS[[#This Row],[Credit Points]]</f>
        <v>25</v>
      </c>
      <c r="F333">
        <v>2</v>
      </c>
      <c r="G333" t="s">
        <v>335</v>
      </c>
      <c r="H333">
        <v>1</v>
      </c>
      <c r="I333" t="s">
        <v>586</v>
      </c>
      <c r="J333" t="s">
        <v>317</v>
      </c>
      <c r="K333">
        <v>2</v>
      </c>
      <c r="L333" t="s">
        <v>437</v>
      </c>
      <c r="M333">
        <v>25</v>
      </c>
      <c r="N333" s="178">
        <v>44927</v>
      </c>
      <c r="O333" s="178"/>
      <c r="Q333" t="s">
        <v>317</v>
      </c>
      <c r="R333">
        <v>2</v>
      </c>
    </row>
    <row r="334" spans="1:18" x14ac:dyDescent="0.25">
      <c r="A334" t="str">
        <f>TableGDINTRNS[[#This Row],[Study Package Code]]</f>
        <v>INTR5009</v>
      </c>
      <c r="B334" s="1">
        <f>TableGDINTRNS[[#This Row],[Ver]]</f>
        <v>1</v>
      </c>
      <c r="D334" t="str">
        <f>TableGDINTRNS[[#This Row],[Structure Line]]</f>
        <v>Information Operations and Cyber Power</v>
      </c>
      <c r="E334" s="115">
        <f>TableGDINTRNS[[#This Row],[Credit Points]]</f>
        <v>25</v>
      </c>
      <c r="F334">
        <v>2</v>
      </c>
      <c r="G334" t="s">
        <v>335</v>
      </c>
      <c r="H334">
        <v>1</v>
      </c>
      <c r="I334" t="s">
        <v>586</v>
      </c>
      <c r="J334" t="s">
        <v>318</v>
      </c>
      <c r="K334">
        <v>1</v>
      </c>
      <c r="L334" t="s">
        <v>438</v>
      </c>
      <c r="M334">
        <v>25</v>
      </c>
      <c r="N334" s="178">
        <v>44197</v>
      </c>
      <c r="O334" s="178"/>
      <c r="Q334" t="s">
        <v>318</v>
      </c>
      <c r="R334">
        <v>1</v>
      </c>
    </row>
    <row r="335" spans="1:18" x14ac:dyDescent="0.25">
      <c r="A335" t="str">
        <f>TableGDINTRNS[[#This Row],[Study Package Code]]</f>
        <v>POLS5002</v>
      </c>
      <c r="B335" s="1">
        <f>TableGDINTRNS[[#This Row],[Ver]]</f>
        <v>1</v>
      </c>
      <c r="D335" t="str">
        <f>TableGDINTRNS[[#This Row],[Structure Line]]</f>
        <v>Security and Conflict in the Indian Ocean and Persian Gulf</v>
      </c>
      <c r="E335" s="115">
        <f>TableGDINTRNS[[#This Row],[Credit Points]]</f>
        <v>25</v>
      </c>
      <c r="F335">
        <v>2</v>
      </c>
      <c r="G335" t="s">
        <v>335</v>
      </c>
      <c r="H335">
        <v>1</v>
      </c>
      <c r="I335" t="s">
        <v>586</v>
      </c>
      <c r="J335" t="s">
        <v>319</v>
      </c>
      <c r="K335">
        <v>1</v>
      </c>
      <c r="L335" t="s">
        <v>512</v>
      </c>
      <c r="M335">
        <v>25</v>
      </c>
      <c r="N335" s="178">
        <v>42005</v>
      </c>
      <c r="O335" s="178"/>
      <c r="Q335" t="s">
        <v>319</v>
      </c>
      <c r="R335">
        <v>1</v>
      </c>
    </row>
    <row r="336" spans="1:18" x14ac:dyDescent="0.25">
      <c r="A336" t="str">
        <f>TableGDINTRNS[[#This Row],[Study Package Code]]</f>
        <v>POLS5004</v>
      </c>
      <c r="B336" s="1">
        <f>TableGDINTRNS[[#This Row],[Ver]]</f>
        <v>1</v>
      </c>
      <c r="D336" t="str">
        <f>TableGDINTRNS[[#This Row],[Structure Line]]</f>
        <v>Geo-Strategy and Energy Security</v>
      </c>
      <c r="E336" s="115">
        <f>TableGDINTRNS[[#This Row],[Credit Points]]</f>
        <v>25</v>
      </c>
      <c r="F336">
        <v>2</v>
      </c>
      <c r="G336" t="s">
        <v>335</v>
      </c>
      <c r="H336">
        <v>1</v>
      </c>
      <c r="I336" t="s">
        <v>586</v>
      </c>
      <c r="J336" t="s">
        <v>278</v>
      </c>
      <c r="K336">
        <v>1</v>
      </c>
      <c r="L336" t="s">
        <v>514</v>
      </c>
      <c r="M336">
        <v>25</v>
      </c>
      <c r="N336" s="178">
        <v>42005</v>
      </c>
      <c r="O336" s="178"/>
      <c r="Q336" t="s">
        <v>278</v>
      </c>
      <c r="R336">
        <v>1</v>
      </c>
    </row>
    <row r="337" spans="1:18" x14ac:dyDescent="0.25">
      <c r="A337" t="str">
        <f>TableGDINTRNS[[#This Row],[Study Package Code]]</f>
        <v>INTR5001</v>
      </c>
      <c r="B337" s="1">
        <f>TableGDINTRNS[[#This Row],[Ver]]</f>
        <v>1</v>
      </c>
      <c r="D337" t="str">
        <f>TableGDINTRNS[[#This Row],[Structure Line]]</f>
        <v>Contemporary Issues in International Relations</v>
      </c>
      <c r="E337" s="115">
        <f>TableGDINTRNS[[#This Row],[Credit Points]]</f>
        <v>25</v>
      </c>
      <c r="F337">
        <v>3</v>
      </c>
      <c r="G337" t="s">
        <v>590</v>
      </c>
      <c r="H337">
        <v>1</v>
      </c>
      <c r="I337" t="s">
        <v>339</v>
      </c>
      <c r="J337" t="s">
        <v>276</v>
      </c>
      <c r="K337">
        <v>1</v>
      </c>
      <c r="L337" t="s">
        <v>430</v>
      </c>
      <c r="M337">
        <v>25</v>
      </c>
      <c r="N337" s="178">
        <v>42005</v>
      </c>
      <c r="O337" s="178"/>
      <c r="Q337" t="s">
        <v>276</v>
      </c>
      <c r="R337">
        <v>1</v>
      </c>
    </row>
    <row r="338" spans="1:18" x14ac:dyDescent="0.25">
      <c r="A338" t="str">
        <f>TableGDINTRNS[[#This Row],[Study Package Code]]</f>
        <v>POLS5003</v>
      </c>
      <c r="B338" s="1">
        <f>TableGDINTRNS[[#This Row],[Ver]]</f>
        <v>1</v>
      </c>
      <c r="D338" t="str">
        <f>TableGDINTRNS[[#This Row],[Structure Line]]</f>
        <v>National Security and Strategy</v>
      </c>
      <c r="E338" s="115">
        <f>TableGDINTRNS[[#This Row],[Credit Points]]</f>
        <v>25</v>
      </c>
      <c r="F338">
        <v>3</v>
      </c>
      <c r="G338" t="s">
        <v>590</v>
      </c>
      <c r="H338">
        <v>1</v>
      </c>
      <c r="I338" t="s">
        <v>339</v>
      </c>
      <c r="J338" t="s">
        <v>304</v>
      </c>
      <c r="K338">
        <v>1</v>
      </c>
      <c r="L338" t="s">
        <v>513</v>
      </c>
      <c r="M338">
        <v>25</v>
      </c>
      <c r="N338" s="178">
        <v>42005</v>
      </c>
      <c r="O338" s="178"/>
      <c r="Q338" t="s">
        <v>304</v>
      </c>
      <c r="R338">
        <v>1</v>
      </c>
    </row>
    <row r="339" spans="1:18" x14ac:dyDescent="0.25">
      <c r="B339"/>
      <c r="E339"/>
      <c r="F339" s="111"/>
      <c r="G339" s="112" t="s">
        <v>573</v>
      </c>
      <c r="H339" s="265">
        <v>42005</v>
      </c>
      <c r="I339" s="177"/>
      <c r="J339" s="253" t="s">
        <v>114</v>
      </c>
      <c r="K339" s="266" t="s">
        <v>80</v>
      </c>
      <c r="L339" s="177" t="s">
        <v>113</v>
      </c>
      <c r="M339" s="177"/>
      <c r="N339" s="250" t="s">
        <v>574</v>
      </c>
      <c r="O339" s="178">
        <v>45344</v>
      </c>
    </row>
    <row r="340" spans="1:18" x14ac:dyDescent="0.25">
      <c r="A340" t="s">
        <v>0</v>
      </c>
      <c r="B340" s="1" t="s">
        <v>46</v>
      </c>
      <c r="C340" t="s">
        <v>575</v>
      </c>
      <c r="D340" t="s">
        <v>3</v>
      </c>
      <c r="E340" s="115" t="s">
        <v>576</v>
      </c>
      <c r="F340" t="s">
        <v>577</v>
      </c>
      <c r="G340" t="s">
        <v>578</v>
      </c>
      <c r="H340" t="s">
        <v>579</v>
      </c>
      <c r="I340" t="s">
        <v>21</v>
      </c>
      <c r="J340" t="s">
        <v>580</v>
      </c>
      <c r="K340" t="s">
        <v>1</v>
      </c>
      <c r="L340" t="s">
        <v>581</v>
      </c>
      <c r="M340" t="s">
        <v>47</v>
      </c>
      <c r="N340" t="s">
        <v>582</v>
      </c>
      <c r="O340" t="s">
        <v>583</v>
      </c>
      <c r="Q340" t="s">
        <v>584</v>
      </c>
      <c r="R340" t="s">
        <v>1</v>
      </c>
    </row>
    <row r="341" spans="1:18" x14ac:dyDescent="0.25">
      <c r="A341" t="str">
        <f>TableGCINTRNS[[#This Row],[Study Package Code]]</f>
        <v>AC-INTRNSGC</v>
      </c>
      <c r="B341" s="1">
        <f>TableGCINTRNS[[#This Row],[Ver]]</f>
        <v>1</v>
      </c>
      <c r="D341" t="str">
        <f>TableGCINTRNS[[#This Row],[Structure Line]]</f>
        <v>Choose INTR5001 or POLS5000 or POLS5003</v>
      </c>
      <c r="E341" s="115">
        <f>TableGCINTRNS[[#This Row],[Credit Points]]</f>
        <v>25</v>
      </c>
      <c r="F341">
        <v>1</v>
      </c>
      <c r="G341" t="s">
        <v>590</v>
      </c>
      <c r="H341">
        <v>1</v>
      </c>
      <c r="I341" t="s">
        <v>339</v>
      </c>
      <c r="J341" t="s">
        <v>310</v>
      </c>
      <c r="K341">
        <v>1</v>
      </c>
      <c r="L341" t="s">
        <v>635</v>
      </c>
      <c r="M341">
        <v>25</v>
      </c>
      <c r="N341" s="178">
        <v>42005</v>
      </c>
      <c r="O341" s="178"/>
      <c r="Q341" t="s">
        <v>636</v>
      </c>
      <c r="R341">
        <v>1</v>
      </c>
    </row>
    <row r="342" spans="1:18" x14ac:dyDescent="0.25">
      <c r="A342" t="str">
        <f>TableGCINTRNS[[#This Row],[Study Package Code]]</f>
        <v>Opt-INTRNS</v>
      </c>
      <c r="B342" s="1">
        <f>TableGCINTRNS[[#This Row],[Ver]]</f>
        <v>0</v>
      </c>
      <c r="D342" t="str">
        <f>TableGCINTRNS[[#This Row],[Structure Line]]</f>
        <v>Select optional units (see Options List) to the value of:</v>
      </c>
      <c r="E342" s="115">
        <f>TableGCINTRNS[[#This Row],[Credit Points]]</f>
        <v>75</v>
      </c>
      <c r="F342">
        <v>2</v>
      </c>
      <c r="G342" t="s">
        <v>335</v>
      </c>
      <c r="H342">
        <v>1</v>
      </c>
      <c r="I342" t="s">
        <v>339</v>
      </c>
      <c r="J342" t="s">
        <v>305</v>
      </c>
      <c r="K342">
        <v>0</v>
      </c>
      <c r="L342" t="s">
        <v>637</v>
      </c>
      <c r="M342">
        <v>75</v>
      </c>
      <c r="N342" s="178"/>
      <c r="O342" s="178"/>
      <c r="Q342" t="s">
        <v>630</v>
      </c>
      <c r="R342">
        <v>0</v>
      </c>
    </row>
    <row r="343" spans="1:18" x14ac:dyDescent="0.25">
      <c r="A343" t="str">
        <f>TableGCINTRNS[[#This Row],[Study Package Code]]</f>
        <v>INTR5001</v>
      </c>
      <c r="B343" s="1">
        <f>TableGCINTRNS[[#This Row],[Ver]]</f>
        <v>1</v>
      </c>
      <c r="D343" t="str">
        <f>TableGCINTRNS[[#This Row],[Structure Line]]</f>
        <v>Contemporary Issues in International Relations</v>
      </c>
      <c r="E343" s="115">
        <f>TableGCINTRNS[[#This Row],[Credit Points]]</f>
        <v>25</v>
      </c>
      <c r="F343">
        <v>1</v>
      </c>
      <c r="G343" t="s">
        <v>590</v>
      </c>
      <c r="H343">
        <v>1</v>
      </c>
      <c r="I343" t="s">
        <v>339</v>
      </c>
      <c r="J343" t="s">
        <v>276</v>
      </c>
      <c r="K343">
        <v>1</v>
      </c>
      <c r="L343" t="s">
        <v>430</v>
      </c>
      <c r="M343">
        <v>25</v>
      </c>
      <c r="N343" s="178">
        <v>42005</v>
      </c>
      <c r="O343" s="178"/>
      <c r="Q343" t="s">
        <v>276</v>
      </c>
      <c r="R343">
        <v>1</v>
      </c>
    </row>
    <row r="344" spans="1:18" x14ac:dyDescent="0.25">
      <c r="A344" t="str">
        <f>TableGCINTRNS[[#This Row],[Study Package Code]]</f>
        <v>POLS5000</v>
      </c>
      <c r="B344" s="1">
        <f>TableGCINTRNS[[#This Row],[Ver]]</f>
        <v>2</v>
      </c>
      <c r="D344" t="str">
        <f>TableGCINTRNS[[#This Row],[Structure Line]]</f>
        <v>Foundations of International Security in the 21st Century</v>
      </c>
      <c r="E344" s="115">
        <f>TableGCINTRNS[[#This Row],[Credit Points]]</f>
        <v>25</v>
      </c>
      <c r="F344">
        <v>1</v>
      </c>
      <c r="G344" t="s">
        <v>590</v>
      </c>
      <c r="H344">
        <v>1</v>
      </c>
      <c r="I344" t="s">
        <v>339</v>
      </c>
      <c r="J344" t="s">
        <v>277</v>
      </c>
      <c r="K344">
        <v>2</v>
      </c>
      <c r="L344" t="s">
        <v>511</v>
      </c>
      <c r="M344">
        <v>25</v>
      </c>
      <c r="N344" s="178">
        <v>43101</v>
      </c>
      <c r="O344" s="178"/>
      <c r="Q344" t="s">
        <v>277</v>
      </c>
      <c r="R344">
        <v>2</v>
      </c>
    </row>
    <row r="345" spans="1:18" x14ac:dyDescent="0.25">
      <c r="A345" t="str">
        <f>TableGCINTRNS[[#This Row],[Study Package Code]]</f>
        <v>POLS5003</v>
      </c>
      <c r="B345" s="1">
        <f>TableGCINTRNS[[#This Row],[Ver]]</f>
        <v>1</v>
      </c>
      <c r="D345" t="str">
        <f>TableGCINTRNS[[#This Row],[Structure Line]]</f>
        <v>National Security and Strategy</v>
      </c>
      <c r="E345" s="115">
        <f>TableGCINTRNS[[#This Row],[Credit Points]]</f>
        <v>25</v>
      </c>
      <c r="F345">
        <v>1</v>
      </c>
      <c r="G345" t="s">
        <v>590</v>
      </c>
      <c r="H345">
        <v>1</v>
      </c>
      <c r="I345" t="s">
        <v>339</v>
      </c>
      <c r="J345" t="s">
        <v>304</v>
      </c>
      <c r="K345">
        <v>1</v>
      </c>
      <c r="L345" t="s">
        <v>513</v>
      </c>
      <c r="M345">
        <v>25</v>
      </c>
      <c r="N345" s="178">
        <v>42005</v>
      </c>
      <c r="O345" s="178"/>
      <c r="Q345" t="s">
        <v>304</v>
      </c>
      <c r="R345">
        <v>1</v>
      </c>
    </row>
    <row r="346" spans="1:18" x14ac:dyDescent="0.25">
      <c r="A346" t="str">
        <f>TableGCINTRNS[[#This Row],[Study Package Code]]</f>
        <v>INTR5002</v>
      </c>
      <c r="B346" s="1">
        <f>TableGCINTRNS[[#This Row],[Ver]]</f>
        <v>1</v>
      </c>
      <c r="D346" t="str">
        <f>TableGCINTRNS[[#This Row],[Structure Line]]</f>
        <v>Asia Pacific Studies</v>
      </c>
      <c r="E346" s="115">
        <f>TableGCINTRNS[[#This Row],[Credit Points]]</f>
        <v>25</v>
      </c>
      <c r="F346">
        <v>2</v>
      </c>
      <c r="G346" t="s">
        <v>335</v>
      </c>
      <c r="H346">
        <v>1</v>
      </c>
      <c r="I346" t="s">
        <v>339</v>
      </c>
      <c r="J346" t="s">
        <v>273</v>
      </c>
      <c r="K346">
        <v>1</v>
      </c>
      <c r="L346" t="s">
        <v>432</v>
      </c>
      <c r="M346">
        <v>25</v>
      </c>
      <c r="N346" s="178">
        <v>42005</v>
      </c>
      <c r="O346" s="178"/>
      <c r="Q346" t="s">
        <v>273</v>
      </c>
      <c r="R346">
        <v>1</v>
      </c>
    </row>
    <row r="347" spans="1:18" x14ac:dyDescent="0.25">
      <c r="A347" t="str">
        <f>TableGCINTRNS[[#This Row],[Study Package Code]]</f>
        <v>INTR5003</v>
      </c>
      <c r="B347" s="1">
        <f>TableGCINTRNS[[#This Row],[Ver]]</f>
        <v>1</v>
      </c>
      <c r="D347" t="str">
        <f>TableGCINTRNS[[#This Row],[Structure Line]]</f>
        <v>Strategic Geography</v>
      </c>
      <c r="E347" s="115">
        <f>TableGCINTRNS[[#This Row],[Credit Points]]</f>
        <v>25</v>
      </c>
      <c r="F347">
        <v>2</v>
      </c>
      <c r="G347" t="s">
        <v>335</v>
      </c>
      <c r="H347">
        <v>1</v>
      </c>
      <c r="I347" t="s">
        <v>339</v>
      </c>
      <c r="J347" t="s">
        <v>313</v>
      </c>
      <c r="K347">
        <v>1</v>
      </c>
      <c r="L347" t="s">
        <v>433</v>
      </c>
      <c r="M347">
        <v>25</v>
      </c>
      <c r="N347" s="178">
        <v>42005</v>
      </c>
      <c r="O347" s="178"/>
      <c r="Q347" t="s">
        <v>313</v>
      </c>
      <c r="R347">
        <v>1</v>
      </c>
    </row>
    <row r="348" spans="1:18" x14ac:dyDescent="0.25">
      <c r="A348" t="str">
        <f>TableGCINTRNS[[#This Row],[Study Package Code]]</f>
        <v>INTR5004</v>
      </c>
      <c r="B348" s="1">
        <f>TableGCINTRNS[[#This Row],[Ver]]</f>
        <v>1</v>
      </c>
      <c r="D348" t="str">
        <f>TableGCINTRNS[[#This Row],[Structure Line]]</f>
        <v>Russian and Eurasian Studies</v>
      </c>
      <c r="E348" s="115">
        <f>TableGCINTRNS[[#This Row],[Credit Points]]</f>
        <v>25</v>
      </c>
      <c r="F348">
        <v>2</v>
      </c>
      <c r="G348" t="s">
        <v>335</v>
      </c>
      <c r="H348">
        <v>1</v>
      </c>
      <c r="I348" t="s">
        <v>339</v>
      </c>
      <c r="J348" t="s">
        <v>314</v>
      </c>
      <c r="K348">
        <v>1</v>
      </c>
      <c r="L348" t="s">
        <v>434</v>
      </c>
      <c r="M348">
        <v>25</v>
      </c>
      <c r="N348" s="178">
        <v>42005</v>
      </c>
      <c r="O348" s="178"/>
      <c r="Q348" t="s">
        <v>314</v>
      </c>
      <c r="R348">
        <v>1</v>
      </c>
    </row>
    <row r="349" spans="1:18" x14ac:dyDescent="0.25">
      <c r="A349" t="str">
        <f>TableGCINTRNS[[#This Row],[Study Package Code]]</f>
        <v>INTR5005</v>
      </c>
      <c r="B349" s="1">
        <f>TableGCINTRNS[[#This Row],[Ver]]</f>
        <v>1</v>
      </c>
      <c r="D349" t="str">
        <f>TableGCINTRNS[[#This Row],[Structure Line]]</f>
        <v>Globalised Terrorism</v>
      </c>
      <c r="E349" s="115">
        <f>TableGCINTRNS[[#This Row],[Credit Points]]</f>
        <v>25</v>
      </c>
      <c r="F349">
        <v>2</v>
      </c>
      <c r="G349" t="s">
        <v>335</v>
      </c>
      <c r="H349">
        <v>1</v>
      </c>
      <c r="I349" t="s">
        <v>339</v>
      </c>
      <c r="J349" t="s">
        <v>315</v>
      </c>
      <c r="K349">
        <v>1</v>
      </c>
      <c r="L349" t="s">
        <v>435</v>
      </c>
      <c r="M349">
        <v>25</v>
      </c>
      <c r="N349" s="178">
        <v>42005</v>
      </c>
      <c r="O349" s="178"/>
      <c r="Q349" t="s">
        <v>315</v>
      </c>
      <c r="R349">
        <v>1</v>
      </c>
    </row>
    <row r="350" spans="1:18" x14ac:dyDescent="0.25">
      <c r="A350" t="str">
        <f>TableGCINTRNS[[#This Row],[Study Package Code]]</f>
        <v>INTR5006</v>
      </c>
      <c r="B350" s="1">
        <f>TableGCINTRNS[[#This Row],[Ver]]</f>
        <v>1</v>
      </c>
      <c r="D350" t="str">
        <f>TableGCINTRNS[[#This Row],[Structure Line]]</f>
        <v>Intelligence and Analysis</v>
      </c>
      <c r="E350" s="115">
        <f>TableGCINTRNS[[#This Row],[Credit Points]]</f>
        <v>25</v>
      </c>
      <c r="F350">
        <v>2</v>
      </c>
      <c r="G350" t="s">
        <v>335</v>
      </c>
      <c r="H350">
        <v>1</v>
      </c>
      <c r="I350" t="s">
        <v>339</v>
      </c>
      <c r="J350" t="s">
        <v>275</v>
      </c>
      <c r="K350">
        <v>1</v>
      </c>
      <c r="L350" t="s">
        <v>436</v>
      </c>
      <c r="M350">
        <v>25</v>
      </c>
      <c r="N350" s="178">
        <v>42005</v>
      </c>
      <c r="O350" s="178"/>
      <c r="Q350" t="s">
        <v>275</v>
      </c>
      <c r="R350">
        <v>1</v>
      </c>
    </row>
    <row r="351" spans="1:18" x14ac:dyDescent="0.25">
      <c r="A351" t="str">
        <f>TableGCINTRNS[[#This Row],[Study Package Code]]</f>
        <v>INTR5008</v>
      </c>
      <c r="B351" s="1">
        <f>TableGCINTRNS[[#This Row],[Ver]]</f>
        <v>2</v>
      </c>
      <c r="D351" t="str">
        <f>TableGCINTRNS[[#This Row],[Structure Line]]</f>
        <v>Cultures of Violence and Conflict</v>
      </c>
      <c r="E351" s="115">
        <f>TableGCINTRNS[[#This Row],[Credit Points]]</f>
        <v>25</v>
      </c>
      <c r="F351">
        <v>2</v>
      </c>
      <c r="G351" t="s">
        <v>335</v>
      </c>
      <c r="H351">
        <v>1</v>
      </c>
      <c r="I351" t="s">
        <v>339</v>
      </c>
      <c r="J351" t="s">
        <v>317</v>
      </c>
      <c r="K351">
        <v>2</v>
      </c>
      <c r="L351" t="s">
        <v>437</v>
      </c>
      <c r="M351">
        <v>25</v>
      </c>
      <c r="N351" s="178">
        <v>44927</v>
      </c>
      <c r="O351" s="178"/>
      <c r="Q351" t="s">
        <v>317</v>
      </c>
      <c r="R351">
        <v>2</v>
      </c>
    </row>
    <row r="352" spans="1:18" x14ac:dyDescent="0.25">
      <c r="A352" t="str">
        <f>TableGCINTRNS[[#This Row],[Study Package Code]]</f>
        <v>INTR5009</v>
      </c>
      <c r="B352" s="1">
        <f>TableGCINTRNS[[#This Row],[Ver]]</f>
        <v>1</v>
      </c>
      <c r="D352" t="str">
        <f>TableGCINTRNS[[#This Row],[Structure Line]]</f>
        <v>Information Operations and Cyber Power</v>
      </c>
      <c r="E352" s="115">
        <f>TableGCINTRNS[[#This Row],[Credit Points]]</f>
        <v>25</v>
      </c>
      <c r="F352">
        <v>2</v>
      </c>
      <c r="G352" t="s">
        <v>335</v>
      </c>
      <c r="H352">
        <v>1</v>
      </c>
      <c r="I352" t="s">
        <v>339</v>
      </c>
      <c r="J352" t="s">
        <v>318</v>
      </c>
      <c r="K352">
        <v>1</v>
      </c>
      <c r="L352" t="s">
        <v>438</v>
      </c>
      <c r="M352">
        <v>25</v>
      </c>
      <c r="N352" s="178">
        <v>44197</v>
      </c>
      <c r="O352" s="178"/>
      <c r="Q352" t="s">
        <v>318</v>
      </c>
      <c r="R352">
        <v>1</v>
      </c>
    </row>
    <row r="353" spans="1:18" x14ac:dyDescent="0.25">
      <c r="A353" t="str">
        <f>TableGCINTRNS[[#This Row],[Study Package Code]]</f>
        <v>POLS5002</v>
      </c>
      <c r="B353" s="1">
        <f>TableGCINTRNS[[#This Row],[Ver]]</f>
        <v>1</v>
      </c>
      <c r="D353" t="str">
        <f>TableGCINTRNS[[#This Row],[Structure Line]]</f>
        <v>Security and Conflict in the Indian Ocean and Persian Gulf</v>
      </c>
      <c r="E353" s="115">
        <f>TableGCINTRNS[[#This Row],[Credit Points]]</f>
        <v>25</v>
      </c>
      <c r="F353">
        <v>2</v>
      </c>
      <c r="G353" t="s">
        <v>335</v>
      </c>
      <c r="H353">
        <v>1</v>
      </c>
      <c r="I353" t="s">
        <v>339</v>
      </c>
      <c r="J353" t="s">
        <v>319</v>
      </c>
      <c r="K353">
        <v>1</v>
      </c>
      <c r="L353" t="s">
        <v>512</v>
      </c>
      <c r="M353">
        <v>25</v>
      </c>
      <c r="N353" s="178">
        <v>42005</v>
      </c>
      <c r="O353" s="178"/>
      <c r="Q353" t="s">
        <v>319</v>
      </c>
      <c r="R353">
        <v>1</v>
      </c>
    </row>
    <row r="354" spans="1:18" x14ac:dyDescent="0.25">
      <c r="A354" t="str">
        <f>TableGCINTRNS[[#This Row],[Study Package Code]]</f>
        <v>POLS5004</v>
      </c>
      <c r="B354" s="1">
        <f>TableGCINTRNS[[#This Row],[Ver]]</f>
        <v>1</v>
      </c>
      <c r="D354" t="str">
        <f>TableGCINTRNS[[#This Row],[Structure Line]]</f>
        <v>Geo-Strategy and Energy Security</v>
      </c>
      <c r="E354" s="115">
        <f>TableGCINTRNS[[#This Row],[Credit Points]]</f>
        <v>25</v>
      </c>
      <c r="F354">
        <v>2</v>
      </c>
      <c r="G354" t="s">
        <v>335</v>
      </c>
      <c r="H354">
        <v>1</v>
      </c>
      <c r="I354" t="s">
        <v>339</v>
      </c>
      <c r="J354" t="s">
        <v>278</v>
      </c>
      <c r="K354">
        <v>1</v>
      </c>
      <c r="L354" t="s">
        <v>514</v>
      </c>
      <c r="M354">
        <v>25</v>
      </c>
      <c r="N354" s="178">
        <v>42005</v>
      </c>
      <c r="O354" s="178"/>
      <c r="Q354" t="s">
        <v>278</v>
      </c>
      <c r="R354">
        <v>1</v>
      </c>
    </row>
    <row r="356" spans="1:18" x14ac:dyDescent="0.25">
      <c r="B356"/>
      <c r="E356"/>
      <c r="F356" s="111"/>
      <c r="G356" s="112" t="s">
        <v>573</v>
      </c>
      <c r="H356" s="251">
        <v>45108</v>
      </c>
      <c r="I356" s="177"/>
      <c r="J356" s="240" t="s">
        <v>121</v>
      </c>
      <c r="K356" s="252" t="s">
        <v>80</v>
      </c>
      <c r="L356" s="240" t="s">
        <v>120</v>
      </c>
      <c r="M356" s="177"/>
      <c r="N356" s="250" t="s">
        <v>574</v>
      </c>
      <c r="O356" s="178">
        <v>45345</v>
      </c>
    </row>
    <row r="357" spans="1:18" x14ac:dyDescent="0.25">
      <c r="A357" t="s">
        <v>0</v>
      </c>
      <c r="B357" s="1" t="s">
        <v>46</v>
      </c>
      <c r="C357" t="s">
        <v>575</v>
      </c>
      <c r="D357" t="s">
        <v>3</v>
      </c>
      <c r="E357" s="115" t="s">
        <v>576</v>
      </c>
      <c r="F357" t="s">
        <v>577</v>
      </c>
      <c r="G357" t="s">
        <v>578</v>
      </c>
      <c r="H357" t="s">
        <v>579</v>
      </c>
      <c r="I357" t="s">
        <v>21</v>
      </c>
      <c r="J357" t="s">
        <v>580</v>
      </c>
      <c r="K357" t="s">
        <v>1</v>
      </c>
      <c r="L357" t="s">
        <v>581</v>
      </c>
      <c r="M357" t="s">
        <v>47</v>
      </c>
      <c r="N357" t="s">
        <v>582</v>
      </c>
      <c r="O357" t="s">
        <v>583</v>
      </c>
      <c r="Q357" t="s">
        <v>584</v>
      </c>
      <c r="R357" t="s">
        <v>1</v>
      </c>
    </row>
    <row r="358" spans="1:18" x14ac:dyDescent="0.25">
      <c r="A358" t="str">
        <f>TableGCGLOBL[[#This Row],[Study Package Code]]</f>
        <v>GLBL5000</v>
      </c>
      <c r="B358" s="1">
        <f>TableGCGLOBL[[#This Row],[Ver]]</f>
        <v>1</v>
      </c>
      <c r="D358" t="str">
        <f>TableGCGLOBL[[#This Row],[Structure Line]]</f>
        <v>Engaging Cultural Diversity</v>
      </c>
      <c r="E358" s="115">
        <f>TableGCGLOBL[[#This Row],[Credit Points]]</f>
        <v>25</v>
      </c>
      <c r="F358">
        <v>1</v>
      </c>
      <c r="G358" t="s">
        <v>585</v>
      </c>
      <c r="H358">
        <v>1</v>
      </c>
      <c r="I358" t="s">
        <v>586</v>
      </c>
      <c r="J358" t="s">
        <v>234</v>
      </c>
      <c r="K358">
        <v>1</v>
      </c>
      <c r="L358" t="s">
        <v>389</v>
      </c>
      <c r="M358">
        <v>25</v>
      </c>
      <c r="N358" s="178">
        <v>45108</v>
      </c>
      <c r="O358" s="178" t="s">
        <v>587</v>
      </c>
    </row>
    <row r="359" spans="1:18" x14ac:dyDescent="0.25">
      <c r="A359" t="str">
        <f>TableGCGLOBL[[#This Row],[Study Package Code]]</f>
        <v>GLBL5001</v>
      </c>
      <c r="B359" s="1">
        <f>TableGCGLOBL[[#This Row],[Ver]]</f>
        <v>1</v>
      </c>
      <c r="D359" t="str">
        <f>TableGCGLOBL[[#This Row],[Structure Line]]</f>
        <v>Global Futures and Just Transformations</v>
      </c>
      <c r="E359" s="115">
        <f>TableGCGLOBL[[#This Row],[Credit Points]]</f>
        <v>25</v>
      </c>
      <c r="F359">
        <v>2</v>
      </c>
      <c r="G359" t="s">
        <v>585</v>
      </c>
      <c r="H359">
        <v>1</v>
      </c>
      <c r="I359" t="s">
        <v>586</v>
      </c>
      <c r="J359" t="s">
        <v>236</v>
      </c>
      <c r="K359">
        <v>1</v>
      </c>
      <c r="L359" t="s">
        <v>390</v>
      </c>
      <c r="M359">
        <v>25</v>
      </c>
      <c r="N359" s="178">
        <v>45108</v>
      </c>
      <c r="O359" s="178" t="s">
        <v>587</v>
      </c>
    </row>
    <row r="360" spans="1:18" x14ac:dyDescent="0.25">
      <c r="A360" t="str">
        <f>TableGCGLOBL[[#This Row],[Study Package Code]]</f>
        <v>GLBL5002</v>
      </c>
      <c r="B360" s="1">
        <f>TableGCGLOBL[[#This Row],[Ver]]</f>
        <v>1</v>
      </c>
      <c r="D360" t="str">
        <f>TableGCGLOBL[[#This Row],[Structure Line]]</f>
        <v>Engaging Africa</v>
      </c>
      <c r="E360" s="115">
        <f>TableGCGLOBL[[#This Row],[Credit Points]]</f>
        <v>25</v>
      </c>
      <c r="F360">
        <v>3</v>
      </c>
      <c r="G360" t="s">
        <v>585</v>
      </c>
      <c r="H360">
        <v>1</v>
      </c>
      <c r="I360" t="s">
        <v>586</v>
      </c>
      <c r="J360" t="s">
        <v>237</v>
      </c>
      <c r="K360">
        <v>1</v>
      </c>
      <c r="L360" t="s">
        <v>391</v>
      </c>
      <c r="M360">
        <v>25</v>
      </c>
      <c r="N360" s="178">
        <v>45108</v>
      </c>
      <c r="O360" s="178" t="s">
        <v>587</v>
      </c>
    </row>
    <row r="361" spans="1:18" x14ac:dyDescent="0.25">
      <c r="A361" t="str">
        <f>TableGCGLOBL[[#This Row],[Study Package Code]]</f>
        <v>GLBL5003</v>
      </c>
      <c r="B361" s="1">
        <f>TableGCGLOBL[[#This Row],[Ver]]</f>
        <v>1</v>
      </c>
      <c r="D361" t="str">
        <f>TableGCGLOBL[[#This Row],[Structure Line]]</f>
        <v>Engaging Asia</v>
      </c>
      <c r="E361" s="115">
        <f>TableGCGLOBL[[#This Row],[Credit Points]]</f>
        <v>25</v>
      </c>
      <c r="F361">
        <v>4</v>
      </c>
      <c r="G361" t="s">
        <v>585</v>
      </c>
      <c r="H361">
        <v>1</v>
      </c>
      <c r="I361" t="s">
        <v>586</v>
      </c>
      <c r="J361" t="s">
        <v>238</v>
      </c>
      <c r="K361">
        <v>1</v>
      </c>
      <c r="L361" t="s">
        <v>392</v>
      </c>
      <c r="M361">
        <v>25</v>
      </c>
      <c r="N361" s="178">
        <v>45108</v>
      </c>
      <c r="O361" s="178" t="s">
        <v>587</v>
      </c>
    </row>
    <row r="362" spans="1:18" x14ac:dyDescent="0.25">
      <c r="B362"/>
      <c r="E362"/>
      <c r="F362" s="111"/>
      <c r="G362" s="112" t="s">
        <v>573</v>
      </c>
      <c r="H362" s="251">
        <v>45292</v>
      </c>
      <c r="I362" s="177"/>
      <c r="J362" s="240" t="s">
        <v>332</v>
      </c>
      <c r="K362" s="252" t="s">
        <v>80</v>
      </c>
      <c r="L362" s="240" t="s">
        <v>638</v>
      </c>
      <c r="M362" s="177"/>
      <c r="N362" s="250" t="s">
        <v>574</v>
      </c>
      <c r="O362" s="178">
        <v>45345</v>
      </c>
    </row>
    <row r="363" spans="1:18" x14ac:dyDescent="0.25">
      <c r="A363" t="s">
        <v>0</v>
      </c>
      <c r="B363" s="1" t="s">
        <v>46</v>
      </c>
      <c r="C363" t="s">
        <v>575</v>
      </c>
      <c r="D363" t="s">
        <v>3</v>
      </c>
      <c r="E363" s="115" t="s">
        <v>576</v>
      </c>
      <c r="F363" t="s">
        <v>577</v>
      </c>
      <c r="G363" t="s">
        <v>578</v>
      </c>
      <c r="H363" t="s">
        <v>579</v>
      </c>
      <c r="I363" t="s">
        <v>21</v>
      </c>
      <c r="J363" t="s">
        <v>580</v>
      </c>
      <c r="K363" t="s">
        <v>1</v>
      </c>
      <c r="L363" t="s">
        <v>581</v>
      </c>
      <c r="M363" t="s">
        <v>47</v>
      </c>
      <c r="N363" t="s">
        <v>582</v>
      </c>
      <c r="O363" t="s">
        <v>583</v>
      </c>
      <c r="Q363" t="s">
        <v>584</v>
      </c>
      <c r="R363" t="s">
        <v>1</v>
      </c>
    </row>
    <row r="364" spans="1:18" x14ac:dyDescent="0.25">
      <c r="A364" t="str">
        <f>TableMCGLOBL[[#This Row],[Study Package Code]]</f>
        <v>Stream-GLOBL</v>
      </c>
      <c r="B364" s="1">
        <f>TableMCGLOBL[[#This Row],[Ver]]</f>
        <v>0</v>
      </c>
      <c r="D364" t="str">
        <f>TableMCGLOBL[[#This Row],[Structure Line]]</f>
        <v>Choose a Stream</v>
      </c>
      <c r="E364" s="115">
        <f>TableMCGLOBL[[#This Row],[Credit Points]]</f>
        <v>100</v>
      </c>
      <c r="F364">
        <v>1</v>
      </c>
      <c r="G364" t="s">
        <v>335</v>
      </c>
      <c r="H364">
        <v>0</v>
      </c>
      <c r="I364" t="s">
        <v>586</v>
      </c>
      <c r="J364" t="s">
        <v>558</v>
      </c>
      <c r="K364">
        <v>0</v>
      </c>
      <c r="L364" t="s">
        <v>559</v>
      </c>
      <c r="M364">
        <v>100</v>
      </c>
      <c r="N364" s="178"/>
      <c r="O364" s="178"/>
    </row>
    <row r="365" spans="1:18" x14ac:dyDescent="0.25">
      <c r="A365" t="str">
        <f>TableMCGLOBL[[#This Row],[Study Package Code]]</f>
        <v>GE Stream</v>
      </c>
      <c r="B365" s="1">
        <f>TableMCGLOBL[[#This Row],[Ver]]</f>
        <v>0</v>
      </c>
      <c r="D365" t="str">
        <f>TableMCGLOBL[[#This Row],[Structure Line]]</f>
        <v>Choose your Global Engagement Stream</v>
      </c>
      <c r="E365" s="115">
        <f>TableMCGLOBL[[#This Row],[Credit Points]]</f>
        <v>100</v>
      </c>
      <c r="F365">
        <v>2</v>
      </c>
      <c r="G365" t="s">
        <v>585</v>
      </c>
      <c r="H365">
        <v>1</v>
      </c>
      <c r="I365" t="s">
        <v>339</v>
      </c>
      <c r="J365" t="s">
        <v>639</v>
      </c>
      <c r="K365">
        <v>0</v>
      </c>
      <c r="L365" t="s">
        <v>557</v>
      </c>
      <c r="M365">
        <v>100</v>
      </c>
      <c r="N365" s="178"/>
      <c r="O365" s="178"/>
    </row>
    <row r="366" spans="1:18" x14ac:dyDescent="0.25">
      <c r="A366" t="str">
        <f>TableMCGLOBL[[#This Row],[Study Package Code]]</f>
        <v>AC-GLOBL1</v>
      </c>
      <c r="B366" s="1">
        <f>TableMCGLOBL[[#This Row],[Ver]]</f>
        <v>0</v>
      </c>
      <c r="D366" t="str">
        <f>TableMCGLOBL[[#This Row],[Structure Line]]</f>
        <v>Choose HUMN6001 or COMS6004</v>
      </c>
      <c r="E366" s="115">
        <f>TableMCGLOBL[[#This Row],[Credit Points]]</f>
        <v>50</v>
      </c>
      <c r="F366">
        <v>3</v>
      </c>
      <c r="G366" t="s">
        <v>590</v>
      </c>
      <c r="H366">
        <v>1</v>
      </c>
      <c r="I366" t="s">
        <v>586</v>
      </c>
      <c r="J366" t="s">
        <v>334</v>
      </c>
      <c r="K366">
        <v>0</v>
      </c>
      <c r="L366" t="s">
        <v>615</v>
      </c>
      <c r="M366">
        <v>50</v>
      </c>
      <c r="N366" s="178"/>
      <c r="O366" s="178"/>
    </row>
    <row r="367" spans="1:18" x14ac:dyDescent="0.25">
      <c r="A367" t="str">
        <f>TableMCGLOBL[[#This Row],[Study Package Code]]</f>
        <v>AC-GLOBL2</v>
      </c>
      <c r="B367" s="1">
        <f>TableMCGLOBL[[#This Row],[Ver]]</f>
        <v>0</v>
      </c>
      <c r="D367" t="str">
        <f>TableMCGLOBL[[#This Row],[Structure Line]]</f>
        <v>Choose HUMN6003 or COMS6002</v>
      </c>
      <c r="E367" s="115">
        <f>TableMCGLOBL[[#This Row],[Credit Points]]</f>
        <v>50</v>
      </c>
      <c r="F367">
        <v>4</v>
      </c>
      <c r="G367" t="s">
        <v>590</v>
      </c>
      <c r="H367">
        <v>2</v>
      </c>
      <c r="I367" t="s">
        <v>586</v>
      </c>
      <c r="J367" t="s">
        <v>337</v>
      </c>
      <c r="K367">
        <v>0</v>
      </c>
      <c r="L367" t="s">
        <v>616</v>
      </c>
      <c r="M367">
        <v>50</v>
      </c>
      <c r="N367" s="178"/>
      <c r="O367" s="178"/>
    </row>
    <row r="368" spans="1:18" x14ac:dyDescent="0.25">
      <c r="A368" t="str">
        <f>TableMCGLOBL[[#This Row],[Study Package Code]]</f>
        <v>STRP-HRIGT</v>
      </c>
      <c r="B368" s="1">
        <f>TableMCGLOBL[[#This Row],[Ver]]</f>
        <v>1</v>
      </c>
      <c r="D368" t="str">
        <f>TableMCGLOBL[[#This Row],[Structure Line]]</f>
        <v>Human Rights Stream (M Global Engagement)</v>
      </c>
      <c r="E368" s="115">
        <f>TableMCGLOBL[[#This Row],[Credit Points]]</f>
        <v>100</v>
      </c>
      <c r="F368">
        <v>1</v>
      </c>
      <c r="G368" t="s">
        <v>335</v>
      </c>
      <c r="H368">
        <v>0</v>
      </c>
      <c r="I368" t="s">
        <v>586</v>
      </c>
      <c r="J368" t="s">
        <v>155</v>
      </c>
      <c r="K368">
        <v>1</v>
      </c>
      <c r="L368" t="s">
        <v>154</v>
      </c>
      <c r="M368">
        <v>100</v>
      </c>
      <c r="N368" s="178">
        <v>45292</v>
      </c>
      <c r="O368" s="178"/>
    </row>
    <row r="369" spans="1:18" x14ac:dyDescent="0.25">
      <c r="A369" t="str">
        <f>TableMCGLOBL[[#This Row],[Study Package Code]]</f>
        <v>STRP-INTRN</v>
      </c>
      <c r="B369" s="1">
        <f>TableMCGLOBL[[#This Row],[Ver]]</f>
        <v>1</v>
      </c>
      <c r="D369" t="str">
        <f>TableMCGLOBL[[#This Row],[Structure Line]]</f>
        <v>International Relations and National Security Stream (M Global Engagement)</v>
      </c>
      <c r="E369" s="115">
        <f>TableMCGLOBL[[#This Row],[Credit Points]]</f>
        <v>100</v>
      </c>
      <c r="F369">
        <v>1</v>
      </c>
      <c r="G369" t="s">
        <v>335</v>
      </c>
      <c r="H369">
        <v>0</v>
      </c>
      <c r="I369" t="s">
        <v>586</v>
      </c>
      <c r="J369" t="s">
        <v>160</v>
      </c>
      <c r="K369">
        <v>1</v>
      </c>
      <c r="L369" t="s">
        <v>159</v>
      </c>
      <c r="M369">
        <v>100</v>
      </c>
      <c r="N369" s="178">
        <v>45292</v>
      </c>
      <c r="O369" s="178"/>
    </row>
    <row r="370" spans="1:18" x14ac:dyDescent="0.25">
      <c r="A370" t="str">
        <f>TableMCGLOBL[[#This Row],[Study Package Code]]</f>
        <v>STRP-GLOBL</v>
      </c>
      <c r="B370" s="1">
        <f>TableMCGLOBL[[#This Row],[Ver]]</f>
        <v>1</v>
      </c>
      <c r="D370" t="str">
        <f>TableMCGLOBL[[#This Row],[Structure Line]]</f>
        <v>Global Engagement Stream (M Global Engagement)</v>
      </c>
      <c r="E370" s="115">
        <f>TableMCGLOBL[[#This Row],[Credit Points]]</f>
        <v>100</v>
      </c>
      <c r="F370">
        <v>2</v>
      </c>
      <c r="G370" t="s">
        <v>585</v>
      </c>
      <c r="H370">
        <v>1</v>
      </c>
      <c r="I370" t="s">
        <v>339</v>
      </c>
      <c r="J370" t="s">
        <v>164</v>
      </c>
      <c r="K370">
        <v>1</v>
      </c>
      <c r="L370" t="s">
        <v>163</v>
      </c>
      <c r="M370">
        <v>100</v>
      </c>
      <c r="N370" s="178">
        <v>45292</v>
      </c>
      <c r="O370" s="178"/>
    </row>
    <row r="371" spans="1:18" x14ac:dyDescent="0.25">
      <c r="A371" t="str">
        <f>TableMCGLOBL[[#This Row],[Study Package Code]]</f>
        <v>COMS6004</v>
      </c>
      <c r="B371" s="1">
        <f>TableMCGLOBL[[#This Row],[Ver]]</f>
        <v>2</v>
      </c>
      <c r="D371" t="str">
        <f>TableMCGLOBL[[#This Row],[Structure Line]]</f>
        <v>Masters Professional or Creative Project</v>
      </c>
      <c r="E371" s="115">
        <f>TableMCGLOBL[[#This Row],[Credit Points]]</f>
        <v>50</v>
      </c>
      <c r="F371">
        <v>3</v>
      </c>
      <c r="G371" t="s">
        <v>590</v>
      </c>
      <c r="H371">
        <v>1</v>
      </c>
      <c r="I371" t="s">
        <v>586</v>
      </c>
      <c r="J371" t="s">
        <v>139</v>
      </c>
      <c r="K371">
        <v>2</v>
      </c>
      <c r="L371" t="s">
        <v>376</v>
      </c>
      <c r="M371">
        <v>50</v>
      </c>
      <c r="N371" s="178">
        <v>45292</v>
      </c>
      <c r="O371" s="178"/>
    </row>
    <row r="372" spans="1:18" x14ac:dyDescent="0.25">
      <c r="A372" t="str">
        <f>TableMCGLOBL[[#This Row],[Study Package Code]]</f>
        <v>HUMN6001</v>
      </c>
      <c r="B372" s="1">
        <f>TableMCGLOBL[[#This Row],[Ver]]</f>
        <v>1</v>
      </c>
      <c r="D372" t="str">
        <f>TableMCGLOBL[[#This Row],[Structure Line]]</f>
        <v>Masters Research Project 1</v>
      </c>
      <c r="E372" s="115">
        <f>TableMCGLOBL[[#This Row],[Credit Points]]</f>
        <v>50</v>
      </c>
      <c r="F372">
        <v>3</v>
      </c>
      <c r="G372" t="s">
        <v>590</v>
      </c>
      <c r="H372">
        <v>1</v>
      </c>
      <c r="I372" t="s">
        <v>586</v>
      </c>
      <c r="J372" t="s">
        <v>165</v>
      </c>
      <c r="K372">
        <v>1</v>
      </c>
      <c r="L372" t="s">
        <v>597</v>
      </c>
      <c r="M372">
        <v>50</v>
      </c>
      <c r="N372" s="178">
        <v>45292</v>
      </c>
      <c r="O372" s="178"/>
    </row>
    <row r="373" spans="1:18" x14ac:dyDescent="0.25">
      <c r="A373" t="str">
        <f>TableMCGLOBL[[#This Row],[Study Package Code]]</f>
        <v>COMS6002</v>
      </c>
      <c r="B373" s="1">
        <f>TableMCGLOBL[[#This Row],[Ver]]</f>
        <v>3</v>
      </c>
      <c r="D373" t="str">
        <f>TableMCGLOBL[[#This Row],[Structure Line]]</f>
        <v>Masters Professional Experience</v>
      </c>
      <c r="E373" s="115">
        <f>TableMCGLOBL[[#This Row],[Credit Points]]</f>
        <v>50</v>
      </c>
      <c r="F373">
        <v>4</v>
      </c>
      <c r="G373" t="s">
        <v>590</v>
      </c>
      <c r="H373">
        <v>2</v>
      </c>
      <c r="I373" t="s">
        <v>586</v>
      </c>
      <c r="J373" t="s">
        <v>161</v>
      </c>
      <c r="K373">
        <v>3</v>
      </c>
      <c r="L373" t="s">
        <v>369</v>
      </c>
      <c r="M373">
        <v>50</v>
      </c>
      <c r="N373" s="178">
        <v>45292</v>
      </c>
      <c r="O373" s="178"/>
    </row>
    <row r="374" spans="1:18" x14ac:dyDescent="0.25">
      <c r="A374" t="str">
        <f>TableMCGLOBL[[#This Row],[Study Package Code]]</f>
        <v>HUMN6003</v>
      </c>
      <c r="B374" s="1">
        <f>TableMCGLOBL[[#This Row],[Ver]]</f>
        <v>1</v>
      </c>
      <c r="D374" t="str">
        <f>TableMCGLOBL[[#This Row],[Structure Line]]</f>
        <v>Masters Research Project 2</v>
      </c>
      <c r="E374" s="115">
        <f>TableMCGLOBL[[#This Row],[Credit Points]]</f>
        <v>50</v>
      </c>
      <c r="F374">
        <v>4</v>
      </c>
      <c r="G374" t="s">
        <v>590</v>
      </c>
      <c r="H374">
        <v>2</v>
      </c>
      <c r="I374" t="s">
        <v>586</v>
      </c>
      <c r="J374" t="s">
        <v>144</v>
      </c>
      <c r="K374">
        <v>1</v>
      </c>
      <c r="L374" t="s">
        <v>594</v>
      </c>
      <c r="M374">
        <v>50</v>
      </c>
      <c r="N374" s="178">
        <v>45292</v>
      </c>
      <c r="O374" s="178"/>
    </row>
    <row r="375" spans="1:18" x14ac:dyDescent="0.25">
      <c r="B375"/>
      <c r="E375"/>
      <c r="F375" s="111"/>
      <c r="G375" s="112" t="s">
        <v>573</v>
      </c>
      <c r="H375" s="251">
        <v>45292</v>
      </c>
      <c r="I375" s="177"/>
      <c r="J375" s="240" t="s">
        <v>164</v>
      </c>
      <c r="K375" s="252">
        <v>1</v>
      </c>
      <c r="L375" s="240" t="s">
        <v>163</v>
      </c>
      <c r="M375" s="177"/>
      <c r="N375" s="250" t="s">
        <v>574</v>
      </c>
      <c r="O375" s="178">
        <v>45345</v>
      </c>
    </row>
    <row r="376" spans="1:18" x14ac:dyDescent="0.25">
      <c r="A376" t="s">
        <v>0</v>
      </c>
      <c r="B376" s="1" t="s">
        <v>46</v>
      </c>
      <c r="C376" t="s">
        <v>575</v>
      </c>
      <c r="D376" t="s">
        <v>3</v>
      </c>
      <c r="E376" s="115" t="s">
        <v>576</v>
      </c>
      <c r="F376" t="s">
        <v>577</v>
      </c>
      <c r="G376" t="s">
        <v>578</v>
      </c>
      <c r="H376" t="s">
        <v>579</v>
      </c>
      <c r="I376" t="s">
        <v>21</v>
      </c>
      <c r="J376" t="s">
        <v>580</v>
      </c>
      <c r="K376" t="s">
        <v>1</v>
      </c>
      <c r="L376" t="s">
        <v>581</v>
      </c>
      <c r="M376" t="s">
        <v>47</v>
      </c>
      <c r="N376" t="s">
        <v>582</v>
      </c>
      <c r="O376" t="s">
        <v>583</v>
      </c>
      <c r="Q376" t="s">
        <v>584</v>
      </c>
      <c r="R376" t="s">
        <v>1</v>
      </c>
    </row>
    <row r="377" spans="1:18" x14ac:dyDescent="0.25">
      <c r="A377" t="str">
        <f>TableSTRPGLOBL[[#This Row],[Study Package Code]]</f>
        <v>GLBL5002</v>
      </c>
      <c r="B377" s="1">
        <f>TableSTRPGLOBL[[#This Row],[Ver]]</f>
        <v>1</v>
      </c>
      <c r="D377" t="str">
        <f>TableSTRPGLOBL[[#This Row],[Structure Line]]</f>
        <v>Engaging Africa</v>
      </c>
      <c r="E377" s="115">
        <f>TableSTRPGLOBL[[#This Row],[Credit Points]]</f>
        <v>25</v>
      </c>
      <c r="F377">
        <v>1</v>
      </c>
      <c r="G377" t="s">
        <v>585</v>
      </c>
      <c r="H377">
        <v>1</v>
      </c>
      <c r="I377" t="s">
        <v>339</v>
      </c>
      <c r="J377" t="s">
        <v>237</v>
      </c>
      <c r="K377">
        <v>1</v>
      </c>
      <c r="L377" t="s">
        <v>391</v>
      </c>
      <c r="M377">
        <v>25</v>
      </c>
      <c r="N377" s="178">
        <v>45108</v>
      </c>
      <c r="O377" s="178" t="s">
        <v>587</v>
      </c>
    </row>
    <row r="378" spans="1:18" x14ac:dyDescent="0.25">
      <c r="A378" t="str">
        <f>TableSTRPGLOBL[[#This Row],[Study Package Code]]</f>
        <v>GLBL5003</v>
      </c>
      <c r="B378" s="1">
        <f>TableSTRPGLOBL[[#This Row],[Ver]]</f>
        <v>1</v>
      </c>
      <c r="D378" t="str">
        <f>TableSTRPGLOBL[[#This Row],[Structure Line]]</f>
        <v>Engaging Asia</v>
      </c>
      <c r="E378" s="115">
        <f>TableSTRPGLOBL[[#This Row],[Credit Points]]</f>
        <v>25</v>
      </c>
      <c r="F378">
        <v>2</v>
      </c>
      <c r="G378" t="s">
        <v>585</v>
      </c>
      <c r="H378">
        <v>1</v>
      </c>
      <c r="I378" t="s">
        <v>339</v>
      </c>
      <c r="J378" t="s">
        <v>238</v>
      </c>
      <c r="K378">
        <v>1</v>
      </c>
      <c r="L378" t="s">
        <v>392</v>
      </c>
      <c r="M378">
        <v>25</v>
      </c>
      <c r="N378" s="178">
        <v>45108</v>
      </c>
      <c r="O378" s="178" t="s">
        <v>587</v>
      </c>
    </row>
    <row r="379" spans="1:18" x14ac:dyDescent="0.25">
      <c r="A379" t="str">
        <f>TableSTRPGLOBL[[#This Row],[Study Package Code]]</f>
        <v>GLBL5000</v>
      </c>
      <c r="B379" s="1">
        <f>TableSTRPGLOBL[[#This Row],[Ver]]</f>
        <v>1</v>
      </c>
      <c r="D379" t="str">
        <f>TableSTRPGLOBL[[#This Row],[Structure Line]]</f>
        <v>Engaging Cultural Diversity</v>
      </c>
      <c r="E379" s="115">
        <f>TableSTRPGLOBL[[#This Row],[Credit Points]]</f>
        <v>25</v>
      </c>
      <c r="F379">
        <v>3</v>
      </c>
      <c r="G379" t="s">
        <v>585</v>
      </c>
      <c r="H379">
        <v>1</v>
      </c>
      <c r="I379" t="s">
        <v>339</v>
      </c>
      <c r="J379" t="s">
        <v>234</v>
      </c>
      <c r="K379">
        <v>1</v>
      </c>
      <c r="L379" t="s">
        <v>389</v>
      </c>
      <c r="M379">
        <v>25</v>
      </c>
      <c r="N379" s="178">
        <v>45108</v>
      </c>
      <c r="O379" s="178" t="s">
        <v>587</v>
      </c>
    </row>
    <row r="380" spans="1:18" x14ac:dyDescent="0.25">
      <c r="A380" t="str">
        <f>TableSTRPGLOBL[[#This Row],[Study Package Code]]</f>
        <v>GLBL5001</v>
      </c>
      <c r="B380" s="1">
        <f>TableSTRPGLOBL[[#This Row],[Ver]]</f>
        <v>1</v>
      </c>
      <c r="D380" t="str">
        <f>TableSTRPGLOBL[[#This Row],[Structure Line]]</f>
        <v>Global Futures and Just Transformations</v>
      </c>
      <c r="E380" s="115">
        <f>TableSTRPGLOBL[[#This Row],[Credit Points]]</f>
        <v>25</v>
      </c>
      <c r="F380">
        <v>4</v>
      </c>
      <c r="G380" t="s">
        <v>585</v>
      </c>
      <c r="H380">
        <v>1</v>
      </c>
      <c r="I380" t="s">
        <v>339</v>
      </c>
      <c r="J380" t="s">
        <v>236</v>
      </c>
      <c r="K380">
        <v>1</v>
      </c>
      <c r="L380" t="s">
        <v>390</v>
      </c>
      <c r="M380">
        <v>25</v>
      </c>
      <c r="N380" s="178">
        <v>45108</v>
      </c>
      <c r="O380" s="178" t="s">
        <v>587</v>
      </c>
    </row>
    <row r="381" spans="1:18" x14ac:dyDescent="0.25">
      <c r="B381"/>
      <c r="E381"/>
      <c r="F381" s="111"/>
      <c r="G381" s="112" t="s">
        <v>573</v>
      </c>
      <c r="H381" s="251">
        <v>45292</v>
      </c>
      <c r="I381" s="177"/>
      <c r="J381" s="240" t="s">
        <v>155</v>
      </c>
      <c r="K381" s="252">
        <v>1</v>
      </c>
      <c r="L381" s="240" t="s">
        <v>154</v>
      </c>
      <c r="M381" s="177"/>
      <c r="N381" s="250" t="s">
        <v>574</v>
      </c>
      <c r="O381" s="178">
        <v>45345</v>
      </c>
    </row>
    <row r="382" spans="1:18" x14ac:dyDescent="0.25">
      <c r="A382" t="s">
        <v>0</v>
      </c>
      <c r="B382" s="1" t="s">
        <v>46</v>
      </c>
      <c r="C382" t="s">
        <v>575</v>
      </c>
      <c r="D382" t="s">
        <v>3</v>
      </c>
      <c r="E382" s="115" t="s">
        <v>576</v>
      </c>
      <c r="F382" t="s">
        <v>577</v>
      </c>
      <c r="G382" t="s">
        <v>578</v>
      </c>
      <c r="H382" t="s">
        <v>579</v>
      </c>
      <c r="I382" t="s">
        <v>21</v>
      </c>
      <c r="J382" t="s">
        <v>580</v>
      </c>
      <c r="K382" t="s">
        <v>1</v>
      </c>
      <c r="L382" t="s">
        <v>581</v>
      </c>
      <c r="M382" t="s">
        <v>47</v>
      </c>
      <c r="N382" t="s">
        <v>582</v>
      </c>
      <c r="O382" t="s">
        <v>583</v>
      </c>
      <c r="Q382" t="s">
        <v>584</v>
      </c>
      <c r="R382" t="s">
        <v>1</v>
      </c>
    </row>
    <row r="383" spans="1:18" x14ac:dyDescent="0.25">
      <c r="A383" t="str">
        <f>TableSTRPHRIGT[[#This Row],[Study Package Code]]</f>
        <v>Opt-HRIGTSt</v>
      </c>
      <c r="B383" s="1">
        <f>TableSTRPHRIGT[[#This Row],[Ver]]</f>
        <v>0</v>
      </c>
      <c r="D383" t="str">
        <f>TableSTRPHRIGT[[#This Row],[Structure Line]]</f>
        <v>Choose Options</v>
      </c>
      <c r="E383" s="115">
        <f>TableSTRPHRIGT[[#This Row],[Credit Points]]</f>
        <v>100</v>
      </c>
      <c r="F383">
        <v>1</v>
      </c>
      <c r="G383" t="s">
        <v>335</v>
      </c>
      <c r="H383">
        <v>1</v>
      </c>
      <c r="I383" t="s">
        <v>586</v>
      </c>
      <c r="J383" t="s">
        <v>336</v>
      </c>
      <c r="K383">
        <v>0</v>
      </c>
      <c r="L383" t="s">
        <v>592</v>
      </c>
      <c r="M383">
        <v>100</v>
      </c>
      <c r="N383" s="178"/>
      <c r="O383" s="178"/>
    </row>
    <row r="384" spans="1:18" x14ac:dyDescent="0.25">
      <c r="A384" t="str">
        <f>TableSTRPHRIGT[[#This Row],[Study Package Code]]</f>
        <v>HRIG5000</v>
      </c>
      <c r="B384" s="1">
        <f>TableSTRPHRIGT[[#This Row],[Ver]]</f>
        <v>2</v>
      </c>
      <c r="D384" t="str">
        <f>TableSTRPHRIGT[[#This Row],[Structure Line]]</f>
        <v>Human Rights Education in Practice</v>
      </c>
      <c r="E384" s="115">
        <f>TableSTRPHRIGT[[#This Row],[Credit Points]]</f>
        <v>25</v>
      </c>
      <c r="F384">
        <v>1</v>
      </c>
      <c r="G384" t="s">
        <v>335</v>
      </c>
      <c r="H384">
        <v>1</v>
      </c>
      <c r="I384" t="s">
        <v>586</v>
      </c>
      <c r="J384" t="s">
        <v>226</v>
      </c>
      <c r="K384">
        <v>2</v>
      </c>
      <c r="L384" t="s">
        <v>396</v>
      </c>
      <c r="M384">
        <v>25</v>
      </c>
      <c r="N384" s="178">
        <v>45292</v>
      </c>
      <c r="O384" s="178"/>
    </row>
    <row r="385" spans="1:18" x14ac:dyDescent="0.25">
      <c r="A385" t="str">
        <f>TableSTRPHRIGT[[#This Row],[Study Package Code]]</f>
        <v>HRIG5001</v>
      </c>
      <c r="B385" s="1">
        <f>TableSTRPHRIGT[[#This Row],[Ver]]</f>
        <v>2</v>
      </c>
      <c r="D385" t="str">
        <f>TableSTRPHRIGT[[#This Row],[Structure Line]]</f>
        <v>Social Justice and Development</v>
      </c>
      <c r="E385" s="115">
        <f>TableSTRPHRIGT[[#This Row],[Credit Points]]</f>
        <v>25</v>
      </c>
      <c r="F385">
        <v>1</v>
      </c>
      <c r="G385" t="s">
        <v>335</v>
      </c>
      <c r="H385">
        <v>1</v>
      </c>
      <c r="I385" t="s">
        <v>586</v>
      </c>
      <c r="J385" t="s">
        <v>231</v>
      </c>
      <c r="K385">
        <v>2</v>
      </c>
      <c r="L385" t="s">
        <v>399</v>
      </c>
      <c r="M385">
        <v>25</v>
      </c>
      <c r="N385" s="178">
        <v>45292</v>
      </c>
      <c r="O385" s="178"/>
    </row>
    <row r="386" spans="1:18" x14ac:dyDescent="0.25">
      <c r="A386" t="str">
        <f>TableSTRPHRIGT[[#This Row],[Study Package Code]]</f>
        <v>HRIG5002</v>
      </c>
      <c r="B386" s="1">
        <f>TableSTRPHRIGT[[#This Row],[Ver]]</f>
        <v>2</v>
      </c>
      <c r="D386" t="str">
        <f>TableSTRPHRIGT[[#This Row],[Structure Line]]</f>
        <v>International Human Rights Law and Practice</v>
      </c>
      <c r="E386" s="115">
        <f>TableSTRPHRIGT[[#This Row],[Credit Points]]</f>
        <v>25</v>
      </c>
      <c r="F386">
        <v>1</v>
      </c>
      <c r="G386" t="s">
        <v>335</v>
      </c>
      <c r="H386">
        <v>1</v>
      </c>
      <c r="I386" t="s">
        <v>586</v>
      </c>
      <c r="J386" t="s">
        <v>230</v>
      </c>
      <c r="K386">
        <v>2</v>
      </c>
      <c r="L386" t="s">
        <v>402</v>
      </c>
      <c r="M386">
        <v>25</v>
      </c>
      <c r="N386" s="178">
        <v>45292</v>
      </c>
      <c r="O386" s="178"/>
    </row>
    <row r="387" spans="1:18" x14ac:dyDescent="0.25">
      <c r="A387" t="str">
        <f>TableSTRPHRIGT[[#This Row],[Study Package Code]]</f>
        <v>HRIG5003</v>
      </c>
      <c r="B387" s="1">
        <f>TableSTRPHRIGT[[#This Row],[Ver]]</f>
        <v>2</v>
      </c>
      <c r="D387" t="str">
        <f>TableSTRPHRIGT[[#This Row],[Structure Line]]</f>
        <v>Activism, Advocacy and Change</v>
      </c>
      <c r="E387" s="115">
        <f>TableSTRPHRIGT[[#This Row],[Credit Points]]</f>
        <v>25</v>
      </c>
      <c r="F387">
        <v>1</v>
      </c>
      <c r="G387" t="s">
        <v>335</v>
      </c>
      <c r="H387">
        <v>1</v>
      </c>
      <c r="I387" t="s">
        <v>586</v>
      </c>
      <c r="J387" t="s">
        <v>232</v>
      </c>
      <c r="K387">
        <v>2</v>
      </c>
      <c r="L387" t="s">
        <v>405</v>
      </c>
      <c r="M387">
        <v>25</v>
      </c>
      <c r="N387" s="178">
        <v>45292</v>
      </c>
      <c r="O387" s="178"/>
    </row>
    <row r="388" spans="1:18" x14ac:dyDescent="0.25">
      <c r="A388" t="str">
        <f>TableSTRPHRIGT[[#This Row],[Study Package Code]]</f>
        <v>HRIG5004</v>
      </c>
      <c r="B388" s="1">
        <f>TableSTRPHRIGT[[#This Row],[Ver]]</f>
        <v>3</v>
      </c>
      <c r="D388" t="str">
        <f>TableSTRPHRIGT[[#This Row],[Structure Line]]</f>
        <v>Forced Migration and Refugee Rights</v>
      </c>
      <c r="E388" s="115">
        <f>TableSTRPHRIGT[[#This Row],[Credit Points]]</f>
        <v>25</v>
      </c>
      <c r="F388">
        <v>1</v>
      </c>
      <c r="G388" t="s">
        <v>335</v>
      </c>
      <c r="H388">
        <v>1</v>
      </c>
      <c r="I388" t="s">
        <v>586</v>
      </c>
      <c r="J388" t="s">
        <v>246</v>
      </c>
      <c r="K388">
        <v>3</v>
      </c>
      <c r="L388" t="s">
        <v>408</v>
      </c>
      <c r="M388">
        <v>25</v>
      </c>
      <c r="N388" s="178">
        <v>45292</v>
      </c>
      <c r="O388" s="178"/>
    </row>
    <row r="389" spans="1:18" x14ac:dyDescent="0.25">
      <c r="A389" t="str">
        <f>TableSTRPHRIGT[[#This Row],[Study Package Code]]</f>
        <v>HRIG5014</v>
      </c>
      <c r="B389" s="1">
        <f>TableSTRPHRIGT[[#This Row],[Ver]]</f>
        <v>2</v>
      </c>
      <c r="D389" t="str">
        <f>TableSTRPHRIGT[[#This Row],[Structure Line]]</f>
        <v>Dialogue across Cultures and Religions</v>
      </c>
      <c r="E389" s="115">
        <f>TableSTRPHRIGT[[#This Row],[Credit Points]]</f>
        <v>25</v>
      </c>
      <c r="F389">
        <v>1</v>
      </c>
      <c r="G389" t="s">
        <v>335</v>
      </c>
      <c r="H389">
        <v>1</v>
      </c>
      <c r="I389" t="s">
        <v>586</v>
      </c>
      <c r="J389" t="s">
        <v>229</v>
      </c>
      <c r="K389">
        <v>2</v>
      </c>
      <c r="L389" t="s">
        <v>415</v>
      </c>
      <c r="M389">
        <v>25</v>
      </c>
      <c r="N389" s="178">
        <v>45292</v>
      </c>
      <c r="O389" s="178"/>
    </row>
    <row r="390" spans="1:18" x14ac:dyDescent="0.25">
      <c r="B390"/>
      <c r="E390"/>
      <c r="F390" s="111"/>
      <c r="G390" s="112" t="s">
        <v>573</v>
      </c>
      <c r="H390" s="251">
        <v>45292</v>
      </c>
      <c r="I390" s="177"/>
      <c r="J390" s="240" t="s">
        <v>160</v>
      </c>
      <c r="K390" s="252">
        <v>1</v>
      </c>
      <c r="L390" s="240" t="s">
        <v>159</v>
      </c>
      <c r="M390" s="177"/>
      <c r="N390" s="250" t="s">
        <v>574</v>
      </c>
      <c r="O390" s="178">
        <v>45345</v>
      </c>
    </row>
    <row r="391" spans="1:18" x14ac:dyDescent="0.25">
      <c r="A391" t="s">
        <v>0</v>
      </c>
      <c r="B391" s="1" t="s">
        <v>46</v>
      </c>
      <c r="C391" t="s">
        <v>575</v>
      </c>
      <c r="D391" t="s">
        <v>3</v>
      </c>
      <c r="E391" s="115" t="s">
        <v>576</v>
      </c>
      <c r="F391" t="s">
        <v>577</v>
      </c>
      <c r="G391" t="s">
        <v>578</v>
      </c>
      <c r="H391" t="s">
        <v>579</v>
      </c>
      <c r="I391" t="s">
        <v>21</v>
      </c>
      <c r="J391" t="s">
        <v>580</v>
      </c>
      <c r="K391" t="s">
        <v>1</v>
      </c>
      <c r="L391" t="s">
        <v>581</v>
      </c>
      <c r="M391" t="s">
        <v>47</v>
      </c>
      <c r="N391" t="s">
        <v>582</v>
      </c>
      <c r="O391" t="s">
        <v>583</v>
      </c>
      <c r="Q391" t="s">
        <v>584</v>
      </c>
      <c r="R391" t="s">
        <v>1</v>
      </c>
    </row>
    <row r="392" spans="1:18" x14ac:dyDescent="0.25">
      <c r="A392" t="str">
        <f>TableSTRPINTRN[[#This Row],[Study Package Code]]</f>
        <v>AC-INTRNSt</v>
      </c>
      <c r="B392" s="1">
        <f>TableSTRPINTRN[[#This Row],[Ver]]</f>
        <v>0</v>
      </c>
      <c r="D392" t="str">
        <f>TableSTRPINTRN[[#This Row],[Structure Line]]</f>
        <v>Choose INTR5001 or POLS5000 or POLS5003</v>
      </c>
      <c r="E392" s="115">
        <f>TableSTRPINTRN[[#This Row],[Credit Points]]</f>
        <v>25</v>
      </c>
      <c r="F392">
        <v>1</v>
      </c>
      <c r="G392" t="s">
        <v>590</v>
      </c>
      <c r="H392">
        <v>0</v>
      </c>
      <c r="I392" t="s">
        <v>586</v>
      </c>
      <c r="J392" t="s">
        <v>331</v>
      </c>
      <c r="K392">
        <v>0</v>
      </c>
      <c r="L392" t="s">
        <v>635</v>
      </c>
      <c r="M392">
        <v>25</v>
      </c>
      <c r="N392" s="178"/>
      <c r="O392" s="178"/>
    </row>
    <row r="393" spans="1:18" x14ac:dyDescent="0.25">
      <c r="A393" t="str">
        <f>TableSTRPINTRN[[#This Row],[Study Package Code]]</f>
        <v>Opt-INTRNSt</v>
      </c>
      <c r="B393" s="1">
        <f>TableSTRPINTRN[[#This Row],[Ver]]</f>
        <v>0</v>
      </c>
      <c r="D393" t="str">
        <f>TableSTRPINTRN[[#This Row],[Structure Line]]</f>
        <v>Choose Options</v>
      </c>
      <c r="E393" s="115">
        <f>TableSTRPINTRN[[#This Row],[Credit Points]]</f>
        <v>75</v>
      </c>
      <c r="F393">
        <v>2</v>
      </c>
      <c r="G393" t="s">
        <v>335</v>
      </c>
      <c r="H393">
        <v>0</v>
      </c>
      <c r="I393" t="s">
        <v>586</v>
      </c>
      <c r="J393" t="s">
        <v>333</v>
      </c>
      <c r="K393">
        <v>0</v>
      </c>
      <c r="L393" t="s">
        <v>592</v>
      </c>
      <c r="M393">
        <v>75</v>
      </c>
      <c r="N393" s="178"/>
      <c r="O393" s="178"/>
    </row>
    <row r="394" spans="1:18" x14ac:dyDescent="0.25">
      <c r="A394" t="str">
        <f>TableSTRPINTRN[[#This Row],[Study Package Code]]</f>
        <v>INTR5001</v>
      </c>
      <c r="B394" s="1">
        <f>TableSTRPINTRN[[#This Row],[Ver]]</f>
        <v>1</v>
      </c>
      <c r="D394" t="str">
        <f>TableSTRPINTRN[[#This Row],[Structure Line]]</f>
        <v>Contemporary Issues in International Relations</v>
      </c>
      <c r="E394" s="115">
        <f>TableSTRPINTRN[[#This Row],[Credit Points]]</f>
        <v>25</v>
      </c>
      <c r="F394">
        <v>1</v>
      </c>
      <c r="G394" t="s">
        <v>590</v>
      </c>
      <c r="H394">
        <v>0</v>
      </c>
      <c r="I394" t="s">
        <v>586</v>
      </c>
      <c r="J394" t="s">
        <v>276</v>
      </c>
      <c r="K394">
        <v>1</v>
      </c>
      <c r="L394" t="s">
        <v>430</v>
      </c>
      <c r="M394">
        <v>25</v>
      </c>
      <c r="N394" s="178">
        <v>42005</v>
      </c>
      <c r="O394" s="178"/>
    </row>
    <row r="395" spans="1:18" x14ac:dyDescent="0.25">
      <c r="A395" t="str">
        <f>TableSTRPINTRN[[#This Row],[Study Package Code]]</f>
        <v>POLS5000</v>
      </c>
      <c r="B395" s="1">
        <f>TableSTRPINTRN[[#This Row],[Ver]]</f>
        <v>2</v>
      </c>
      <c r="D395" t="str">
        <f>TableSTRPINTRN[[#This Row],[Structure Line]]</f>
        <v>Foundations of International Security in the 21st Century</v>
      </c>
      <c r="E395" s="115">
        <f>TableSTRPINTRN[[#This Row],[Credit Points]]</f>
        <v>25</v>
      </c>
      <c r="F395">
        <v>1</v>
      </c>
      <c r="G395" t="s">
        <v>590</v>
      </c>
      <c r="H395">
        <v>0</v>
      </c>
      <c r="I395" t="s">
        <v>586</v>
      </c>
      <c r="J395" t="s">
        <v>277</v>
      </c>
      <c r="K395">
        <v>2</v>
      </c>
      <c r="L395" t="s">
        <v>511</v>
      </c>
      <c r="M395">
        <v>25</v>
      </c>
      <c r="N395" s="178">
        <v>43101</v>
      </c>
      <c r="O395" s="178"/>
    </row>
    <row r="396" spans="1:18" x14ac:dyDescent="0.25">
      <c r="A396" t="str">
        <f>TableSTRPINTRN[[#This Row],[Study Package Code]]</f>
        <v>POLS5003</v>
      </c>
      <c r="B396" s="1">
        <f>TableSTRPINTRN[[#This Row],[Ver]]</f>
        <v>1</v>
      </c>
      <c r="D396" t="str">
        <f>TableSTRPINTRN[[#This Row],[Structure Line]]</f>
        <v>National Security and Strategy</v>
      </c>
      <c r="E396" s="115">
        <f>TableSTRPINTRN[[#This Row],[Credit Points]]</f>
        <v>25</v>
      </c>
      <c r="F396">
        <v>1</v>
      </c>
      <c r="G396" t="s">
        <v>590</v>
      </c>
      <c r="H396">
        <v>0</v>
      </c>
      <c r="I396" t="s">
        <v>586</v>
      </c>
      <c r="J396" t="s">
        <v>304</v>
      </c>
      <c r="K396">
        <v>1</v>
      </c>
      <c r="L396" t="s">
        <v>513</v>
      </c>
      <c r="M396">
        <v>25</v>
      </c>
      <c r="N396" s="178">
        <v>42005</v>
      </c>
      <c r="O396" s="178"/>
    </row>
    <row r="397" spans="1:18" x14ac:dyDescent="0.25">
      <c r="A397" t="str">
        <f>TableSTRPINTRN[[#This Row],[Study Package Code]]</f>
        <v>INTR5002</v>
      </c>
      <c r="B397" s="1">
        <f>TableSTRPINTRN[[#This Row],[Ver]]</f>
        <v>1</v>
      </c>
      <c r="D397" t="str">
        <f>TableSTRPINTRN[[#This Row],[Structure Line]]</f>
        <v>Asia Pacific Studies</v>
      </c>
      <c r="E397" s="115">
        <f>TableSTRPINTRN[[#This Row],[Credit Points]]</f>
        <v>25</v>
      </c>
      <c r="F397">
        <v>2</v>
      </c>
      <c r="G397" t="s">
        <v>335</v>
      </c>
      <c r="H397">
        <v>0</v>
      </c>
      <c r="I397" t="s">
        <v>586</v>
      </c>
      <c r="J397" t="s">
        <v>273</v>
      </c>
      <c r="K397">
        <v>1</v>
      </c>
      <c r="L397" t="s">
        <v>432</v>
      </c>
      <c r="M397">
        <v>25</v>
      </c>
      <c r="N397" s="178">
        <v>42005</v>
      </c>
      <c r="O397" s="178"/>
    </row>
    <row r="398" spans="1:18" x14ac:dyDescent="0.25">
      <c r="A398" t="str">
        <f>TableSTRPINTRN[[#This Row],[Study Package Code]]</f>
        <v>INTR5003</v>
      </c>
      <c r="B398" s="1">
        <f>TableSTRPINTRN[[#This Row],[Ver]]</f>
        <v>1</v>
      </c>
      <c r="D398" t="str">
        <f>TableSTRPINTRN[[#This Row],[Structure Line]]</f>
        <v>Strategic Geography</v>
      </c>
      <c r="E398" s="115">
        <f>TableSTRPINTRN[[#This Row],[Credit Points]]</f>
        <v>25</v>
      </c>
      <c r="F398">
        <v>2</v>
      </c>
      <c r="G398" t="s">
        <v>335</v>
      </c>
      <c r="H398">
        <v>0</v>
      </c>
      <c r="I398" t="s">
        <v>586</v>
      </c>
      <c r="J398" t="s">
        <v>313</v>
      </c>
      <c r="K398">
        <v>1</v>
      </c>
      <c r="L398" t="s">
        <v>433</v>
      </c>
      <c r="M398">
        <v>25</v>
      </c>
      <c r="N398" s="178">
        <v>42005</v>
      </c>
      <c r="O398" s="178"/>
    </row>
    <row r="399" spans="1:18" x14ac:dyDescent="0.25">
      <c r="A399" t="str">
        <f>TableSTRPINTRN[[#This Row],[Study Package Code]]</f>
        <v>INTR5004</v>
      </c>
      <c r="B399" s="1">
        <f>TableSTRPINTRN[[#This Row],[Ver]]</f>
        <v>1</v>
      </c>
      <c r="D399" t="str">
        <f>TableSTRPINTRN[[#This Row],[Structure Line]]</f>
        <v>Russian and Eurasian Studies</v>
      </c>
      <c r="E399" s="115">
        <f>TableSTRPINTRN[[#This Row],[Credit Points]]</f>
        <v>25</v>
      </c>
      <c r="F399">
        <v>2</v>
      </c>
      <c r="G399" t="s">
        <v>335</v>
      </c>
      <c r="H399">
        <v>0</v>
      </c>
      <c r="I399" t="s">
        <v>586</v>
      </c>
      <c r="J399" t="s">
        <v>314</v>
      </c>
      <c r="K399">
        <v>1</v>
      </c>
      <c r="L399" t="s">
        <v>434</v>
      </c>
      <c r="M399">
        <v>25</v>
      </c>
      <c r="N399" s="178">
        <v>42005</v>
      </c>
      <c r="O399" s="178"/>
    </row>
    <row r="400" spans="1:18" x14ac:dyDescent="0.25">
      <c r="A400" t="str">
        <f>TableSTRPINTRN[[#This Row],[Study Package Code]]</f>
        <v>INTR5005</v>
      </c>
      <c r="B400" s="1">
        <f>TableSTRPINTRN[[#This Row],[Ver]]</f>
        <v>1</v>
      </c>
      <c r="D400" t="str">
        <f>TableSTRPINTRN[[#This Row],[Structure Line]]</f>
        <v>Globalised Terrorism</v>
      </c>
      <c r="E400" s="115">
        <f>TableSTRPINTRN[[#This Row],[Credit Points]]</f>
        <v>25</v>
      </c>
      <c r="F400">
        <v>2</v>
      </c>
      <c r="G400" t="s">
        <v>335</v>
      </c>
      <c r="H400">
        <v>0</v>
      </c>
      <c r="I400" t="s">
        <v>586</v>
      </c>
      <c r="J400" t="s">
        <v>315</v>
      </c>
      <c r="K400">
        <v>1</v>
      </c>
      <c r="L400" t="s">
        <v>435</v>
      </c>
      <c r="M400">
        <v>25</v>
      </c>
      <c r="N400" s="178">
        <v>42005</v>
      </c>
      <c r="O400" s="178"/>
    </row>
    <row r="401" spans="1:18" x14ac:dyDescent="0.25">
      <c r="A401" t="str">
        <f>TableSTRPINTRN[[#This Row],[Study Package Code]]</f>
        <v>INTR5006</v>
      </c>
      <c r="B401" s="1">
        <f>TableSTRPINTRN[[#This Row],[Ver]]</f>
        <v>1</v>
      </c>
      <c r="D401" t="str">
        <f>TableSTRPINTRN[[#This Row],[Structure Line]]</f>
        <v>Intelligence and Analysis</v>
      </c>
      <c r="E401" s="115">
        <f>TableSTRPINTRN[[#This Row],[Credit Points]]</f>
        <v>25</v>
      </c>
      <c r="F401">
        <v>2</v>
      </c>
      <c r="G401" t="s">
        <v>335</v>
      </c>
      <c r="H401">
        <v>0</v>
      </c>
      <c r="I401" t="s">
        <v>586</v>
      </c>
      <c r="J401" t="s">
        <v>275</v>
      </c>
      <c r="K401">
        <v>1</v>
      </c>
      <c r="L401" t="s">
        <v>436</v>
      </c>
      <c r="M401">
        <v>25</v>
      </c>
      <c r="N401" s="178">
        <v>42005</v>
      </c>
      <c r="O401" s="178"/>
    </row>
    <row r="402" spans="1:18" x14ac:dyDescent="0.25">
      <c r="A402" t="str">
        <f>TableSTRPINTRN[[#This Row],[Study Package Code]]</f>
        <v>INTR5008</v>
      </c>
      <c r="B402" s="1">
        <f>TableSTRPINTRN[[#This Row],[Ver]]</f>
        <v>2</v>
      </c>
      <c r="D402" t="str">
        <f>TableSTRPINTRN[[#This Row],[Structure Line]]</f>
        <v>Cultures of Violence and Conflict</v>
      </c>
      <c r="E402" s="115">
        <f>TableSTRPINTRN[[#This Row],[Credit Points]]</f>
        <v>25</v>
      </c>
      <c r="F402">
        <v>2</v>
      </c>
      <c r="G402" t="s">
        <v>335</v>
      </c>
      <c r="H402">
        <v>0</v>
      </c>
      <c r="I402" t="s">
        <v>586</v>
      </c>
      <c r="J402" t="s">
        <v>317</v>
      </c>
      <c r="K402">
        <v>2</v>
      </c>
      <c r="L402" t="s">
        <v>437</v>
      </c>
      <c r="M402">
        <v>25</v>
      </c>
      <c r="N402" s="178">
        <v>44927</v>
      </c>
      <c r="O402" s="178"/>
    </row>
    <row r="403" spans="1:18" x14ac:dyDescent="0.25">
      <c r="A403" t="str">
        <f>TableSTRPINTRN[[#This Row],[Study Package Code]]</f>
        <v>INTR5009</v>
      </c>
      <c r="B403" s="1">
        <f>TableSTRPINTRN[[#This Row],[Ver]]</f>
        <v>1</v>
      </c>
      <c r="D403" t="str">
        <f>TableSTRPINTRN[[#This Row],[Structure Line]]</f>
        <v>Information Operations and Cyber Power</v>
      </c>
      <c r="E403" s="115">
        <f>TableSTRPINTRN[[#This Row],[Credit Points]]</f>
        <v>25</v>
      </c>
      <c r="F403">
        <v>2</v>
      </c>
      <c r="G403" t="s">
        <v>335</v>
      </c>
      <c r="H403">
        <v>0</v>
      </c>
      <c r="I403" t="s">
        <v>586</v>
      </c>
      <c r="J403" t="s">
        <v>318</v>
      </c>
      <c r="K403">
        <v>1</v>
      </c>
      <c r="L403" t="s">
        <v>438</v>
      </c>
      <c r="M403">
        <v>25</v>
      </c>
      <c r="N403" s="178">
        <v>44197</v>
      </c>
      <c r="O403" s="178"/>
    </row>
    <row r="404" spans="1:18" x14ac:dyDescent="0.25">
      <c r="A404" t="str">
        <f>TableSTRPINTRN[[#This Row],[Study Package Code]]</f>
        <v>POLS5002</v>
      </c>
      <c r="B404" s="1">
        <f>TableSTRPINTRN[[#This Row],[Ver]]</f>
        <v>1</v>
      </c>
      <c r="D404" t="str">
        <f>TableSTRPINTRN[[#This Row],[Structure Line]]</f>
        <v>Security and Conflict in the Indian Ocean and Persian Gulf</v>
      </c>
      <c r="E404" s="115">
        <f>TableSTRPINTRN[[#This Row],[Credit Points]]</f>
        <v>25</v>
      </c>
      <c r="F404">
        <v>2</v>
      </c>
      <c r="G404" t="s">
        <v>335</v>
      </c>
      <c r="H404">
        <v>0</v>
      </c>
      <c r="I404" t="s">
        <v>586</v>
      </c>
      <c r="J404" t="s">
        <v>319</v>
      </c>
      <c r="K404">
        <v>1</v>
      </c>
      <c r="L404" t="s">
        <v>512</v>
      </c>
      <c r="M404">
        <v>25</v>
      </c>
      <c r="N404" s="178">
        <v>42005</v>
      </c>
      <c r="O404" s="178"/>
    </row>
    <row r="405" spans="1:18" x14ac:dyDescent="0.25">
      <c r="A405" t="str">
        <f>TableSTRPINTRN[[#This Row],[Study Package Code]]</f>
        <v>POLS5004</v>
      </c>
      <c r="B405" s="1">
        <f>TableSTRPINTRN[[#This Row],[Ver]]</f>
        <v>1</v>
      </c>
      <c r="D405" t="str">
        <f>TableSTRPINTRN[[#This Row],[Structure Line]]</f>
        <v>Geo-Strategy and Energy Security</v>
      </c>
      <c r="E405" s="115">
        <f>TableSTRPINTRN[[#This Row],[Credit Points]]</f>
        <v>25</v>
      </c>
      <c r="F405">
        <v>2</v>
      </c>
      <c r="G405" t="s">
        <v>335</v>
      </c>
      <c r="H405">
        <v>0</v>
      </c>
      <c r="I405" t="s">
        <v>586</v>
      </c>
      <c r="J405" t="s">
        <v>278</v>
      </c>
      <c r="K405">
        <v>1</v>
      </c>
      <c r="L405" t="s">
        <v>514</v>
      </c>
      <c r="M405">
        <v>25</v>
      </c>
      <c r="N405" s="178">
        <v>42005</v>
      </c>
      <c r="O405" s="178"/>
    </row>
    <row r="406" spans="1:18" x14ac:dyDescent="0.25">
      <c r="B406"/>
      <c r="E406"/>
      <c r="F406" s="111"/>
      <c r="G406" s="112" t="s">
        <v>573</v>
      </c>
      <c r="H406" s="251">
        <v>45292</v>
      </c>
      <c r="I406" s="177"/>
      <c r="J406" s="240" t="s">
        <v>131</v>
      </c>
      <c r="K406" s="252" t="s">
        <v>80</v>
      </c>
      <c r="L406" s="240" t="s">
        <v>130</v>
      </c>
      <c r="M406" s="177"/>
      <c r="N406" s="250" t="s">
        <v>574</v>
      </c>
      <c r="O406" s="178">
        <v>45345</v>
      </c>
    </row>
    <row r="407" spans="1:18" x14ac:dyDescent="0.25">
      <c r="A407" t="s">
        <v>0</v>
      </c>
      <c r="B407" s="1" t="s">
        <v>46</v>
      </c>
      <c r="C407" t="s">
        <v>575</v>
      </c>
      <c r="D407" t="s">
        <v>3</v>
      </c>
      <c r="E407" s="115" t="s">
        <v>576</v>
      </c>
      <c r="F407" t="s">
        <v>577</v>
      </c>
      <c r="G407" t="s">
        <v>578</v>
      </c>
      <c r="H407" t="s">
        <v>579</v>
      </c>
      <c r="I407" t="s">
        <v>21</v>
      </c>
      <c r="J407" t="s">
        <v>580</v>
      </c>
      <c r="K407" t="s">
        <v>1</v>
      </c>
      <c r="L407" t="s">
        <v>581</v>
      </c>
      <c r="M407" t="s">
        <v>47</v>
      </c>
      <c r="N407" t="s">
        <v>582</v>
      </c>
      <c r="O407" t="s">
        <v>583</v>
      </c>
      <c r="Q407" t="s">
        <v>584</v>
      </c>
      <c r="R407" t="s">
        <v>1</v>
      </c>
    </row>
    <row r="408" spans="1:18" x14ac:dyDescent="0.25">
      <c r="A408" t="str">
        <f>TableMCGLOBL2[[#This Row],[Study Package Code]]</f>
        <v>STRP-GLOBL</v>
      </c>
      <c r="B408" s="1">
        <f>TableMCGLOBL2[[#This Row],[Ver]]</f>
        <v>0</v>
      </c>
      <c r="D408" t="str">
        <f>TableMCGLOBL2[[#This Row],[Structure Line]]</f>
        <v>Choose Stream 1 - STRP-GLOBL Global Engagement Stream</v>
      </c>
      <c r="E408" s="115">
        <f>TableMCGLOBL2[[#This Row],[Credit Points]]</f>
        <v>100</v>
      </c>
      <c r="F408">
        <v>1</v>
      </c>
      <c r="G408" t="s">
        <v>585</v>
      </c>
      <c r="H408">
        <v>1</v>
      </c>
      <c r="I408" t="s">
        <v>339</v>
      </c>
      <c r="J408" t="s">
        <v>164</v>
      </c>
      <c r="K408">
        <v>0</v>
      </c>
      <c r="L408" t="s">
        <v>640</v>
      </c>
      <c r="M408">
        <v>100</v>
      </c>
      <c r="N408" s="178"/>
      <c r="O408" s="178"/>
    </row>
    <row r="409" spans="1:18" x14ac:dyDescent="0.25">
      <c r="A409" t="str">
        <f>TableMCGLOBL2[[#This Row],[Study Package Code]]</f>
        <v>STRP-INTRN</v>
      </c>
      <c r="B409" s="1">
        <f>TableMCGLOBL2[[#This Row],[Ver]]</f>
        <v>0</v>
      </c>
      <c r="D409" t="str">
        <f>TableMCGLOBL2[[#This Row],[Structure Line]]</f>
        <v>Choose Stream 2 - STRP-INTRN International Relations and National Security Stream</v>
      </c>
      <c r="E409" s="115">
        <f>TableMCGLOBL2[[#This Row],[Credit Points]]</f>
        <v>100</v>
      </c>
      <c r="F409">
        <v>2</v>
      </c>
      <c r="G409" t="s">
        <v>585</v>
      </c>
      <c r="H409">
        <v>1</v>
      </c>
      <c r="I409" t="s">
        <v>340</v>
      </c>
      <c r="J409" t="s">
        <v>160</v>
      </c>
      <c r="K409">
        <v>0</v>
      </c>
      <c r="L409" t="s">
        <v>641</v>
      </c>
      <c r="M409">
        <v>100</v>
      </c>
      <c r="N409" s="178"/>
      <c r="O409" s="178"/>
    </row>
    <row r="410" spans="1:18" x14ac:dyDescent="0.25">
      <c r="A410" t="str">
        <f>TableMCGLOBL2[[#This Row],[Study Package Code]]</f>
        <v>STRP-HRIGT</v>
      </c>
      <c r="B410" s="1">
        <f>TableMCGLOBL2[[#This Row],[Ver]]</f>
        <v>0</v>
      </c>
      <c r="D410" t="str">
        <f>TableMCGLOBL2[[#This Row],[Structure Line]]</f>
        <v>Choose Stream 3 - STRP-HRIGT Human Rights Stream</v>
      </c>
      <c r="E410" s="115">
        <f>TableMCGLOBL2[[#This Row],[Credit Points]]</f>
        <v>100</v>
      </c>
      <c r="F410">
        <v>3</v>
      </c>
      <c r="G410" t="s">
        <v>585</v>
      </c>
      <c r="H410">
        <v>2</v>
      </c>
      <c r="I410" t="s">
        <v>586</v>
      </c>
      <c r="J410" t="s">
        <v>155</v>
      </c>
      <c r="K410">
        <v>0</v>
      </c>
      <c r="L410" t="s">
        <v>642</v>
      </c>
      <c r="M410">
        <v>100</v>
      </c>
      <c r="N410" s="178"/>
      <c r="O410" s="178"/>
    </row>
    <row r="411" spans="1:18" x14ac:dyDescent="0.25">
      <c r="A411" t="str">
        <f>TableMCGLOBL2[[#This Row],[Study Package Code]]</f>
        <v>AC-GLOBL1</v>
      </c>
      <c r="B411" s="1">
        <f>TableMCGLOBL2[[#This Row],[Ver]]</f>
        <v>0</v>
      </c>
      <c r="D411" t="str">
        <f>TableMCGLOBL2[[#This Row],[Structure Line]]</f>
        <v>Choose HUMN6001 or COMS6004</v>
      </c>
      <c r="E411" s="115">
        <f>TableMCGLOBL2[[#This Row],[Credit Points]]</f>
        <v>50</v>
      </c>
      <c r="F411">
        <v>4</v>
      </c>
      <c r="G411" t="s">
        <v>590</v>
      </c>
      <c r="H411">
        <v>2</v>
      </c>
      <c r="I411" t="s">
        <v>586</v>
      </c>
      <c r="J411" t="s">
        <v>334</v>
      </c>
      <c r="K411">
        <v>0</v>
      </c>
      <c r="L411" t="s">
        <v>615</v>
      </c>
      <c r="M411">
        <v>50</v>
      </c>
      <c r="N411" s="178"/>
      <c r="O411" s="178"/>
    </row>
    <row r="412" spans="1:18" x14ac:dyDescent="0.25">
      <c r="A412" t="str">
        <f>TableMCGLOBL2[[#This Row],[Study Package Code]]</f>
        <v>AC-GLOBL2</v>
      </c>
      <c r="B412" s="1">
        <f>TableMCGLOBL2[[#This Row],[Ver]]</f>
        <v>0</v>
      </c>
      <c r="D412" t="str">
        <f>TableMCGLOBL2[[#This Row],[Structure Line]]</f>
        <v>Choose HUMN6003 or COMS6002</v>
      </c>
      <c r="E412" s="115">
        <f>TableMCGLOBL2[[#This Row],[Credit Points]]</f>
        <v>50</v>
      </c>
      <c r="F412">
        <v>5</v>
      </c>
      <c r="G412" t="s">
        <v>590</v>
      </c>
      <c r="H412">
        <v>2</v>
      </c>
      <c r="I412" t="s">
        <v>586</v>
      </c>
      <c r="J412" t="s">
        <v>337</v>
      </c>
      <c r="K412">
        <v>0</v>
      </c>
      <c r="L412" t="s">
        <v>616</v>
      </c>
      <c r="M412">
        <v>50</v>
      </c>
      <c r="N412" s="178"/>
      <c r="O412" s="178"/>
    </row>
    <row r="413" spans="1:18" x14ac:dyDescent="0.25">
      <c r="A413" t="str">
        <f>TableMCGLOBL2[[#This Row],[Study Package Code]]</f>
        <v>COMS6004</v>
      </c>
      <c r="B413" s="1">
        <f>TableMCGLOBL2[[#This Row],[Ver]]</f>
        <v>2</v>
      </c>
      <c r="D413" t="str">
        <f>TableMCGLOBL2[[#This Row],[Structure Line]]</f>
        <v>Masters Professional or Creative Project</v>
      </c>
      <c r="E413" s="115">
        <f>TableMCGLOBL2[[#This Row],[Credit Points]]</f>
        <v>50</v>
      </c>
      <c r="F413">
        <v>4</v>
      </c>
      <c r="G413" t="s">
        <v>590</v>
      </c>
      <c r="H413">
        <v>2</v>
      </c>
      <c r="I413" t="s">
        <v>586</v>
      </c>
      <c r="J413" t="s">
        <v>139</v>
      </c>
      <c r="K413">
        <v>2</v>
      </c>
      <c r="L413" t="s">
        <v>376</v>
      </c>
      <c r="M413">
        <v>50</v>
      </c>
      <c r="N413" s="178">
        <v>45292</v>
      </c>
      <c r="O413" s="178"/>
    </row>
    <row r="414" spans="1:18" x14ac:dyDescent="0.25">
      <c r="A414" t="str">
        <f>TableMCGLOBL2[[#This Row],[Study Package Code]]</f>
        <v>HUMN6001</v>
      </c>
      <c r="B414" s="1">
        <f>TableMCGLOBL2[[#This Row],[Ver]]</f>
        <v>1</v>
      </c>
      <c r="D414" t="str">
        <f>TableMCGLOBL2[[#This Row],[Structure Line]]</f>
        <v>Masters Research Project 1</v>
      </c>
      <c r="E414" s="115">
        <f>TableMCGLOBL2[[#This Row],[Credit Points]]</f>
        <v>50</v>
      </c>
      <c r="F414">
        <v>4</v>
      </c>
      <c r="G414" t="s">
        <v>590</v>
      </c>
      <c r="H414">
        <v>2</v>
      </c>
      <c r="I414" t="s">
        <v>586</v>
      </c>
      <c r="J414" t="s">
        <v>165</v>
      </c>
      <c r="K414">
        <v>1</v>
      </c>
      <c r="L414" t="s">
        <v>597</v>
      </c>
      <c r="M414">
        <v>50</v>
      </c>
      <c r="N414" s="178">
        <v>45292</v>
      </c>
      <c r="O414" s="178"/>
    </row>
    <row r="415" spans="1:18" x14ac:dyDescent="0.25">
      <c r="A415" t="str">
        <f>TableMCGLOBL2[[#This Row],[Study Package Code]]</f>
        <v>COMS6002</v>
      </c>
      <c r="B415" s="1">
        <f>TableMCGLOBL2[[#This Row],[Ver]]</f>
        <v>3</v>
      </c>
      <c r="D415" t="str">
        <f>TableMCGLOBL2[[#This Row],[Structure Line]]</f>
        <v>Masters Professional Experience</v>
      </c>
      <c r="E415" s="115">
        <f>TableMCGLOBL2[[#This Row],[Credit Points]]</f>
        <v>50</v>
      </c>
      <c r="F415">
        <v>5</v>
      </c>
      <c r="G415" t="s">
        <v>590</v>
      </c>
      <c r="H415">
        <v>2</v>
      </c>
      <c r="I415" t="s">
        <v>586</v>
      </c>
      <c r="J415" t="s">
        <v>161</v>
      </c>
      <c r="K415">
        <v>3</v>
      </c>
      <c r="L415" t="s">
        <v>369</v>
      </c>
      <c r="M415">
        <v>50</v>
      </c>
      <c r="N415" s="178">
        <v>45292</v>
      </c>
      <c r="O415" s="178"/>
    </row>
    <row r="416" spans="1:18" x14ac:dyDescent="0.25">
      <c r="A416" t="str">
        <f>TableMCGLOBL2[[#This Row],[Study Package Code]]</f>
        <v>HUMN6003</v>
      </c>
      <c r="B416" s="1">
        <f>TableMCGLOBL2[[#This Row],[Ver]]</f>
        <v>1</v>
      </c>
      <c r="D416" t="str">
        <f>TableMCGLOBL2[[#This Row],[Structure Line]]</f>
        <v>Masters Research Project 2</v>
      </c>
      <c r="E416" s="115">
        <f>TableMCGLOBL2[[#This Row],[Credit Points]]</f>
        <v>50</v>
      </c>
      <c r="F416">
        <v>5</v>
      </c>
      <c r="G416" t="s">
        <v>590</v>
      </c>
      <c r="H416">
        <v>2</v>
      </c>
      <c r="I416" t="s">
        <v>586</v>
      </c>
      <c r="J416" t="s">
        <v>144</v>
      </c>
      <c r="K416">
        <v>1</v>
      </c>
      <c r="L416" t="s">
        <v>594</v>
      </c>
      <c r="M416">
        <v>50</v>
      </c>
      <c r="N416" s="178">
        <v>45292</v>
      </c>
      <c r="O416" s="178"/>
    </row>
  </sheetData>
  <conditionalFormatting sqref="J11:J41">
    <cfRule type="duplicateValues" dxfId="394" priority="348"/>
  </conditionalFormatting>
  <conditionalFormatting sqref="J44:J67">
    <cfRule type="duplicateValues" dxfId="393" priority="349"/>
  </conditionalFormatting>
  <conditionalFormatting sqref="J70:J93 J96:J97">
    <cfRule type="duplicateValues" dxfId="392" priority="244"/>
    <cfRule type="duplicateValues" dxfId="391" priority="280"/>
    <cfRule type="duplicateValues" dxfId="390" priority="350"/>
    <cfRule type="duplicateValues" dxfId="389" priority="351"/>
  </conditionalFormatting>
  <conditionalFormatting sqref="J100:J123">
    <cfRule type="duplicateValues" dxfId="388" priority="352"/>
  </conditionalFormatting>
  <conditionalFormatting sqref="O145:O149 O188 O207:O219">
    <cfRule type="notContainsBlanks" dxfId="387" priority="296">
      <formula>LEN(TRIM(O145))&gt;0</formula>
    </cfRule>
  </conditionalFormatting>
  <conditionalFormatting sqref="J243:J244 J246:J259">
    <cfRule type="duplicateValues" dxfId="386" priority="291"/>
  </conditionalFormatting>
  <conditionalFormatting sqref="J262:J263 J265:J276">
    <cfRule type="duplicateValues" dxfId="385" priority="289"/>
  </conditionalFormatting>
  <conditionalFormatting sqref="J279 J281:J292">
    <cfRule type="duplicateValues" dxfId="384" priority="288"/>
  </conditionalFormatting>
  <conditionalFormatting sqref="J296:J322">
    <cfRule type="duplicateValues" dxfId="383" priority="284"/>
  </conditionalFormatting>
  <conditionalFormatting sqref="J343:J354">
    <cfRule type="duplicateValues" dxfId="382" priority="281"/>
  </conditionalFormatting>
  <conditionalFormatting sqref="J127:J149">
    <cfRule type="duplicateValues" dxfId="381" priority="279"/>
  </conditionalFormatting>
  <conditionalFormatting sqref="J152:J168">
    <cfRule type="duplicateValues" dxfId="380" priority="278"/>
  </conditionalFormatting>
  <conditionalFormatting sqref="J171:J178">
    <cfRule type="duplicateValues" dxfId="379" priority="277"/>
  </conditionalFormatting>
  <conditionalFormatting sqref="J181:J184">
    <cfRule type="duplicateValues" dxfId="378" priority="276"/>
  </conditionalFormatting>
  <conditionalFormatting sqref="J222:J229">
    <cfRule type="duplicateValues" dxfId="377" priority="274"/>
  </conditionalFormatting>
  <conditionalFormatting sqref="J232:J238">
    <cfRule type="duplicateValues" dxfId="376" priority="273"/>
  </conditionalFormatting>
  <conditionalFormatting sqref="J326">
    <cfRule type="duplicateValues" dxfId="375" priority="272"/>
  </conditionalFormatting>
  <conditionalFormatting sqref="J337:J338">
    <cfRule type="duplicateValues" dxfId="374" priority="271"/>
  </conditionalFormatting>
  <conditionalFormatting sqref="J325 J328:J336">
    <cfRule type="duplicateValues" dxfId="373" priority="353"/>
  </conditionalFormatting>
  <conditionalFormatting sqref="J325:J326 J328:J338">
    <cfRule type="duplicateValues" dxfId="372" priority="270"/>
  </conditionalFormatting>
  <conditionalFormatting sqref="J341">
    <cfRule type="duplicateValues" dxfId="371" priority="268"/>
  </conditionalFormatting>
  <conditionalFormatting sqref="J341">
    <cfRule type="duplicateValues" dxfId="370" priority="269"/>
  </conditionalFormatting>
  <conditionalFormatting sqref="J341">
    <cfRule type="duplicateValues" dxfId="369" priority="267"/>
  </conditionalFormatting>
  <conditionalFormatting sqref="J342">
    <cfRule type="duplicateValues" dxfId="368" priority="266"/>
  </conditionalFormatting>
  <conditionalFormatting sqref="J342">
    <cfRule type="duplicateValues" dxfId="367" priority="265"/>
  </conditionalFormatting>
  <conditionalFormatting sqref="J242">
    <cfRule type="duplicateValues" dxfId="366" priority="262"/>
  </conditionalFormatting>
  <conditionalFormatting sqref="J242">
    <cfRule type="duplicateValues" dxfId="365" priority="261"/>
  </conditionalFormatting>
  <conditionalFormatting sqref="Q3:R3 Q207:R219 Q358:R361 Q383:R389 Q408:R416">
    <cfRule type="expression" dxfId="364" priority="260">
      <formula>Q3&lt;&gt;J3</formula>
    </cfRule>
  </conditionalFormatting>
  <conditionalFormatting sqref="Q4:R8">
    <cfRule type="expression" dxfId="363" priority="259">
      <formula>Q4&lt;&gt;J4</formula>
    </cfRule>
  </conditionalFormatting>
  <conditionalFormatting sqref="Q10:R10">
    <cfRule type="expression" dxfId="362" priority="258">
      <formula>Q10&lt;&gt;J10</formula>
    </cfRule>
  </conditionalFormatting>
  <conditionalFormatting sqref="Q11:R41">
    <cfRule type="expression" dxfId="361" priority="257">
      <formula>Q11&lt;&gt;J11</formula>
    </cfRule>
  </conditionalFormatting>
  <conditionalFormatting sqref="Q43:R43">
    <cfRule type="expression" dxfId="360" priority="256">
      <formula>Q43&lt;&gt;J43</formula>
    </cfRule>
  </conditionalFormatting>
  <conditionalFormatting sqref="Q44:R67">
    <cfRule type="expression" dxfId="359" priority="255">
      <formula>Q44&lt;&gt;J44</formula>
    </cfRule>
  </conditionalFormatting>
  <conditionalFormatting sqref="Q69:R69">
    <cfRule type="expression" dxfId="358" priority="254">
      <formula>Q69&lt;&gt;J69</formula>
    </cfRule>
  </conditionalFormatting>
  <conditionalFormatting sqref="Q70:R97">
    <cfRule type="expression" dxfId="357" priority="253">
      <formula>Q70&lt;&gt;J70</formula>
    </cfRule>
  </conditionalFormatting>
  <conditionalFormatting sqref="O4:O8">
    <cfRule type="notContainsBlanks" dxfId="356" priority="252">
      <formula>LEN(TRIM(O4))&gt;0</formula>
    </cfRule>
  </conditionalFormatting>
  <conditionalFormatting sqref="N4:N8 N145:N149 N188 N207:N219">
    <cfRule type="cellIs" dxfId="355" priority="251" operator="equal">
      <formula>45292</formula>
    </cfRule>
  </conditionalFormatting>
  <conditionalFormatting sqref="O11:O41">
    <cfRule type="notContainsBlanks" dxfId="354" priority="250">
      <formula>LEN(TRIM(O11))&gt;0</formula>
    </cfRule>
  </conditionalFormatting>
  <conditionalFormatting sqref="N11:N41">
    <cfRule type="cellIs" dxfId="353" priority="249" operator="equal">
      <formula>45292</formula>
    </cfRule>
  </conditionalFormatting>
  <conditionalFormatting sqref="O44:O67">
    <cfRule type="notContainsBlanks" dxfId="352" priority="248">
      <formula>LEN(TRIM(O44))&gt;0</formula>
    </cfRule>
  </conditionalFormatting>
  <conditionalFormatting sqref="N44:N67">
    <cfRule type="cellIs" dxfId="351" priority="247" operator="equal">
      <formula>45292</formula>
    </cfRule>
  </conditionalFormatting>
  <conditionalFormatting sqref="O70:O97">
    <cfRule type="notContainsBlanks" dxfId="350" priority="246">
      <formula>LEN(TRIM(O70))&gt;0</formula>
    </cfRule>
  </conditionalFormatting>
  <conditionalFormatting sqref="N70:N97">
    <cfRule type="cellIs" dxfId="349" priority="245" operator="equal">
      <formula>45292</formula>
    </cfRule>
  </conditionalFormatting>
  <conditionalFormatting sqref="J94">
    <cfRule type="duplicateValues" dxfId="348" priority="240"/>
    <cfRule type="duplicateValues" dxfId="347" priority="241"/>
    <cfRule type="duplicateValues" dxfId="346" priority="242"/>
    <cfRule type="duplicateValues" dxfId="345" priority="243"/>
  </conditionalFormatting>
  <conditionalFormatting sqref="J95">
    <cfRule type="duplicateValues" dxfId="344" priority="236"/>
    <cfRule type="duplicateValues" dxfId="343" priority="237"/>
    <cfRule type="duplicateValues" dxfId="342" priority="238"/>
    <cfRule type="duplicateValues" dxfId="341" priority="239"/>
  </conditionalFormatting>
  <conditionalFormatting sqref="Q99:R99">
    <cfRule type="expression" dxfId="340" priority="235">
      <formula>Q99&lt;&gt;J99</formula>
    </cfRule>
  </conditionalFormatting>
  <conditionalFormatting sqref="Q100:R123">
    <cfRule type="expression" dxfId="339" priority="234">
      <formula>Q100&lt;&gt;J100</formula>
    </cfRule>
  </conditionalFormatting>
  <conditionalFormatting sqref="O100:O123">
    <cfRule type="notContainsBlanks" dxfId="338" priority="233">
      <formula>LEN(TRIM(O100))&gt;0</formula>
    </cfRule>
  </conditionalFormatting>
  <conditionalFormatting sqref="N100:N123">
    <cfRule type="cellIs" dxfId="337" priority="232" operator="equal">
      <formula>45292</formula>
    </cfRule>
  </conditionalFormatting>
  <conditionalFormatting sqref="Q126:R126">
    <cfRule type="expression" dxfId="336" priority="231">
      <formula>Q126&lt;&gt;J126</formula>
    </cfRule>
  </conditionalFormatting>
  <conditionalFormatting sqref="Q127:R149">
    <cfRule type="expression" dxfId="335" priority="230">
      <formula>Q127&lt;&gt;J127</formula>
    </cfRule>
  </conditionalFormatting>
  <conditionalFormatting sqref="O127:O149">
    <cfRule type="notContainsBlanks" dxfId="334" priority="229">
      <formula>LEN(TRIM(O127))&gt;0</formula>
    </cfRule>
  </conditionalFormatting>
  <conditionalFormatting sqref="N127:N149">
    <cfRule type="cellIs" dxfId="333" priority="228" operator="equal">
      <formula>45292</formula>
    </cfRule>
  </conditionalFormatting>
  <conditionalFormatting sqref="O152:O168">
    <cfRule type="notContainsBlanks" dxfId="332" priority="227">
      <formula>LEN(TRIM(O152))&gt;0</formula>
    </cfRule>
  </conditionalFormatting>
  <conditionalFormatting sqref="N152:N168">
    <cfRule type="cellIs" dxfId="331" priority="226" operator="equal">
      <formula>45292</formula>
    </cfRule>
  </conditionalFormatting>
  <conditionalFormatting sqref="O171:O178">
    <cfRule type="notContainsBlanks" dxfId="330" priority="225">
      <formula>LEN(TRIM(O171))&gt;0</formula>
    </cfRule>
  </conditionalFormatting>
  <conditionalFormatting sqref="N171:N178">
    <cfRule type="cellIs" dxfId="329" priority="224" operator="equal">
      <formula>45292</formula>
    </cfRule>
  </conditionalFormatting>
  <conditionalFormatting sqref="O181:O184">
    <cfRule type="notContainsBlanks" dxfId="328" priority="223">
      <formula>LEN(TRIM(O181))&gt;0</formula>
    </cfRule>
  </conditionalFormatting>
  <conditionalFormatting sqref="N181:N184">
    <cfRule type="cellIs" dxfId="327" priority="222" operator="equal">
      <formula>45292</formula>
    </cfRule>
  </conditionalFormatting>
  <conditionalFormatting sqref="Q151:R151">
    <cfRule type="expression" dxfId="326" priority="221">
      <formula>Q151&lt;&gt;J151</formula>
    </cfRule>
  </conditionalFormatting>
  <conditionalFormatting sqref="Q152:R168">
    <cfRule type="expression" dxfId="325" priority="220">
      <formula>Q152&lt;&gt;J152</formula>
    </cfRule>
  </conditionalFormatting>
  <conditionalFormatting sqref="Q170:R170">
    <cfRule type="expression" dxfId="324" priority="219">
      <formula>Q170&lt;&gt;J170</formula>
    </cfRule>
  </conditionalFormatting>
  <conditionalFormatting sqref="Q171:R178">
    <cfRule type="expression" dxfId="323" priority="218">
      <formula>Q171&lt;&gt;J171</formula>
    </cfRule>
  </conditionalFormatting>
  <conditionalFormatting sqref="Q180:R180">
    <cfRule type="expression" dxfId="322" priority="217">
      <formula>Q180&lt;&gt;J180</formula>
    </cfRule>
  </conditionalFormatting>
  <conditionalFormatting sqref="Q181:R184">
    <cfRule type="expression" dxfId="321" priority="216">
      <formula>Q181&lt;&gt;J181</formula>
    </cfRule>
  </conditionalFormatting>
  <conditionalFormatting sqref="Q187:R187">
    <cfRule type="expression" dxfId="320" priority="215">
      <formula>Q187&lt;&gt;J187</formula>
    </cfRule>
  </conditionalFormatting>
  <conditionalFormatting sqref="Q188:R204">
    <cfRule type="expression" dxfId="319" priority="214">
      <formula>Q188&lt;&gt;J188</formula>
    </cfRule>
  </conditionalFormatting>
  <conditionalFormatting sqref="O222:O229">
    <cfRule type="notContainsBlanks" dxfId="318" priority="203">
      <formula>LEN(TRIM(O222))&gt;0</formula>
    </cfRule>
  </conditionalFormatting>
  <conditionalFormatting sqref="N222:N229">
    <cfRule type="cellIs" dxfId="317" priority="202" operator="equal">
      <formula>45292</formula>
    </cfRule>
  </conditionalFormatting>
  <conditionalFormatting sqref="O232:O238">
    <cfRule type="notContainsBlanks" dxfId="316" priority="201">
      <formula>LEN(TRIM(O232))&gt;0</formula>
    </cfRule>
  </conditionalFormatting>
  <conditionalFormatting sqref="N232:N238">
    <cfRule type="cellIs" dxfId="315" priority="200" operator="equal">
      <formula>45292</formula>
    </cfRule>
  </conditionalFormatting>
  <conditionalFormatting sqref="O189:O204">
    <cfRule type="notContainsBlanks" dxfId="314" priority="199">
      <formula>LEN(TRIM(O189))&gt;0</formula>
    </cfRule>
  </conditionalFormatting>
  <conditionalFormatting sqref="N189:N204">
    <cfRule type="cellIs" dxfId="313" priority="198" operator="equal">
      <formula>45292</formula>
    </cfRule>
  </conditionalFormatting>
  <conditionalFormatting sqref="Q206:R206">
    <cfRule type="expression" dxfId="312" priority="197">
      <formula>Q206&lt;&gt;J206</formula>
    </cfRule>
  </conditionalFormatting>
  <conditionalFormatting sqref="J207:J219">
    <cfRule type="duplicateValues" dxfId="311" priority="416"/>
  </conditionalFormatting>
  <conditionalFormatting sqref="Q222:R229">
    <cfRule type="expression" dxfId="310" priority="195">
      <formula>Q222&lt;&gt;J222</formula>
    </cfRule>
  </conditionalFormatting>
  <conditionalFormatting sqref="Q221:R221">
    <cfRule type="expression" dxfId="309" priority="194">
      <formula>Q221&lt;&gt;J221</formula>
    </cfRule>
  </conditionalFormatting>
  <conditionalFormatting sqref="Q232:R238">
    <cfRule type="expression" dxfId="308" priority="193">
      <formula>Q232&lt;&gt;J232</formula>
    </cfRule>
  </conditionalFormatting>
  <conditionalFormatting sqref="Q231:R231">
    <cfRule type="expression" dxfId="307" priority="192">
      <formula>Q231&lt;&gt;J231</formula>
    </cfRule>
  </conditionalFormatting>
  <conditionalFormatting sqref="Q242:R259">
    <cfRule type="expression" dxfId="306" priority="191">
      <formula>Q242&lt;&gt;J242</formula>
    </cfRule>
  </conditionalFormatting>
  <conditionalFormatting sqref="Q241:R241">
    <cfRule type="expression" dxfId="305" priority="190">
      <formula>Q241&lt;&gt;J241</formula>
    </cfRule>
  </conditionalFormatting>
  <conditionalFormatting sqref="O242:O259">
    <cfRule type="notContainsBlanks" dxfId="304" priority="189">
      <formula>LEN(TRIM(O242))&gt;0</formula>
    </cfRule>
  </conditionalFormatting>
  <conditionalFormatting sqref="N242:N259">
    <cfRule type="cellIs" dxfId="303" priority="188" operator="equal">
      <formula>45292</formula>
    </cfRule>
  </conditionalFormatting>
  <conditionalFormatting sqref="O262:O276">
    <cfRule type="notContainsBlanks" dxfId="302" priority="187">
      <formula>LEN(TRIM(O262))&gt;0</formula>
    </cfRule>
  </conditionalFormatting>
  <conditionalFormatting sqref="N262:N276">
    <cfRule type="cellIs" dxfId="301" priority="186" operator="equal">
      <formula>45292</formula>
    </cfRule>
  </conditionalFormatting>
  <conditionalFormatting sqref="O279:O292">
    <cfRule type="notContainsBlanks" dxfId="300" priority="185">
      <formula>LEN(TRIM(O279))&gt;0</formula>
    </cfRule>
  </conditionalFormatting>
  <conditionalFormatting sqref="N279:N292">
    <cfRule type="cellIs" dxfId="299" priority="184" operator="equal">
      <formula>45292</formula>
    </cfRule>
  </conditionalFormatting>
  <conditionalFormatting sqref="J245">
    <cfRule type="duplicateValues" dxfId="298" priority="183"/>
  </conditionalFormatting>
  <conditionalFormatting sqref="J245">
    <cfRule type="duplicateValues" dxfId="297" priority="182"/>
  </conditionalFormatting>
  <conditionalFormatting sqref="J242:J259">
    <cfRule type="duplicateValues" dxfId="296" priority="181"/>
  </conditionalFormatting>
  <conditionalFormatting sqref="Q262:R276">
    <cfRule type="expression" dxfId="295" priority="180">
      <formula>Q262&lt;&gt;J262</formula>
    </cfRule>
  </conditionalFormatting>
  <conditionalFormatting sqref="Q261:R261">
    <cfRule type="expression" dxfId="294" priority="179">
      <formula>Q261&lt;&gt;J261</formula>
    </cfRule>
  </conditionalFormatting>
  <conditionalFormatting sqref="J264">
    <cfRule type="duplicateValues" dxfId="293" priority="178"/>
  </conditionalFormatting>
  <conditionalFormatting sqref="J264">
    <cfRule type="duplicateValues" dxfId="292" priority="177"/>
  </conditionalFormatting>
  <conditionalFormatting sqref="Q279:R292">
    <cfRule type="expression" dxfId="291" priority="176">
      <formula>Q279&lt;&gt;J279</formula>
    </cfRule>
  </conditionalFormatting>
  <conditionalFormatting sqref="Q278:R278">
    <cfRule type="expression" dxfId="290" priority="175">
      <formula>Q278&lt;&gt;J278</formula>
    </cfRule>
  </conditionalFormatting>
  <conditionalFormatting sqref="J280">
    <cfRule type="duplicateValues" dxfId="289" priority="174"/>
  </conditionalFormatting>
  <conditionalFormatting sqref="J280">
    <cfRule type="duplicateValues" dxfId="288" priority="173"/>
  </conditionalFormatting>
  <conditionalFormatting sqref="Q296:R322">
    <cfRule type="expression" dxfId="287" priority="172">
      <formula>Q296&lt;&gt;J296</formula>
    </cfRule>
  </conditionalFormatting>
  <conditionalFormatting sqref="Q295:R295">
    <cfRule type="expression" dxfId="286" priority="171">
      <formula>Q295&lt;&gt;J295</formula>
    </cfRule>
  </conditionalFormatting>
  <conditionalFormatting sqref="O296:O322">
    <cfRule type="notContainsBlanks" dxfId="285" priority="170">
      <formula>LEN(TRIM(O296))&gt;0</formula>
    </cfRule>
  </conditionalFormatting>
  <conditionalFormatting sqref="N296:N322">
    <cfRule type="cellIs" dxfId="284" priority="169" operator="equal">
      <formula>45292</formula>
    </cfRule>
  </conditionalFormatting>
  <conditionalFormatting sqref="O325:O338">
    <cfRule type="notContainsBlanks" dxfId="283" priority="168">
      <formula>LEN(TRIM(O325))&gt;0</formula>
    </cfRule>
  </conditionalFormatting>
  <conditionalFormatting sqref="N325:N338">
    <cfRule type="cellIs" dxfId="282" priority="167" operator="equal">
      <formula>45292</formula>
    </cfRule>
  </conditionalFormatting>
  <conditionalFormatting sqref="O341">
    <cfRule type="notContainsBlanks" dxfId="281" priority="166">
      <formula>LEN(TRIM(O341))&gt;0</formula>
    </cfRule>
  </conditionalFormatting>
  <conditionalFormatting sqref="N341">
    <cfRule type="cellIs" dxfId="280" priority="165" operator="equal">
      <formula>45292</formula>
    </cfRule>
  </conditionalFormatting>
  <conditionalFormatting sqref="O342:O354">
    <cfRule type="notContainsBlanks" dxfId="279" priority="164">
      <formula>LEN(TRIM(O342))&gt;0</formula>
    </cfRule>
  </conditionalFormatting>
  <conditionalFormatting sqref="N342:N354">
    <cfRule type="cellIs" dxfId="278" priority="163" operator="equal">
      <formula>45292</formula>
    </cfRule>
  </conditionalFormatting>
  <conditionalFormatting sqref="Q325:R338">
    <cfRule type="expression" dxfId="277" priority="162">
      <formula>Q325&lt;&gt;J325</formula>
    </cfRule>
  </conditionalFormatting>
  <conditionalFormatting sqref="Q324:R324">
    <cfRule type="expression" dxfId="276" priority="161">
      <formula>Q324&lt;&gt;J324</formula>
    </cfRule>
  </conditionalFormatting>
  <conditionalFormatting sqref="Q341:R354">
    <cfRule type="expression" dxfId="275" priority="160">
      <formula>Q341&lt;&gt;J341</formula>
    </cfRule>
  </conditionalFormatting>
  <conditionalFormatting sqref="Q340:R340">
    <cfRule type="expression" dxfId="274" priority="159">
      <formula>Q340&lt;&gt;J340</formula>
    </cfRule>
  </conditionalFormatting>
  <conditionalFormatting sqref="J327">
    <cfRule type="duplicateValues" dxfId="273" priority="158"/>
  </conditionalFormatting>
  <conditionalFormatting sqref="J358">
    <cfRule type="duplicateValues" dxfId="272" priority="155"/>
  </conditionalFormatting>
  <conditionalFormatting sqref="J358">
    <cfRule type="duplicateValues" dxfId="271" priority="156"/>
  </conditionalFormatting>
  <conditionalFormatting sqref="J358">
    <cfRule type="duplicateValues" dxfId="270" priority="154"/>
  </conditionalFormatting>
  <conditionalFormatting sqref="J359">
    <cfRule type="duplicateValues" dxfId="269" priority="153"/>
  </conditionalFormatting>
  <conditionalFormatting sqref="J359">
    <cfRule type="duplicateValues" dxfId="268" priority="152"/>
  </conditionalFormatting>
  <conditionalFormatting sqref="O358">
    <cfRule type="notContainsBlanks" dxfId="267" priority="151">
      <formula>LEN(TRIM(O358))&gt;0</formula>
    </cfRule>
  </conditionalFormatting>
  <conditionalFormatting sqref="N358">
    <cfRule type="cellIs" dxfId="266" priority="150" operator="equal">
      <formula>45292</formula>
    </cfRule>
  </conditionalFormatting>
  <conditionalFormatting sqref="O359:O361">
    <cfRule type="notContainsBlanks" dxfId="265" priority="149">
      <formula>LEN(TRIM(O359))&gt;0</formula>
    </cfRule>
  </conditionalFormatting>
  <conditionalFormatting sqref="N359:N361">
    <cfRule type="cellIs" dxfId="264" priority="148" operator="equal">
      <formula>45292</formula>
    </cfRule>
  </conditionalFormatting>
  <conditionalFormatting sqref="Q357:R357">
    <cfRule type="expression" dxfId="263" priority="146">
      <formula>Q357&lt;&gt;J357</formula>
    </cfRule>
  </conditionalFormatting>
  <conditionalFormatting sqref="J360:J361">
    <cfRule type="duplicateValues" dxfId="262" priority="432"/>
  </conditionalFormatting>
  <conditionalFormatting sqref="Q364:R374">
    <cfRule type="expression" dxfId="261" priority="144">
      <formula>Q364&lt;&gt;J364</formula>
    </cfRule>
  </conditionalFormatting>
  <conditionalFormatting sqref="J364">
    <cfRule type="duplicateValues" dxfId="260" priority="142"/>
  </conditionalFormatting>
  <conditionalFormatting sqref="J364">
    <cfRule type="duplicateValues" dxfId="259" priority="143"/>
  </conditionalFormatting>
  <conditionalFormatting sqref="J364">
    <cfRule type="duplicateValues" dxfId="258" priority="141"/>
  </conditionalFormatting>
  <conditionalFormatting sqref="J365">
    <cfRule type="duplicateValues" dxfId="257" priority="140"/>
  </conditionalFormatting>
  <conditionalFormatting sqref="J365">
    <cfRule type="duplicateValues" dxfId="256" priority="139"/>
  </conditionalFormatting>
  <conditionalFormatting sqref="Q363:R363">
    <cfRule type="expression" dxfId="255" priority="134">
      <formula>Q363&lt;&gt;J363</formula>
    </cfRule>
  </conditionalFormatting>
  <conditionalFormatting sqref="J366:J368">
    <cfRule type="duplicateValues" dxfId="254" priority="145"/>
  </conditionalFormatting>
  <conditionalFormatting sqref="O364:O368">
    <cfRule type="notContainsBlanks" dxfId="253" priority="133">
      <formula>LEN(TRIM(O364))&gt;0</formula>
    </cfRule>
  </conditionalFormatting>
  <conditionalFormatting sqref="N364:N368">
    <cfRule type="cellIs" dxfId="252" priority="132" operator="equal">
      <formula>45292</formula>
    </cfRule>
  </conditionalFormatting>
  <conditionalFormatting sqref="J369">
    <cfRule type="duplicateValues" dxfId="251" priority="129"/>
  </conditionalFormatting>
  <conditionalFormatting sqref="J369">
    <cfRule type="duplicateValues" dxfId="250" priority="130"/>
  </conditionalFormatting>
  <conditionalFormatting sqref="J369">
    <cfRule type="duplicateValues" dxfId="249" priority="128"/>
  </conditionalFormatting>
  <conditionalFormatting sqref="J370">
    <cfRule type="duplicateValues" dxfId="248" priority="127"/>
  </conditionalFormatting>
  <conditionalFormatting sqref="J370">
    <cfRule type="duplicateValues" dxfId="247" priority="126"/>
  </conditionalFormatting>
  <conditionalFormatting sqref="O369">
    <cfRule type="notContainsBlanks" dxfId="246" priority="125">
      <formula>LEN(TRIM(O369))&gt;0</formula>
    </cfRule>
  </conditionalFormatting>
  <conditionalFormatting sqref="N369">
    <cfRule type="cellIs" dxfId="245" priority="124" operator="equal">
      <formula>45292</formula>
    </cfRule>
  </conditionalFormatting>
  <conditionalFormatting sqref="O370:O371">
    <cfRule type="notContainsBlanks" dxfId="244" priority="123">
      <formula>LEN(TRIM(O370))&gt;0</formula>
    </cfRule>
  </conditionalFormatting>
  <conditionalFormatting sqref="N370:N371">
    <cfRule type="cellIs" dxfId="243" priority="122" operator="equal">
      <formula>45292</formula>
    </cfRule>
  </conditionalFormatting>
  <conditionalFormatting sqref="J371">
    <cfRule type="duplicateValues" dxfId="242" priority="131"/>
  </conditionalFormatting>
  <conditionalFormatting sqref="J372">
    <cfRule type="duplicateValues" dxfId="241" priority="119"/>
  </conditionalFormatting>
  <conditionalFormatting sqref="J372">
    <cfRule type="duplicateValues" dxfId="240" priority="120"/>
  </conditionalFormatting>
  <conditionalFormatting sqref="J372">
    <cfRule type="duplicateValues" dxfId="239" priority="118"/>
  </conditionalFormatting>
  <conditionalFormatting sqref="J373">
    <cfRule type="duplicateValues" dxfId="238" priority="117"/>
  </conditionalFormatting>
  <conditionalFormatting sqref="J373">
    <cfRule type="duplicateValues" dxfId="237" priority="116"/>
  </conditionalFormatting>
  <conditionalFormatting sqref="O372">
    <cfRule type="notContainsBlanks" dxfId="236" priority="115">
      <formula>LEN(TRIM(O372))&gt;0</formula>
    </cfRule>
  </conditionalFormatting>
  <conditionalFormatting sqref="N372">
    <cfRule type="cellIs" dxfId="235" priority="114" operator="equal">
      <formula>45292</formula>
    </cfRule>
  </conditionalFormatting>
  <conditionalFormatting sqref="O373:O374">
    <cfRule type="notContainsBlanks" dxfId="234" priority="113">
      <formula>LEN(TRIM(O373))&gt;0</formula>
    </cfRule>
  </conditionalFormatting>
  <conditionalFormatting sqref="N373:N374">
    <cfRule type="cellIs" dxfId="233" priority="112" operator="equal">
      <formula>45292</formula>
    </cfRule>
  </conditionalFormatting>
  <conditionalFormatting sqref="J374">
    <cfRule type="duplicateValues" dxfId="232" priority="121"/>
  </conditionalFormatting>
  <conditionalFormatting sqref="Q377:R380">
    <cfRule type="expression" dxfId="231" priority="90">
      <formula>Q377&lt;&gt;J377</formula>
    </cfRule>
  </conditionalFormatting>
  <conditionalFormatting sqref="J377">
    <cfRule type="duplicateValues" dxfId="230" priority="88"/>
  </conditionalFormatting>
  <conditionalFormatting sqref="J377">
    <cfRule type="duplicateValues" dxfId="229" priority="89"/>
  </conditionalFormatting>
  <conditionalFormatting sqref="J377">
    <cfRule type="duplicateValues" dxfId="228" priority="87"/>
  </conditionalFormatting>
  <conditionalFormatting sqref="J378">
    <cfRule type="duplicateValues" dxfId="227" priority="86"/>
  </conditionalFormatting>
  <conditionalFormatting sqref="J378">
    <cfRule type="duplicateValues" dxfId="226" priority="85"/>
  </conditionalFormatting>
  <conditionalFormatting sqref="O377">
    <cfRule type="notContainsBlanks" dxfId="225" priority="84">
      <formula>LEN(TRIM(O377))&gt;0</formula>
    </cfRule>
  </conditionalFormatting>
  <conditionalFormatting sqref="N377">
    <cfRule type="cellIs" dxfId="224" priority="83" operator="equal">
      <formula>45292</formula>
    </cfRule>
  </conditionalFormatting>
  <conditionalFormatting sqref="O378:O380">
    <cfRule type="notContainsBlanks" dxfId="223" priority="82">
      <formula>LEN(TRIM(O378))&gt;0</formula>
    </cfRule>
  </conditionalFormatting>
  <conditionalFormatting sqref="N378:N380">
    <cfRule type="cellIs" dxfId="222" priority="81" operator="equal">
      <formula>45292</formula>
    </cfRule>
  </conditionalFormatting>
  <conditionalFormatting sqref="Q376:R376">
    <cfRule type="expression" dxfId="221" priority="80">
      <formula>Q376&lt;&gt;J376</formula>
    </cfRule>
  </conditionalFormatting>
  <conditionalFormatting sqref="J379:J380">
    <cfRule type="duplicateValues" dxfId="220" priority="91"/>
  </conditionalFormatting>
  <conditionalFormatting sqref="J383">
    <cfRule type="duplicateValues" dxfId="219" priority="76"/>
  </conditionalFormatting>
  <conditionalFormatting sqref="J383">
    <cfRule type="duplicateValues" dxfId="218" priority="77"/>
  </conditionalFormatting>
  <conditionalFormatting sqref="J383">
    <cfRule type="duplicateValues" dxfId="217" priority="75"/>
  </conditionalFormatting>
  <conditionalFormatting sqref="J384">
    <cfRule type="duplicateValues" dxfId="216" priority="74"/>
  </conditionalFormatting>
  <conditionalFormatting sqref="J384">
    <cfRule type="duplicateValues" dxfId="215" priority="73"/>
  </conditionalFormatting>
  <conditionalFormatting sqref="Q382:R382">
    <cfRule type="expression" dxfId="214" priority="72">
      <formula>Q382&lt;&gt;J382</formula>
    </cfRule>
  </conditionalFormatting>
  <conditionalFormatting sqref="J385:J387">
    <cfRule type="duplicateValues" dxfId="213" priority="79"/>
  </conditionalFormatting>
  <conditionalFormatting sqref="O383:O387">
    <cfRule type="notContainsBlanks" dxfId="212" priority="71">
      <formula>LEN(TRIM(O383))&gt;0</formula>
    </cfRule>
  </conditionalFormatting>
  <conditionalFormatting sqref="N383:N387">
    <cfRule type="cellIs" dxfId="211" priority="70" operator="equal">
      <formula>45292</formula>
    </cfRule>
  </conditionalFormatting>
  <conditionalFormatting sqref="J388">
    <cfRule type="duplicateValues" dxfId="210" priority="67"/>
  </conditionalFormatting>
  <conditionalFormatting sqref="J388">
    <cfRule type="duplicateValues" dxfId="209" priority="68"/>
  </conditionalFormatting>
  <conditionalFormatting sqref="J388">
    <cfRule type="duplicateValues" dxfId="208" priority="66"/>
  </conditionalFormatting>
  <conditionalFormatting sqref="J389">
    <cfRule type="duplicateValues" dxfId="207" priority="65"/>
  </conditionalFormatting>
  <conditionalFormatting sqref="J389">
    <cfRule type="duplicateValues" dxfId="206" priority="64"/>
  </conditionalFormatting>
  <conditionalFormatting sqref="O388">
    <cfRule type="notContainsBlanks" dxfId="205" priority="63">
      <formula>LEN(TRIM(O388))&gt;0</formula>
    </cfRule>
  </conditionalFormatting>
  <conditionalFormatting sqref="N388">
    <cfRule type="cellIs" dxfId="204" priority="62" operator="equal">
      <formula>45292</formula>
    </cfRule>
  </conditionalFormatting>
  <conditionalFormatting sqref="O389">
    <cfRule type="notContainsBlanks" dxfId="203" priority="61">
      <formula>LEN(TRIM(O389))&gt;0</formula>
    </cfRule>
  </conditionalFormatting>
  <conditionalFormatting sqref="N389">
    <cfRule type="cellIs" dxfId="202" priority="60" operator="equal">
      <formula>45292</formula>
    </cfRule>
  </conditionalFormatting>
  <conditionalFormatting sqref="Q392:R405">
    <cfRule type="expression" dxfId="201" priority="49">
      <formula>Q392&lt;&gt;J392</formula>
    </cfRule>
  </conditionalFormatting>
  <conditionalFormatting sqref="J392">
    <cfRule type="duplicateValues" dxfId="200" priority="46"/>
  </conditionalFormatting>
  <conditionalFormatting sqref="J392">
    <cfRule type="duplicateValues" dxfId="199" priority="47"/>
  </conditionalFormatting>
  <conditionalFormatting sqref="J392">
    <cfRule type="duplicateValues" dxfId="198" priority="45"/>
  </conditionalFormatting>
  <conditionalFormatting sqref="J393">
    <cfRule type="duplicateValues" dxfId="197" priority="44"/>
  </conditionalFormatting>
  <conditionalFormatting sqref="J393">
    <cfRule type="duplicateValues" dxfId="196" priority="43"/>
  </conditionalFormatting>
  <conditionalFormatting sqref="Q391:R391">
    <cfRule type="expression" dxfId="195" priority="42">
      <formula>Q391&lt;&gt;J391</formula>
    </cfRule>
  </conditionalFormatting>
  <conditionalFormatting sqref="J394:J396">
    <cfRule type="duplicateValues" dxfId="194" priority="48"/>
  </conditionalFormatting>
  <conditionalFormatting sqref="O392:O396">
    <cfRule type="notContainsBlanks" dxfId="193" priority="41">
      <formula>LEN(TRIM(O392))&gt;0</formula>
    </cfRule>
  </conditionalFormatting>
  <conditionalFormatting sqref="N392:N396">
    <cfRule type="cellIs" dxfId="192" priority="40" operator="equal">
      <formula>45292</formula>
    </cfRule>
  </conditionalFormatting>
  <conditionalFormatting sqref="J397">
    <cfRule type="duplicateValues" dxfId="191" priority="38"/>
  </conditionalFormatting>
  <conditionalFormatting sqref="J397">
    <cfRule type="duplicateValues" dxfId="190" priority="39"/>
  </conditionalFormatting>
  <conditionalFormatting sqref="J397">
    <cfRule type="duplicateValues" dxfId="189" priority="37"/>
  </conditionalFormatting>
  <conditionalFormatting sqref="J398">
    <cfRule type="duplicateValues" dxfId="188" priority="36"/>
  </conditionalFormatting>
  <conditionalFormatting sqref="J398">
    <cfRule type="duplicateValues" dxfId="187" priority="35"/>
  </conditionalFormatting>
  <conditionalFormatting sqref="O397">
    <cfRule type="notContainsBlanks" dxfId="186" priority="34">
      <formula>LEN(TRIM(O397))&gt;0</formula>
    </cfRule>
  </conditionalFormatting>
  <conditionalFormatting sqref="N397">
    <cfRule type="cellIs" dxfId="185" priority="33" operator="equal">
      <formula>45292</formula>
    </cfRule>
  </conditionalFormatting>
  <conditionalFormatting sqref="O398">
    <cfRule type="notContainsBlanks" dxfId="184" priority="32">
      <formula>LEN(TRIM(O398))&gt;0</formula>
    </cfRule>
  </conditionalFormatting>
  <conditionalFormatting sqref="N398">
    <cfRule type="cellIs" dxfId="183" priority="31" operator="equal">
      <formula>45292</formula>
    </cfRule>
  </conditionalFormatting>
  <conditionalFormatting sqref="J408">
    <cfRule type="duplicateValues" dxfId="182" priority="27"/>
  </conditionalFormatting>
  <conditionalFormatting sqref="J408">
    <cfRule type="duplicateValues" dxfId="181" priority="28"/>
  </conditionalFormatting>
  <conditionalFormatting sqref="J408">
    <cfRule type="duplicateValues" dxfId="180" priority="26"/>
  </conditionalFormatting>
  <conditionalFormatting sqref="J409">
    <cfRule type="duplicateValues" dxfId="179" priority="25"/>
  </conditionalFormatting>
  <conditionalFormatting sqref="J409">
    <cfRule type="duplicateValues" dxfId="178" priority="24"/>
  </conditionalFormatting>
  <conditionalFormatting sqref="Q407:R407">
    <cfRule type="expression" dxfId="177" priority="23">
      <formula>Q407&lt;&gt;J407</formula>
    </cfRule>
  </conditionalFormatting>
  <conditionalFormatting sqref="J410:J412">
    <cfRule type="duplicateValues" dxfId="176" priority="30"/>
  </conditionalFormatting>
  <conditionalFormatting sqref="O408:O412">
    <cfRule type="notContainsBlanks" dxfId="175" priority="22">
      <formula>LEN(TRIM(O408))&gt;0</formula>
    </cfRule>
  </conditionalFormatting>
  <conditionalFormatting sqref="N408:N412">
    <cfRule type="cellIs" dxfId="174" priority="21" operator="equal">
      <formula>45292</formula>
    </cfRule>
  </conditionalFormatting>
  <conditionalFormatting sqref="J413">
    <cfRule type="duplicateValues" dxfId="173" priority="18"/>
  </conditionalFormatting>
  <conditionalFormatting sqref="J413">
    <cfRule type="duplicateValues" dxfId="172" priority="19"/>
  </conditionalFormatting>
  <conditionalFormatting sqref="J413">
    <cfRule type="duplicateValues" dxfId="171" priority="17"/>
  </conditionalFormatting>
  <conditionalFormatting sqref="J414">
    <cfRule type="duplicateValues" dxfId="170" priority="16"/>
  </conditionalFormatting>
  <conditionalFormatting sqref="J414">
    <cfRule type="duplicateValues" dxfId="169" priority="15"/>
  </conditionalFormatting>
  <conditionalFormatting sqref="O413">
    <cfRule type="notContainsBlanks" dxfId="168" priority="14">
      <formula>LEN(TRIM(O413))&gt;0</formula>
    </cfRule>
  </conditionalFormatting>
  <conditionalFormatting sqref="N413">
    <cfRule type="cellIs" dxfId="167" priority="13" operator="equal">
      <formula>45292</formula>
    </cfRule>
  </conditionalFormatting>
  <conditionalFormatting sqref="O414:O415">
    <cfRule type="notContainsBlanks" dxfId="166" priority="12">
      <formula>LEN(TRIM(O414))&gt;0</formula>
    </cfRule>
  </conditionalFormatting>
  <conditionalFormatting sqref="N414:N415">
    <cfRule type="cellIs" dxfId="165" priority="11" operator="equal">
      <formula>45292</formula>
    </cfRule>
  </conditionalFormatting>
  <conditionalFormatting sqref="J415">
    <cfRule type="duplicateValues" dxfId="164" priority="20"/>
  </conditionalFormatting>
  <conditionalFormatting sqref="J416">
    <cfRule type="duplicateValues" dxfId="163" priority="8"/>
  </conditionalFormatting>
  <conditionalFormatting sqref="J416">
    <cfRule type="duplicateValues" dxfId="162" priority="9"/>
  </conditionalFormatting>
  <conditionalFormatting sqref="J416">
    <cfRule type="duplicateValues" dxfId="161" priority="7"/>
  </conditionalFormatting>
  <conditionalFormatting sqref="O416">
    <cfRule type="notContainsBlanks" dxfId="160" priority="4">
      <formula>LEN(TRIM(O416))&gt;0</formula>
    </cfRule>
  </conditionalFormatting>
  <conditionalFormatting sqref="N416">
    <cfRule type="cellIs" dxfId="159" priority="3" operator="equal">
      <formula>45292</formula>
    </cfRule>
  </conditionalFormatting>
  <pageMargins left="0.7" right="0.7" top="0.75" bottom="0.75" header="0.3" footer="0.3"/>
  <pageSetup paperSize="9" orientation="portrait" r:id="rId1"/>
  <tableParts count="5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topLeftCell="A67" workbookViewId="0">
      <selection activeCell="D5" sqref="D5"/>
    </sheetView>
  </sheetViews>
  <sheetFormatPr defaultRowHeight="15.75" x14ac:dyDescent="0.25"/>
  <cols>
    <col min="1" max="1" width="39.625" bestFit="1" customWidth="1"/>
    <col min="2" max="5" width="7.375" bestFit="1" customWidth="1"/>
    <col min="6" max="6" width="16.125" bestFit="1" customWidth="1"/>
    <col min="7" max="7" width="10.375" bestFit="1" customWidth="1"/>
  </cols>
  <sheetData>
    <row r="1" spans="1:7" x14ac:dyDescent="0.25">
      <c r="A1" s="83" t="s">
        <v>643</v>
      </c>
      <c r="F1" s="191" t="s">
        <v>644</v>
      </c>
      <c r="G1" s="192">
        <v>45345</v>
      </c>
    </row>
    <row r="2" spans="1:7" ht="72" x14ac:dyDescent="0.25">
      <c r="A2" t="s">
        <v>645</v>
      </c>
      <c r="B2" s="316" t="s">
        <v>650</v>
      </c>
      <c r="C2" s="316" t="s">
        <v>651</v>
      </c>
      <c r="D2" s="316" t="s">
        <v>652</v>
      </c>
      <c r="E2" s="316" t="s">
        <v>653</v>
      </c>
    </row>
    <row r="3" spans="1:7" x14ac:dyDescent="0.25">
      <c r="A3" t="s">
        <v>51</v>
      </c>
      <c r="B3" s="1">
        <v>1</v>
      </c>
      <c r="C3" s="1"/>
      <c r="D3" s="1">
        <v>1</v>
      </c>
      <c r="E3" s="1"/>
    </row>
    <row r="4" spans="1:7" x14ac:dyDescent="0.25">
      <c r="A4" t="s">
        <v>161</v>
      </c>
      <c r="B4" s="1">
        <v>1</v>
      </c>
      <c r="C4" s="1">
        <v>1</v>
      </c>
      <c r="D4" s="1">
        <v>1</v>
      </c>
      <c r="E4" s="1">
        <v>1</v>
      </c>
    </row>
    <row r="5" spans="1:7" x14ac:dyDescent="0.25">
      <c r="A5" t="s">
        <v>139</v>
      </c>
      <c r="B5" s="1">
        <v>1</v>
      </c>
      <c r="C5" s="1">
        <v>1</v>
      </c>
      <c r="D5" s="1">
        <v>1</v>
      </c>
      <c r="E5" s="1">
        <v>1</v>
      </c>
    </row>
    <row r="6" spans="1:7" x14ac:dyDescent="0.25">
      <c r="A6" t="s">
        <v>77</v>
      </c>
      <c r="B6" s="1">
        <v>1</v>
      </c>
      <c r="C6" s="1"/>
      <c r="D6" s="1">
        <v>1</v>
      </c>
      <c r="E6" s="1"/>
    </row>
    <row r="7" spans="1:7" x14ac:dyDescent="0.25">
      <c r="A7" t="s">
        <v>174</v>
      </c>
      <c r="B7" s="1">
        <v>1</v>
      </c>
      <c r="C7" s="1"/>
      <c r="D7" s="1"/>
      <c r="E7" s="1"/>
    </row>
    <row r="8" spans="1:7" x14ac:dyDescent="0.25">
      <c r="A8" t="s">
        <v>180</v>
      </c>
      <c r="B8" s="1">
        <v>1</v>
      </c>
      <c r="C8" s="1"/>
      <c r="D8" s="1"/>
      <c r="E8" s="1"/>
    </row>
    <row r="9" spans="1:7" x14ac:dyDescent="0.25">
      <c r="A9" t="s">
        <v>186</v>
      </c>
      <c r="B9" s="1"/>
      <c r="C9" s="1"/>
      <c r="D9" s="1">
        <v>1</v>
      </c>
      <c r="E9" s="1"/>
    </row>
    <row r="10" spans="1:7" x14ac:dyDescent="0.25">
      <c r="A10" t="s">
        <v>190</v>
      </c>
      <c r="B10" s="1">
        <v>1</v>
      </c>
      <c r="C10" s="1"/>
      <c r="D10" s="1"/>
      <c r="E10" s="1"/>
    </row>
    <row r="11" spans="1:7" x14ac:dyDescent="0.25">
      <c r="A11" t="s">
        <v>191</v>
      </c>
      <c r="B11" s="1">
        <v>1</v>
      </c>
      <c r="C11" s="1"/>
      <c r="D11" s="1"/>
      <c r="E11" s="1"/>
    </row>
    <row r="12" spans="1:7" x14ac:dyDescent="0.25">
      <c r="A12" t="s">
        <v>194</v>
      </c>
      <c r="B12" s="1"/>
      <c r="C12" s="1"/>
      <c r="D12" s="1">
        <v>1</v>
      </c>
      <c r="E12" s="1"/>
    </row>
    <row r="13" spans="1:7" x14ac:dyDescent="0.25">
      <c r="A13" t="s">
        <v>196</v>
      </c>
      <c r="B13" s="1">
        <v>1</v>
      </c>
      <c r="C13" s="1"/>
      <c r="D13" s="1"/>
      <c r="E13" s="1"/>
    </row>
    <row r="14" spans="1:7" x14ac:dyDescent="0.25">
      <c r="A14" t="s">
        <v>141</v>
      </c>
      <c r="B14" s="1"/>
      <c r="C14" s="1"/>
      <c r="D14" s="1">
        <v>1</v>
      </c>
      <c r="E14" s="1"/>
    </row>
    <row r="15" spans="1:7" x14ac:dyDescent="0.25">
      <c r="A15" t="s">
        <v>234</v>
      </c>
      <c r="B15" s="1">
        <v>1</v>
      </c>
      <c r="C15" s="1">
        <v>1</v>
      </c>
      <c r="D15" s="1"/>
      <c r="E15" s="1"/>
    </row>
    <row r="16" spans="1:7" x14ac:dyDescent="0.25">
      <c r="A16" t="s">
        <v>236</v>
      </c>
      <c r="B16" s="1">
        <v>1</v>
      </c>
      <c r="C16" s="1">
        <v>1</v>
      </c>
      <c r="D16" s="1"/>
      <c r="E16" s="1"/>
    </row>
    <row r="17" spans="1:5" x14ac:dyDescent="0.25">
      <c r="A17" t="s">
        <v>237</v>
      </c>
      <c r="B17" s="1">
        <v>1</v>
      </c>
      <c r="C17" s="1">
        <v>1</v>
      </c>
      <c r="D17" s="1"/>
      <c r="E17" s="1"/>
    </row>
    <row r="18" spans="1:5" x14ac:dyDescent="0.25">
      <c r="A18" t="s">
        <v>238</v>
      </c>
      <c r="B18" s="1">
        <v>1</v>
      </c>
      <c r="C18" s="1">
        <v>1</v>
      </c>
      <c r="D18" s="1"/>
      <c r="E18" s="1"/>
    </row>
    <row r="19" spans="1:5" x14ac:dyDescent="0.25">
      <c r="A19" t="s">
        <v>226</v>
      </c>
      <c r="B19" s="1"/>
      <c r="C19" s="1"/>
      <c r="D19" s="1">
        <v>1</v>
      </c>
      <c r="E19" s="1">
        <v>1</v>
      </c>
    </row>
    <row r="20" spans="1:5" x14ac:dyDescent="0.25">
      <c r="A20" t="s">
        <v>231</v>
      </c>
      <c r="B20" s="1">
        <v>1</v>
      </c>
      <c r="C20" s="1">
        <v>1</v>
      </c>
      <c r="D20" s="1"/>
      <c r="E20" s="1"/>
    </row>
    <row r="21" spans="1:5" x14ac:dyDescent="0.25">
      <c r="A21" t="s">
        <v>230</v>
      </c>
      <c r="B21" s="1"/>
      <c r="C21" s="1"/>
      <c r="D21" s="1">
        <v>1</v>
      </c>
      <c r="E21" s="1">
        <v>1</v>
      </c>
    </row>
    <row r="22" spans="1:5" x14ac:dyDescent="0.25">
      <c r="A22" t="s">
        <v>232</v>
      </c>
      <c r="B22" s="1"/>
      <c r="C22" s="1"/>
      <c r="D22" s="1">
        <v>1</v>
      </c>
      <c r="E22" s="1">
        <v>1</v>
      </c>
    </row>
    <row r="23" spans="1:5" x14ac:dyDescent="0.25">
      <c r="A23" t="s">
        <v>246</v>
      </c>
      <c r="B23" s="1">
        <v>1</v>
      </c>
      <c r="C23" s="1">
        <v>1</v>
      </c>
      <c r="D23" s="1"/>
      <c r="E23" s="1"/>
    </row>
    <row r="24" spans="1:5" x14ac:dyDescent="0.25">
      <c r="A24" t="s">
        <v>272</v>
      </c>
      <c r="B24" s="1"/>
      <c r="C24" s="1"/>
      <c r="D24" s="1">
        <v>1</v>
      </c>
      <c r="E24" s="1">
        <v>1</v>
      </c>
    </row>
    <row r="25" spans="1:5" x14ac:dyDescent="0.25">
      <c r="A25" t="s">
        <v>228</v>
      </c>
      <c r="B25" s="1">
        <v>1</v>
      </c>
      <c r="C25" s="1">
        <v>1</v>
      </c>
      <c r="D25" s="1"/>
      <c r="E25" s="1"/>
    </row>
    <row r="26" spans="1:5" x14ac:dyDescent="0.25">
      <c r="A26" t="s">
        <v>229</v>
      </c>
      <c r="B26" s="1"/>
      <c r="C26" s="1"/>
      <c r="D26" s="1">
        <v>1</v>
      </c>
      <c r="E26" s="1">
        <v>1</v>
      </c>
    </row>
    <row r="27" spans="1:5" x14ac:dyDescent="0.25">
      <c r="A27" t="s">
        <v>165</v>
      </c>
      <c r="B27" s="1">
        <v>1</v>
      </c>
      <c r="C27" s="1">
        <v>1</v>
      </c>
      <c r="D27" s="1">
        <v>1</v>
      </c>
      <c r="E27" s="1">
        <v>1</v>
      </c>
    </row>
    <row r="28" spans="1:5" x14ac:dyDescent="0.25">
      <c r="A28" t="s">
        <v>144</v>
      </c>
      <c r="B28" s="1">
        <v>1</v>
      </c>
      <c r="C28" s="1">
        <v>1</v>
      </c>
      <c r="D28" s="1">
        <v>1</v>
      </c>
      <c r="E28" s="1">
        <v>1</v>
      </c>
    </row>
    <row r="29" spans="1:5" x14ac:dyDescent="0.25">
      <c r="A29" t="s">
        <v>182</v>
      </c>
      <c r="B29" s="1"/>
      <c r="C29" s="1"/>
      <c r="D29" s="1">
        <v>1</v>
      </c>
      <c r="E29" s="1">
        <v>1</v>
      </c>
    </row>
    <row r="30" spans="1:5" x14ac:dyDescent="0.25">
      <c r="A30" t="s">
        <v>162</v>
      </c>
      <c r="B30" s="1">
        <v>1</v>
      </c>
      <c r="C30" s="1">
        <v>1</v>
      </c>
      <c r="D30" s="1"/>
      <c r="E30" s="1"/>
    </row>
    <row r="31" spans="1:5" x14ac:dyDescent="0.25">
      <c r="A31" t="s">
        <v>273</v>
      </c>
      <c r="B31" s="1"/>
      <c r="C31" s="1"/>
      <c r="D31" s="1"/>
      <c r="E31" s="1">
        <v>1</v>
      </c>
    </row>
    <row r="32" spans="1:5" x14ac:dyDescent="0.25">
      <c r="A32" t="s">
        <v>313</v>
      </c>
      <c r="B32" s="1"/>
      <c r="C32" s="1"/>
      <c r="D32" s="1">
        <v>1</v>
      </c>
      <c r="E32" s="1">
        <v>1</v>
      </c>
    </row>
    <row r="33" spans="1:5" x14ac:dyDescent="0.25">
      <c r="A33" t="s">
        <v>314</v>
      </c>
      <c r="B33" s="1">
        <v>1</v>
      </c>
      <c r="C33" s="1">
        <v>1</v>
      </c>
      <c r="D33" s="1"/>
      <c r="E33" s="1"/>
    </row>
    <row r="34" spans="1:5" x14ac:dyDescent="0.25">
      <c r="A34" t="s">
        <v>315</v>
      </c>
      <c r="B34" s="1">
        <v>1</v>
      </c>
      <c r="C34" s="1">
        <v>1</v>
      </c>
      <c r="D34" s="1"/>
      <c r="E34" s="1"/>
    </row>
    <row r="35" spans="1:5" x14ac:dyDescent="0.25">
      <c r="A35" t="s">
        <v>275</v>
      </c>
      <c r="B35" s="1"/>
      <c r="C35" s="1"/>
      <c r="D35" s="1">
        <v>1</v>
      </c>
      <c r="E35" s="1">
        <v>1</v>
      </c>
    </row>
    <row r="36" spans="1:5" x14ac:dyDescent="0.25">
      <c r="A36" t="s">
        <v>317</v>
      </c>
      <c r="B36" s="1">
        <v>1</v>
      </c>
      <c r="C36" s="1">
        <v>1</v>
      </c>
      <c r="D36" s="1"/>
      <c r="E36" s="1"/>
    </row>
    <row r="37" spans="1:5" x14ac:dyDescent="0.25">
      <c r="A37" t="s">
        <v>318</v>
      </c>
      <c r="B37" s="1">
        <v>1</v>
      </c>
      <c r="C37" s="1">
        <v>1</v>
      </c>
      <c r="D37" s="1"/>
      <c r="E37" s="1"/>
    </row>
    <row r="38" spans="1:5" x14ac:dyDescent="0.25">
      <c r="A38" t="s">
        <v>189</v>
      </c>
      <c r="B38" s="1">
        <v>1</v>
      </c>
      <c r="C38" s="1">
        <v>1</v>
      </c>
      <c r="D38" s="1">
        <v>1</v>
      </c>
      <c r="E38" s="1">
        <v>1</v>
      </c>
    </row>
    <row r="39" spans="1:5" x14ac:dyDescent="0.25">
      <c r="A39" t="s">
        <v>259</v>
      </c>
      <c r="B39" s="1"/>
      <c r="C39" s="1"/>
      <c r="D39" s="1">
        <v>1</v>
      </c>
      <c r="E39" s="1"/>
    </row>
    <row r="40" spans="1:5" x14ac:dyDescent="0.25">
      <c r="A40" t="s">
        <v>258</v>
      </c>
      <c r="B40" s="1">
        <v>1</v>
      </c>
      <c r="C40" s="1"/>
      <c r="D40" s="1"/>
      <c r="E40" s="1"/>
    </row>
    <row r="41" spans="1:5" x14ac:dyDescent="0.25">
      <c r="A41" t="s">
        <v>257</v>
      </c>
      <c r="B41" s="1">
        <v>1</v>
      </c>
      <c r="C41" s="1"/>
      <c r="D41" s="1"/>
      <c r="E41" s="1"/>
    </row>
    <row r="42" spans="1:5" x14ac:dyDescent="0.25">
      <c r="A42" t="s">
        <v>260</v>
      </c>
      <c r="B42" s="1"/>
      <c r="C42" s="1"/>
      <c r="D42" s="1">
        <v>1</v>
      </c>
      <c r="E42" s="1"/>
    </row>
    <row r="43" spans="1:5" x14ac:dyDescent="0.25">
      <c r="A43" t="s">
        <v>262</v>
      </c>
      <c r="B43" s="1">
        <v>1</v>
      </c>
      <c r="C43" s="1"/>
      <c r="D43" s="1"/>
      <c r="E43" s="1"/>
    </row>
    <row r="44" spans="1:5" x14ac:dyDescent="0.25">
      <c r="A44" t="s">
        <v>271</v>
      </c>
      <c r="B44" s="1">
        <v>1</v>
      </c>
      <c r="C44" s="1"/>
      <c r="D44" s="1"/>
      <c r="E44" s="1"/>
    </row>
    <row r="45" spans="1:5" x14ac:dyDescent="0.25">
      <c r="A45" t="s">
        <v>263</v>
      </c>
      <c r="B45" s="1"/>
      <c r="C45" s="1"/>
      <c r="D45" s="1">
        <v>1</v>
      </c>
      <c r="E45" s="1"/>
    </row>
    <row r="46" spans="1:5" x14ac:dyDescent="0.25">
      <c r="A46" t="s">
        <v>261</v>
      </c>
      <c r="B46" s="1">
        <v>1</v>
      </c>
      <c r="C46" s="1"/>
      <c r="D46" s="1"/>
      <c r="E46" s="1"/>
    </row>
    <row r="47" spans="1:5" x14ac:dyDescent="0.25">
      <c r="A47" t="s">
        <v>264</v>
      </c>
      <c r="B47" s="1"/>
      <c r="C47" s="1"/>
      <c r="D47" s="1">
        <v>1</v>
      </c>
      <c r="E47" s="1"/>
    </row>
    <row r="48" spans="1:5" x14ac:dyDescent="0.25">
      <c r="A48" t="s">
        <v>266</v>
      </c>
      <c r="B48" s="1">
        <v>1</v>
      </c>
      <c r="C48" s="1"/>
      <c r="D48" s="1">
        <v>1</v>
      </c>
      <c r="E48" s="1"/>
    </row>
    <row r="49" spans="1:5" x14ac:dyDescent="0.25">
      <c r="A49" t="s">
        <v>167</v>
      </c>
      <c r="B49" s="1">
        <v>1</v>
      </c>
      <c r="C49" s="1">
        <v>1</v>
      </c>
      <c r="D49" s="1">
        <v>1</v>
      </c>
      <c r="E49" s="1">
        <v>1</v>
      </c>
    </row>
    <row r="50" spans="1:5" x14ac:dyDescent="0.25">
      <c r="A50" t="s">
        <v>290</v>
      </c>
      <c r="B50" s="1"/>
      <c r="C50" s="1"/>
      <c r="D50" s="1">
        <v>1</v>
      </c>
      <c r="E50" s="1">
        <v>1</v>
      </c>
    </row>
    <row r="51" spans="1:5" x14ac:dyDescent="0.25">
      <c r="A51" t="s">
        <v>291</v>
      </c>
      <c r="B51" s="1"/>
      <c r="C51" s="1"/>
      <c r="D51" s="1"/>
      <c r="E51" s="1">
        <v>1</v>
      </c>
    </row>
    <row r="52" spans="1:5" x14ac:dyDescent="0.25">
      <c r="A52" t="s">
        <v>202</v>
      </c>
      <c r="B52" s="1">
        <v>1</v>
      </c>
      <c r="C52" s="1">
        <v>1</v>
      </c>
      <c r="D52" s="1"/>
      <c r="E52" s="1"/>
    </row>
    <row r="53" spans="1:5" x14ac:dyDescent="0.25">
      <c r="A53" t="s">
        <v>292</v>
      </c>
      <c r="B53" s="1"/>
      <c r="C53" s="1"/>
      <c r="D53" s="1">
        <v>1</v>
      </c>
      <c r="E53" s="1">
        <v>1</v>
      </c>
    </row>
    <row r="54" spans="1:5" x14ac:dyDescent="0.25">
      <c r="A54" t="s">
        <v>293</v>
      </c>
      <c r="B54" s="1"/>
      <c r="C54" s="1"/>
      <c r="D54" s="1">
        <v>1</v>
      </c>
      <c r="E54" s="1">
        <v>1</v>
      </c>
    </row>
    <row r="55" spans="1:5" x14ac:dyDescent="0.25">
      <c r="A55" t="s">
        <v>294</v>
      </c>
      <c r="B55" s="1"/>
      <c r="C55" s="1">
        <v>1</v>
      </c>
      <c r="D55" s="1"/>
      <c r="E55" s="1"/>
    </row>
    <row r="56" spans="1:5" x14ac:dyDescent="0.25">
      <c r="A56" t="s">
        <v>295</v>
      </c>
      <c r="B56" s="1"/>
      <c r="C56" s="1"/>
      <c r="D56" s="1"/>
      <c r="E56" s="1">
        <v>1</v>
      </c>
    </row>
    <row r="57" spans="1:5" x14ac:dyDescent="0.25">
      <c r="A57" t="s">
        <v>146</v>
      </c>
      <c r="B57" s="1">
        <v>1</v>
      </c>
      <c r="C57" s="1">
        <v>1</v>
      </c>
      <c r="D57" s="1"/>
      <c r="E57" s="1"/>
    </row>
    <row r="58" spans="1:5" x14ac:dyDescent="0.25">
      <c r="A58" t="s">
        <v>296</v>
      </c>
      <c r="B58" s="1">
        <v>1</v>
      </c>
      <c r="C58" s="1">
        <v>1</v>
      </c>
      <c r="D58" s="1"/>
      <c r="E58" s="1"/>
    </row>
    <row r="59" spans="1:5" x14ac:dyDescent="0.25">
      <c r="A59" t="s">
        <v>277</v>
      </c>
      <c r="B59" s="1"/>
      <c r="C59" s="1"/>
      <c r="D59" s="1">
        <v>1</v>
      </c>
      <c r="E59" s="1">
        <v>1</v>
      </c>
    </row>
    <row r="60" spans="1:5" x14ac:dyDescent="0.25">
      <c r="A60" t="s">
        <v>319</v>
      </c>
      <c r="B60" s="1">
        <v>1</v>
      </c>
      <c r="C60" s="1">
        <v>1</v>
      </c>
      <c r="D60" s="1"/>
      <c r="E60" s="1"/>
    </row>
    <row r="61" spans="1:5" x14ac:dyDescent="0.25">
      <c r="A61" t="s">
        <v>304</v>
      </c>
      <c r="B61" s="1">
        <v>1</v>
      </c>
      <c r="C61" s="1">
        <v>1</v>
      </c>
      <c r="D61" s="1"/>
      <c r="E61" s="1"/>
    </row>
    <row r="62" spans="1:5" x14ac:dyDescent="0.25">
      <c r="A62" t="s">
        <v>278</v>
      </c>
      <c r="B62" s="1"/>
      <c r="C62" s="1"/>
      <c r="D62" s="1">
        <v>1</v>
      </c>
      <c r="E62" s="1">
        <v>1</v>
      </c>
    </row>
    <row r="63" spans="1:5" x14ac:dyDescent="0.25">
      <c r="A63" t="s">
        <v>203</v>
      </c>
      <c r="B63" s="1">
        <v>1</v>
      </c>
      <c r="C63" s="1"/>
      <c r="D63" s="1"/>
      <c r="E63" s="1"/>
    </row>
    <row r="64" spans="1:5" x14ac:dyDescent="0.25">
      <c r="A64" t="s">
        <v>169</v>
      </c>
      <c r="B64" s="1">
        <v>1</v>
      </c>
      <c r="C64" s="1"/>
      <c r="D64" s="1"/>
      <c r="E64" s="1"/>
    </row>
    <row r="65" spans="1:5" x14ac:dyDescent="0.25">
      <c r="A65" t="s">
        <v>204</v>
      </c>
      <c r="B65" s="1"/>
      <c r="C65" s="1"/>
      <c r="D65" s="1">
        <v>1</v>
      </c>
      <c r="E65" s="1"/>
    </row>
    <row r="66" spans="1:5" x14ac:dyDescent="0.25">
      <c r="A66" t="s">
        <v>197</v>
      </c>
      <c r="B66" s="1"/>
      <c r="C66" s="1"/>
      <c r="D66" s="1">
        <v>1</v>
      </c>
      <c r="E66" s="1"/>
    </row>
    <row r="67" spans="1:5" x14ac:dyDescent="0.25">
      <c r="A67" t="s">
        <v>172</v>
      </c>
      <c r="B67" s="1">
        <v>1</v>
      </c>
      <c r="C67" s="1"/>
      <c r="D67" s="1"/>
      <c r="E67" s="1"/>
    </row>
    <row r="68" spans="1:5" x14ac:dyDescent="0.25">
      <c r="A68" t="s">
        <v>176</v>
      </c>
      <c r="B68" s="1">
        <v>1</v>
      </c>
      <c r="C68" s="1"/>
      <c r="D68" s="1"/>
      <c r="E68" s="1"/>
    </row>
    <row r="69" spans="1:5" x14ac:dyDescent="0.25">
      <c r="A69" t="s">
        <v>181</v>
      </c>
      <c r="B69" s="1"/>
      <c r="C69" s="1"/>
      <c r="D69" s="1">
        <v>1</v>
      </c>
      <c r="E69" s="1"/>
    </row>
    <row r="70" spans="1:5" x14ac:dyDescent="0.25">
      <c r="A70" t="s">
        <v>188</v>
      </c>
      <c r="B70" s="1"/>
      <c r="C70" s="1"/>
      <c r="D70" s="1">
        <v>1</v>
      </c>
      <c r="E70" s="1"/>
    </row>
    <row r="71" spans="1:5" x14ac:dyDescent="0.25">
      <c r="A71" t="s">
        <v>205</v>
      </c>
      <c r="B71" s="1">
        <v>1</v>
      </c>
      <c r="C71" s="1"/>
      <c r="D71" s="1"/>
      <c r="E71" s="1"/>
    </row>
    <row r="72" spans="1:5" x14ac:dyDescent="0.25">
      <c r="A72" t="s">
        <v>73</v>
      </c>
      <c r="B72" s="1">
        <v>1</v>
      </c>
      <c r="C72" s="1"/>
      <c r="D72" s="1">
        <v>1</v>
      </c>
      <c r="E72" s="1"/>
    </row>
    <row r="73" spans="1:5" x14ac:dyDescent="0.25">
      <c r="A73" t="s">
        <v>53</v>
      </c>
      <c r="B73" s="1">
        <v>1</v>
      </c>
      <c r="C73" s="1"/>
      <c r="D73" s="1"/>
      <c r="E73" s="1"/>
    </row>
    <row r="74" spans="1:5" x14ac:dyDescent="0.25">
      <c r="A74" t="s">
        <v>54</v>
      </c>
      <c r="B74" s="1"/>
      <c r="C74" s="1"/>
      <c r="D74" s="1">
        <v>1</v>
      </c>
      <c r="E74" s="1"/>
    </row>
    <row r="75" spans="1:5" x14ac:dyDescent="0.25">
      <c r="A75" t="s">
        <v>193</v>
      </c>
      <c r="B75" s="1">
        <v>1</v>
      </c>
      <c r="C75" s="1"/>
      <c r="D75" s="1"/>
      <c r="E75" s="1"/>
    </row>
    <row r="76" spans="1:5" x14ac:dyDescent="0.25">
      <c r="A76" t="s">
        <v>195</v>
      </c>
      <c r="B76" s="1">
        <v>1</v>
      </c>
      <c r="C76" s="1"/>
      <c r="D76" s="1"/>
      <c r="E76" s="1"/>
    </row>
    <row r="77" spans="1:5" x14ac:dyDescent="0.25">
      <c r="A77" t="s">
        <v>68</v>
      </c>
      <c r="B77" s="1">
        <v>1</v>
      </c>
      <c r="C77" s="1"/>
      <c r="D77" s="1">
        <v>1</v>
      </c>
      <c r="E77" s="1"/>
    </row>
    <row r="78" spans="1:5" x14ac:dyDescent="0.25">
      <c r="A78" t="s">
        <v>83</v>
      </c>
      <c r="B78" s="1">
        <v>1</v>
      </c>
      <c r="C78" s="1"/>
      <c r="D78" s="1">
        <v>1</v>
      </c>
      <c r="E78" s="1"/>
    </row>
    <row r="79" spans="1:5" x14ac:dyDescent="0.25">
      <c r="A79" t="s">
        <v>96</v>
      </c>
      <c r="B79" s="1">
        <v>1</v>
      </c>
      <c r="C79" s="1"/>
      <c r="D79" s="1"/>
      <c r="E79" s="1"/>
    </row>
    <row r="80" spans="1:5" x14ac:dyDescent="0.25">
      <c r="A80" t="s">
        <v>140</v>
      </c>
      <c r="B80" s="1">
        <v>1</v>
      </c>
      <c r="C80" s="1"/>
      <c r="D80" s="1"/>
      <c r="E80" s="1"/>
    </row>
    <row r="81" spans="1:5" x14ac:dyDescent="0.25">
      <c r="A81" t="s">
        <v>166</v>
      </c>
      <c r="B81" s="1">
        <v>1</v>
      </c>
      <c r="C81" s="1"/>
      <c r="D81" s="1">
        <v>1</v>
      </c>
      <c r="E81" s="1"/>
    </row>
    <row r="82" spans="1:5" x14ac:dyDescent="0.25">
      <c r="A82" t="s">
        <v>145</v>
      </c>
      <c r="B82" s="1"/>
      <c r="C82" s="1"/>
      <c r="D82" s="1">
        <v>1</v>
      </c>
      <c r="E82" s="1"/>
    </row>
    <row r="83" spans="1:5" x14ac:dyDescent="0.25">
      <c r="A83" t="s">
        <v>168</v>
      </c>
      <c r="B83" s="1"/>
      <c r="C83" s="1"/>
      <c r="D83" s="1">
        <v>1</v>
      </c>
      <c r="E83" s="1"/>
    </row>
    <row r="84" spans="1:5" x14ac:dyDescent="0.25">
      <c r="A84" t="s">
        <v>171</v>
      </c>
      <c r="B84" s="1"/>
      <c r="C84" s="1"/>
      <c r="D84" s="1">
        <v>1</v>
      </c>
      <c r="E84" s="1"/>
    </row>
    <row r="85" spans="1:5" x14ac:dyDescent="0.25">
      <c r="A85" t="s">
        <v>175</v>
      </c>
      <c r="B85" s="1">
        <v>1</v>
      </c>
      <c r="C85" s="1"/>
      <c r="D85" s="1"/>
      <c r="E85" s="1"/>
    </row>
    <row r="86" spans="1:5" x14ac:dyDescent="0.25">
      <c r="A86" t="s">
        <v>198</v>
      </c>
      <c r="B86" s="1">
        <v>1</v>
      </c>
      <c r="C86" s="1"/>
      <c r="D86" s="1"/>
      <c r="E86" s="1"/>
    </row>
    <row r="87" spans="1:5" x14ac:dyDescent="0.25">
      <c r="A87" t="s">
        <v>199</v>
      </c>
      <c r="B87" s="1">
        <v>1</v>
      </c>
      <c r="C87" s="1"/>
      <c r="D87" s="1"/>
      <c r="E87" s="1"/>
    </row>
    <row r="88" spans="1:5" x14ac:dyDescent="0.25">
      <c r="A88" t="s">
        <v>200</v>
      </c>
      <c r="B88" s="1">
        <v>1</v>
      </c>
      <c r="C88" s="1"/>
      <c r="D88" s="1"/>
      <c r="E88" s="1"/>
    </row>
    <row r="89" spans="1:5" x14ac:dyDescent="0.25">
      <c r="A89" t="s">
        <v>334</v>
      </c>
      <c r="B89" s="1">
        <v>1</v>
      </c>
      <c r="C89" s="1">
        <v>1</v>
      </c>
      <c r="D89" s="1">
        <v>1</v>
      </c>
      <c r="E89" s="1">
        <v>1</v>
      </c>
    </row>
    <row r="90" spans="1:5" x14ac:dyDescent="0.25">
      <c r="A90" t="s">
        <v>337</v>
      </c>
      <c r="B90" s="1">
        <v>1</v>
      </c>
      <c r="C90" s="1">
        <v>1</v>
      </c>
      <c r="D90" s="1">
        <v>1</v>
      </c>
      <c r="E90" s="1">
        <v>1</v>
      </c>
    </row>
    <row r="91" spans="1:5" x14ac:dyDescent="0.25">
      <c r="A91" t="s">
        <v>240</v>
      </c>
      <c r="B91" s="1">
        <v>1</v>
      </c>
      <c r="C91" s="1">
        <v>1</v>
      </c>
      <c r="D91" s="1">
        <v>1</v>
      </c>
      <c r="E91" s="1">
        <v>1</v>
      </c>
    </row>
    <row r="92" spans="1:5" x14ac:dyDescent="0.25">
      <c r="A92" t="s">
        <v>241</v>
      </c>
      <c r="B92" s="1">
        <v>1</v>
      </c>
      <c r="C92" s="1">
        <v>1</v>
      </c>
      <c r="D92" s="1">
        <v>1</v>
      </c>
      <c r="E92" s="1">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G62"/>
  <sheetViews>
    <sheetView topLeftCell="A14" zoomScale="85" zoomScaleNormal="85" workbookViewId="0">
      <selection activeCell="D5" sqref="D5"/>
    </sheetView>
  </sheetViews>
  <sheetFormatPr defaultRowHeight="15.75" x14ac:dyDescent="0.25"/>
  <cols>
    <col min="1" max="1" width="57.625" style="84" bestFit="1" customWidth="1"/>
    <col min="2" max="2" width="13" style="81" bestFit="1" customWidth="1"/>
    <col min="3" max="3" width="8.875" style="81" bestFit="1" customWidth="1"/>
    <col min="4" max="4" width="19.375" style="81" bestFit="1" customWidth="1"/>
    <col min="5" max="6" width="12.625" style="81" customWidth="1"/>
    <col min="7" max="7" width="32.625" style="81" bestFit="1" customWidth="1"/>
    <col min="8" max="8" width="13.125" style="81" customWidth="1"/>
    <col min="9" max="9" width="19.75" style="81" bestFit="1" customWidth="1"/>
    <col min="10" max="10" width="3.625" style="82" customWidth="1"/>
    <col min="11" max="11" width="7.625" style="82" bestFit="1" customWidth="1"/>
    <col min="12" max="12" width="15.75" style="82" bestFit="1" customWidth="1"/>
    <col min="13" max="13" width="9.875" style="82" bestFit="1" customWidth="1"/>
    <col min="14" max="14" width="16" style="82" bestFit="1" customWidth="1"/>
    <col min="15" max="15" width="10.625" style="82" bestFit="1" customWidth="1"/>
    <col min="16" max="16" width="15.625" style="82" bestFit="1" customWidth="1"/>
    <col min="17" max="17" width="6.125" style="82" bestFit="1" customWidth="1"/>
    <col min="18" max="18" width="15.875" style="82" bestFit="1" customWidth="1"/>
    <col min="19" max="19" width="6.125" style="82" bestFit="1" customWidth="1"/>
    <col min="20" max="20" width="15.75" style="82" bestFit="1" customWidth="1"/>
    <col min="21" max="21" width="6.125" style="82" bestFit="1" customWidth="1"/>
    <col min="22" max="22" width="16" style="82" bestFit="1" customWidth="1"/>
    <col min="23" max="23" width="6.125" style="82" bestFit="1" customWidth="1"/>
    <col min="24" max="24" width="16.25" style="82" bestFit="1" customWidth="1"/>
    <col min="25" max="25" width="6.125" style="82" bestFit="1" customWidth="1"/>
    <col min="26" max="26" width="16.625" style="82" bestFit="1" customWidth="1"/>
    <col min="27" max="27" width="6.625" style="82" customWidth="1"/>
    <col min="28" max="28" width="7.625" style="82" customWidth="1"/>
    <col min="29" max="29" width="9.25" style="82" bestFit="1" customWidth="1"/>
    <col min="30" max="33" width="5.625" style="82" customWidth="1"/>
    <col min="34" max="34" width="9" style="82"/>
    <col min="35" max="35" width="4.375" style="82" customWidth="1"/>
    <col min="36" max="36" width="34.5" style="82" bestFit="1" customWidth="1"/>
    <col min="37" max="37" width="9" style="82"/>
    <col min="38" max="38" width="20.875" style="82" bestFit="1" customWidth="1"/>
    <col min="39" max="16384" width="9" style="82"/>
  </cols>
  <sheetData>
    <row r="1" spans="1:33" x14ac:dyDescent="0.25">
      <c r="A1" s="79" t="s">
        <v>34</v>
      </c>
      <c r="B1" s="80"/>
      <c r="C1" s="80"/>
      <c r="D1" s="80"/>
      <c r="K1" s="83"/>
    </row>
    <row r="2" spans="1:33" x14ac:dyDescent="0.25">
      <c r="K2" s="85"/>
      <c r="L2" s="86"/>
      <c r="M2" s="87"/>
      <c r="N2" s="86"/>
      <c r="O2" s="88"/>
      <c r="P2" s="86"/>
      <c r="Q2" s="87"/>
      <c r="R2" s="86"/>
      <c r="S2" s="89"/>
      <c r="T2" s="86"/>
      <c r="W2" s="88"/>
      <c r="X2" s="86"/>
      <c r="Y2" s="87"/>
      <c r="Z2" s="87"/>
      <c r="AA2" s="87"/>
      <c r="AB2" s="90"/>
      <c r="AC2" s="90"/>
      <c r="AD2" s="90"/>
      <c r="AE2" s="90"/>
      <c r="AF2" s="90"/>
      <c r="AG2" s="90"/>
    </row>
    <row r="3" spans="1:33" x14ac:dyDescent="0.25">
      <c r="A3" s="179" t="s">
        <v>35</v>
      </c>
      <c r="I3" s="126" t="s">
        <v>36</v>
      </c>
      <c r="J3" s="91">
        <v>1</v>
      </c>
      <c r="K3" s="93"/>
      <c r="L3" s="92" t="s">
        <v>37</v>
      </c>
      <c r="M3" s="93"/>
      <c r="N3" s="92" t="s">
        <v>38</v>
      </c>
      <c r="O3" s="93"/>
      <c r="P3" s="92" t="s">
        <v>39</v>
      </c>
      <c r="Q3" s="93"/>
      <c r="R3" s="92" t="s">
        <v>40</v>
      </c>
      <c r="S3" s="93"/>
      <c r="T3" s="92" t="s">
        <v>41</v>
      </c>
      <c r="U3" s="93"/>
      <c r="V3" s="92" t="s">
        <v>42</v>
      </c>
      <c r="W3" s="93"/>
      <c r="X3" s="92" t="s">
        <v>43</v>
      </c>
      <c r="Y3" s="93"/>
      <c r="Z3" s="92" t="s">
        <v>44</v>
      </c>
      <c r="AA3" s="94"/>
      <c r="AB3" s="90"/>
      <c r="AC3" s="90"/>
      <c r="AD3" s="90"/>
      <c r="AE3" s="90"/>
      <c r="AF3" s="90"/>
      <c r="AG3" s="90"/>
    </row>
    <row r="4" spans="1:33" x14ac:dyDescent="0.25">
      <c r="A4" s="81" t="s">
        <v>45</v>
      </c>
      <c r="B4" s="84" t="s">
        <v>0</v>
      </c>
      <c r="C4" s="81" t="s">
        <v>46</v>
      </c>
      <c r="D4" s="81" t="s">
        <v>47</v>
      </c>
      <c r="E4" s="81" t="s">
        <v>48</v>
      </c>
      <c r="F4" s="81" t="s">
        <v>49</v>
      </c>
      <c r="G4" s="81" t="s">
        <v>6</v>
      </c>
      <c r="J4" s="95">
        <v>2</v>
      </c>
      <c r="K4" s="119" t="s">
        <v>50</v>
      </c>
      <c r="L4" s="96" t="s">
        <v>51</v>
      </c>
      <c r="M4" s="119" t="s">
        <v>52</v>
      </c>
      <c r="N4" s="96" t="s">
        <v>51</v>
      </c>
      <c r="O4" s="119" t="s">
        <v>50</v>
      </c>
      <c r="P4" s="96" t="s">
        <v>51</v>
      </c>
      <c r="Q4" s="119" t="s">
        <v>52</v>
      </c>
      <c r="R4" s="96" t="s">
        <v>51</v>
      </c>
      <c r="S4" s="119" t="s">
        <v>50</v>
      </c>
      <c r="T4" s="96" t="s">
        <v>51</v>
      </c>
      <c r="U4" s="119" t="s">
        <v>52</v>
      </c>
      <c r="V4" s="96" t="s">
        <v>51</v>
      </c>
      <c r="W4" s="119" t="s">
        <v>50</v>
      </c>
      <c r="X4" s="96" t="s">
        <v>53</v>
      </c>
      <c r="Y4" s="119" t="s">
        <v>52</v>
      </c>
      <c r="Z4" s="96" t="s">
        <v>54</v>
      </c>
      <c r="AA4" s="91"/>
      <c r="AB4" s="90"/>
      <c r="AC4" s="90"/>
      <c r="AD4" s="90"/>
      <c r="AE4" s="90"/>
      <c r="AF4" s="90"/>
      <c r="AG4" s="90"/>
    </row>
    <row r="5" spans="1:33" x14ac:dyDescent="0.25">
      <c r="A5" s="81" t="s">
        <v>11</v>
      </c>
      <c r="B5" s="243" t="s">
        <v>55</v>
      </c>
      <c r="C5" s="243" t="s">
        <v>56</v>
      </c>
      <c r="D5" s="176" t="s">
        <v>57</v>
      </c>
      <c r="E5" s="244">
        <v>44562</v>
      </c>
      <c r="F5" s="244">
        <v>44562</v>
      </c>
      <c r="G5" s="243" t="s">
        <v>58</v>
      </c>
      <c r="J5" s="95">
        <v>3</v>
      </c>
      <c r="K5" s="120" t="s">
        <v>50</v>
      </c>
      <c r="L5" s="97" t="s">
        <v>59</v>
      </c>
      <c r="M5" s="120" t="s">
        <v>52</v>
      </c>
      <c r="N5" s="97" t="s">
        <v>59</v>
      </c>
      <c r="O5" s="120" t="s">
        <v>50</v>
      </c>
      <c r="P5" s="127" t="s">
        <v>60</v>
      </c>
      <c r="Q5" s="120" t="s">
        <v>52</v>
      </c>
      <c r="R5" s="127" t="s">
        <v>60</v>
      </c>
      <c r="S5" s="120" t="s">
        <v>50</v>
      </c>
      <c r="T5" s="97" t="s">
        <v>61</v>
      </c>
      <c r="U5" s="120" t="s">
        <v>52</v>
      </c>
      <c r="V5" s="97" t="s">
        <v>61</v>
      </c>
      <c r="W5" s="120" t="s">
        <v>50</v>
      </c>
      <c r="X5" s="97" t="s">
        <v>51</v>
      </c>
      <c r="Y5" s="120" t="s">
        <v>52</v>
      </c>
      <c r="Z5" s="97" t="s">
        <v>51</v>
      </c>
      <c r="AA5" s="91"/>
      <c r="AB5" s="90"/>
      <c r="AC5" s="90"/>
      <c r="AD5" s="90"/>
      <c r="AE5" s="90"/>
      <c r="AF5" s="90"/>
      <c r="AG5" s="90"/>
    </row>
    <row r="6" spans="1:33" x14ac:dyDescent="0.25">
      <c r="A6" s="84" t="s">
        <v>62</v>
      </c>
      <c r="B6" s="243" t="s">
        <v>63</v>
      </c>
      <c r="C6" s="262" t="s">
        <v>64</v>
      </c>
      <c r="D6" s="176" t="s">
        <v>65</v>
      </c>
      <c r="E6" s="263">
        <v>45292</v>
      </c>
      <c r="F6" s="263">
        <v>45292</v>
      </c>
      <c r="G6" s="243" t="s">
        <v>66</v>
      </c>
      <c r="J6" s="95">
        <v>4</v>
      </c>
      <c r="K6" s="120" t="s">
        <v>50</v>
      </c>
      <c r="L6" s="97" t="s">
        <v>59</v>
      </c>
      <c r="M6" s="120" t="s">
        <v>52</v>
      </c>
      <c r="N6" s="97" t="s">
        <v>59</v>
      </c>
      <c r="O6" s="120" t="s">
        <v>50</v>
      </c>
      <c r="P6" s="97" t="s">
        <v>67</v>
      </c>
      <c r="Q6" s="120" t="s">
        <v>52</v>
      </c>
      <c r="R6" s="97" t="s">
        <v>67</v>
      </c>
      <c r="S6" s="120" t="s">
        <v>50</v>
      </c>
      <c r="T6" s="97" t="s">
        <v>61</v>
      </c>
      <c r="U6" s="120" t="s">
        <v>52</v>
      </c>
      <c r="V6" s="97" t="s">
        <v>61</v>
      </c>
      <c r="W6" s="120" t="s">
        <v>50</v>
      </c>
      <c r="X6" s="97" t="s">
        <v>68</v>
      </c>
      <c r="Y6" s="120" t="s">
        <v>52</v>
      </c>
      <c r="Z6" s="97" t="s">
        <v>68</v>
      </c>
      <c r="AA6" s="91"/>
      <c r="AB6" s="90"/>
      <c r="AC6" s="90"/>
      <c r="AD6" s="90"/>
      <c r="AE6" s="90"/>
      <c r="AF6" s="90"/>
      <c r="AG6" s="90"/>
    </row>
    <row r="7" spans="1:33" x14ac:dyDescent="0.25">
      <c r="A7" s="84" t="s">
        <v>69</v>
      </c>
      <c r="B7" s="243" t="s">
        <v>70</v>
      </c>
      <c r="C7" s="262" t="s">
        <v>64</v>
      </c>
      <c r="D7" s="176" t="s">
        <v>71</v>
      </c>
      <c r="E7" s="263">
        <v>45292</v>
      </c>
      <c r="F7" s="263">
        <v>45292</v>
      </c>
      <c r="G7" s="100" t="s">
        <v>72</v>
      </c>
      <c r="J7" s="95">
        <v>5</v>
      </c>
      <c r="K7" s="120" t="s">
        <v>50</v>
      </c>
      <c r="L7" s="97" t="s">
        <v>59</v>
      </c>
      <c r="M7" s="120" t="s">
        <v>52</v>
      </c>
      <c r="N7" s="97" t="s">
        <v>59</v>
      </c>
      <c r="O7" s="120" t="s">
        <v>50</v>
      </c>
      <c r="P7" s="97" t="s">
        <v>67</v>
      </c>
      <c r="Q7" s="120" t="s">
        <v>52</v>
      </c>
      <c r="R7" s="97" t="s">
        <v>67</v>
      </c>
      <c r="S7" s="120" t="s">
        <v>50</v>
      </c>
      <c r="T7" s="97" t="s">
        <v>61</v>
      </c>
      <c r="U7" s="120" t="s">
        <v>52</v>
      </c>
      <c r="V7" s="97" t="s">
        <v>61</v>
      </c>
      <c r="W7" s="120" t="s">
        <v>50</v>
      </c>
      <c r="X7" s="97" t="s">
        <v>73</v>
      </c>
      <c r="Y7" s="120" t="s">
        <v>52</v>
      </c>
      <c r="Z7" s="97" t="s">
        <v>73</v>
      </c>
      <c r="AA7" s="91"/>
      <c r="AB7" s="99"/>
      <c r="AC7" s="98"/>
      <c r="AD7" s="99"/>
      <c r="AE7" s="98"/>
      <c r="AF7" s="98"/>
    </row>
    <row r="8" spans="1:33" x14ac:dyDescent="0.25">
      <c r="A8" s="84" t="s">
        <v>74</v>
      </c>
      <c r="B8" s="243" t="s">
        <v>75</v>
      </c>
      <c r="C8" s="262" t="s">
        <v>64</v>
      </c>
      <c r="D8" s="176" t="s">
        <v>76</v>
      </c>
      <c r="E8" s="263">
        <v>45292</v>
      </c>
      <c r="F8" s="263">
        <v>45292</v>
      </c>
      <c r="G8" s="243" t="s">
        <v>66</v>
      </c>
      <c r="J8" s="95">
        <v>6</v>
      </c>
      <c r="K8" s="120" t="s">
        <v>52</v>
      </c>
      <c r="L8" s="97" t="s">
        <v>77</v>
      </c>
      <c r="M8" s="120" t="s">
        <v>50</v>
      </c>
      <c r="N8" s="97" t="s">
        <v>77</v>
      </c>
      <c r="O8" s="120" t="s">
        <v>52</v>
      </c>
      <c r="P8" s="97" t="s">
        <v>77</v>
      </c>
      <c r="Q8" s="120" t="s">
        <v>50</v>
      </c>
      <c r="R8" s="97" t="s">
        <v>77</v>
      </c>
      <c r="S8" s="120" t="s">
        <v>52</v>
      </c>
      <c r="T8" s="97" t="s">
        <v>77</v>
      </c>
      <c r="U8" s="120" t="s">
        <v>50</v>
      </c>
      <c r="V8" s="97" t="s">
        <v>77</v>
      </c>
      <c r="W8" s="120" t="s">
        <v>52</v>
      </c>
      <c r="X8" s="97" t="s">
        <v>54</v>
      </c>
      <c r="Y8" s="120" t="s">
        <v>50</v>
      </c>
      <c r="Z8" s="97" t="s">
        <v>53</v>
      </c>
      <c r="AA8" s="91"/>
      <c r="AB8" s="99"/>
      <c r="AC8" s="98"/>
      <c r="AD8" s="99"/>
      <c r="AE8" s="100"/>
      <c r="AF8" s="98"/>
    </row>
    <row r="9" spans="1:33" x14ac:dyDescent="0.25">
      <c r="A9" s="84" t="s">
        <v>78</v>
      </c>
      <c r="B9" s="243" t="s">
        <v>79</v>
      </c>
      <c r="C9" s="176" t="s">
        <v>80</v>
      </c>
      <c r="D9" s="176" t="s">
        <v>57</v>
      </c>
      <c r="E9" s="239">
        <v>44562</v>
      </c>
      <c r="F9" s="239" t="s">
        <v>81</v>
      </c>
      <c r="G9" s="176" t="s">
        <v>82</v>
      </c>
      <c r="J9" s="95">
        <v>7</v>
      </c>
      <c r="K9" s="120" t="s">
        <v>52</v>
      </c>
      <c r="L9" s="97" t="s">
        <v>59</v>
      </c>
      <c r="M9" s="120" t="s">
        <v>50</v>
      </c>
      <c r="N9" s="97" t="s">
        <v>59</v>
      </c>
      <c r="O9" s="120" t="s">
        <v>52</v>
      </c>
      <c r="P9" s="97" t="s">
        <v>67</v>
      </c>
      <c r="Q9" s="120" t="s">
        <v>50</v>
      </c>
      <c r="R9" s="97" t="s">
        <v>67</v>
      </c>
      <c r="S9" s="120" t="s">
        <v>52</v>
      </c>
      <c r="T9" s="97" t="s">
        <v>61</v>
      </c>
      <c r="U9" s="120" t="s">
        <v>50</v>
      </c>
      <c r="V9" s="97" t="s">
        <v>61</v>
      </c>
      <c r="W9" s="120" t="s">
        <v>52</v>
      </c>
      <c r="X9" s="97" t="s">
        <v>83</v>
      </c>
      <c r="Y9" s="120" t="s">
        <v>50</v>
      </c>
      <c r="Z9" s="97" t="s">
        <v>83</v>
      </c>
      <c r="AA9" s="91"/>
      <c r="AE9" s="98"/>
      <c r="AF9" s="98"/>
    </row>
    <row r="10" spans="1:33" x14ac:dyDescent="0.25">
      <c r="A10" s="264" t="s">
        <v>84</v>
      </c>
      <c r="B10" s="268" t="s">
        <v>85</v>
      </c>
      <c r="C10" s="262" t="s">
        <v>80</v>
      </c>
      <c r="D10" s="262" t="s">
        <v>57</v>
      </c>
      <c r="E10" s="263">
        <v>45292</v>
      </c>
      <c r="F10" s="263">
        <v>45292</v>
      </c>
      <c r="G10" s="262" t="s">
        <v>58</v>
      </c>
      <c r="J10" s="95">
        <v>8</v>
      </c>
      <c r="K10" s="120" t="s">
        <v>52</v>
      </c>
      <c r="L10" s="97" t="s">
        <v>59</v>
      </c>
      <c r="M10" s="120" t="s">
        <v>50</v>
      </c>
      <c r="N10" s="97" t="s">
        <v>59</v>
      </c>
      <c r="O10" s="120" t="s">
        <v>52</v>
      </c>
      <c r="P10" s="97" t="s">
        <v>67</v>
      </c>
      <c r="Q10" s="120" t="s">
        <v>50</v>
      </c>
      <c r="R10" s="97" t="s">
        <v>67</v>
      </c>
      <c r="S10" s="120" t="s">
        <v>52</v>
      </c>
      <c r="T10" s="97" t="s">
        <v>61</v>
      </c>
      <c r="U10" s="120" t="s">
        <v>50</v>
      </c>
      <c r="V10" s="97" t="s">
        <v>61</v>
      </c>
      <c r="W10" s="120" t="s">
        <v>52</v>
      </c>
      <c r="X10" s="97" t="s">
        <v>77</v>
      </c>
      <c r="Y10" s="120" t="s">
        <v>50</v>
      </c>
      <c r="Z10" s="97" t="s">
        <v>77</v>
      </c>
      <c r="AA10" s="91"/>
      <c r="AE10" s="98"/>
      <c r="AF10" s="98"/>
    </row>
    <row r="11" spans="1:33" x14ac:dyDescent="0.25">
      <c r="A11" s="84" t="s">
        <v>86</v>
      </c>
      <c r="B11" s="243" t="s">
        <v>87</v>
      </c>
      <c r="C11" s="243" t="s">
        <v>80</v>
      </c>
      <c r="D11" s="176" t="s">
        <v>65</v>
      </c>
      <c r="E11" s="244">
        <v>42005</v>
      </c>
      <c r="F11" s="244">
        <v>44197</v>
      </c>
      <c r="G11" s="243" t="s">
        <v>88</v>
      </c>
      <c r="J11" s="95">
        <v>9</v>
      </c>
      <c r="K11" s="120" t="s">
        <v>52</v>
      </c>
      <c r="L11" s="97" t="s">
        <v>59</v>
      </c>
      <c r="M11" s="121" t="s">
        <v>50</v>
      </c>
      <c r="N11" s="97" t="s">
        <v>59</v>
      </c>
      <c r="O11" s="120" t="s">
        <v>52</v>
      </c>
      <c r="P11" s="97" t="s">
        <v>67</v>
      </c>
      <c r="Q11" s="121" t="s">
        <v>50</v>
      </c>
      <c r="R11" s="97" t="s">
        <v>67</v>
      </c>
      <c r="S11" s="120" t="s">
        <v>52</v>
      </c>
      <c r="T11" s="97" t="s">
        <v>61</v>
      </c>
      <c r="U11" s="121" t="s">
        <v>50</v>
      </c>
      <c r="V11" s="97" t="s">
        <v>61</v>
      </c>
      <c r="W11" s="120" t="s">
        <v>52</v>
      </c>
      <c r="X11" s="97" t="s">
        <v>89</v>
      </c>
      <c r="Y11" s="121" t="s">
        <v>50</v>
      </c>
      <c r="Z11" s="97" t="s">
        <v>89</v>
      </c>
      <c r="AA11" s="91"/>
      <c r="AE11" s="98"/>
      <c r="AF11" s="98"/>
    </row>
    <row r="12" spans="1:33" x14ac:dyDescent="0.25">
      <c r="A12" s="84" t="s">
        <v>90</v>
      </c>
      <c r="B12" s="243" t="s">
        <v>91</v>
      </c>
      <c r="C12" s="243" t="s">
        <v>80</v>
      </c>
      <c r="D12" s="176" t="s">
        <v>71</v>
      </c>
      <c r="E12" s="244">
        <v>42005</v>
      </c>
      <c r="F12" s="244">
        <v>42005</v>
      </c>
      <c r="G12" s="100" t="s">
        <v>72</v>
      </c>
      <c r="J12" s="95">
        <v>10</v>
      </c>
      <c r="K12" s="119" t="s">
        <v>92</v>
      </c>
      <c r="L12" s="96" t="s">
        <v>59</v>
      </c>
      <c r="M12" s="120" t="s">
        <v>93</v>
      </c>
      <c r="N12" s="96" t="s">
        <v>59</v>
      </c>
      <c r="O12" s="119" t="s">
        <v>92</v>
      </c>
      <c r="P12" s="96" t="s">
        <v>94</v>
      </c>
      <c r="Q12" s="120" t="s">
        <v>93</v>
      </c>
      <c r="R12" s="96" t="s">
        <v>94</v>
      </c>
      <c r="S12" s="119" t="s">
        <v>92</v>
      </c>
      <c r="T12" s="96" t="s">
        <v>95</v>
      </c>
      <c r="U12" s="120" t="s">
        <v>93</v>
      </c>
      <c r="V12" s="96" t="s">
        <v>95</v>
      </c>
      <c r="W12" s="119" t="s">
        <v>92</v>
      </c>
      <c r="X12" s="96" t="s">
        <v>96</v>
      </c>
      <c r="Y12" s="120" t="s">
        <v>93</v>
      </c>
      <c r="Z12" s="96" t="s">
        <v>97</v>
      </c>
      <c r="AA12" s="101"/>
      <c r="AE12" s="98"/>
      <c r="AF12" s="98"/>
    </row>
    <row r="13" spans="1:33" x14ac:dyDescent="0.25">
      <c r="A13" s="246" t="s">
        <v>98</v>
      </c>
      <c r="B13" s="243" t="s">
        <v>99</v>
      </c>
      <c r="C13" s="245" t="s">
        <v>64</v>
      </c>
      <c r="D13" s="269" t="s">
        <v>76</v>
      </c>
      <c r="E13" s="247">
        <v>45292</v>
      </c>
      <c r="F13" s="247">
        <v>45292</v>
      </c>
      <c r="G13" s="243" t="s">
        <v>88</v>
      </c>
      <c r="J13" s="95">
        <v>11</v>
      </c>
      <c r="K13" s="120" t="s">
        <v>92</v>
      </c>
      <c r="L13" s="97" t="s">
        <v>59</v>
      </c>
      <c r="M13" s="120" t="s">
        <v>93</v>
      </c>
      <c r="N13" s="97" t="s">
        <v>59</v>
      </c>
      <c r="O13" s="120" t="s">
        <v>92</v>
      </c>
      <c r="P13" s="97" t="s">
        <v>94</v>
      </c>
      <c r="Q13" s="120" t="s">
        <v>93</v>
      </c>
      <c r="R13" s="97" t="s">
        <v>94</v>
      </c>
      <c r="S13" s="120" t="s">
        <v>92</v>
      </c>
      <c r="T13" s="97" t="s">
        <v>95</v>
      </c>
      <c r="U13" s="120" t="s">
        <v>93</v>
      </c>
      <c r="V13" s="97" t="s">
        <v>95</v>
      </c>
      <c r="W13" s="120" t="s">
        <v>92</v>
      </c>
      <c r="X13" s="97" t="s">
        <v>97</v>
      </c>
      <c r="Y13" s="120" t="s">
        <v>93</v>
      </c>
      <c r="Z13" s="97" t="s">
        <v>97</v>
      </c>
      <c r="AA13" s="101"/>
      <c r="AE13" s="98"/>
      <c r="AF13" s="98"/>
    </row>
    <row r="14" spans="1:33" x14ac:dyDescent="0.25">
      <c r="A14" s="270" t="s">
        <v>100</v>
      </c>
      <c r="B14" s="262" t="s">
        <v>101</v>
      </c>
      <c r="C14" s="262" t="s">
        <v>80</v>
      </c>
      <c r="D14" s="245" t="s">
        <v>57</v>
      </c>
      <c r="E14" s="247">
        <v>45292</v>
      </c>
      <c r="F14" s="247">
        <v>45292</v>
      </c>
      <c r="G14" s="262" t="s">
        <v>88</v>
      </c>
      <c r="J14" s="95">
        <v>12</v>
      </c>
      <c r="K14" s="120" t="s">
        <v>92</v>
      </c>
      <c r="L14" s="97" t="s">
        <v>59</v>
      </c>
      <c r="M14" s="120" t="s">
        <v>93</v>
      </c>
      <c r="N14" s="97" t="s">
        <v>59</v>
      </c>
      <c r="O14" s="120" t="s">
        <v>92</v>
      </c>
      <c r="P14" s="97" t="s">
        <v>94</v>
      </c>
      <c r="Q14" s="120" t="s">
        <v>93</v>
      </c>
      <c r="R14" s="97" t="s">
        <v>94</v>
      </c>
      <c r="S14" s="120" t="s">
        <v>92</v>
      </c>
      <c r="T14" s="97" t="s">
        <v>95</v>
      </c>
      <c r="U14" s="120" t="s">
        <v>93</v>
      </c>
      <c r="V14" s="97" t="s">
        <v>95</v>
      </c>
      <c r="W14" s="120" t="s">
        <v>92</v>
      </c>
      <c r="X14" s="97" t="s">
        <v>97</v>
      </c>
      <c r="Y14" s="120" t="s">
        <v>93</v>
      </c>
      <c r="Z14" s="97" t="s">
        <v>97</v>
      </c>
      <c r="AA14" s="101"/>
      <c r="AE14" s="98"/>
      <c r="AF14" s="98"/>
    </row>
    <row r="15" spans="1:33" x14ac:dyDescent="0.25">
      <c r="A15" s="84" t="s">
        <v>102</v>
      </c>
      <c r="B15" s="243" t="s">
        <v>103</v>
      </c>
      <c r="C15" s="243" t="s">
        <v>64</v>
      </c>
      <c r="D15" s="176" t="s">
        <v>65</v>
      </c>
      <c r="E15" s="244">
        <v>43831</v>
      </c>
      <c r="F15" s="244">
        <v>44197</v>
      </c>
      <c r="G15" s="243" t="s">
        <v>88</v>
      </c>
      <c r="J15" s="95">
        <v>13</v>
      </c>
      <c r="K15" s="120" t="s">
        <v>92</v>
      </c>
      <c r="L15" s="97" t="s">
        <v>59</v>
      </c>
      <c r="M15" s="120" t="s">
        <v>93</v>
      </c>
      <c r="N15" s="97" t="s">
        <v>59</v>
      </c>
      <c r="O15" s="120" t="s">
        <v>92</v>
      </c>
      <c r="P15" s="97" t="s">
        <v>94</v>
      </c>
      <c r="Q15" s="120" t="s">
        <v>93</v>
      </c>
      <c r="R15" s="97" t="s">
        <v>94</v>
      </c>
      <c r="S15" s="120" t="s">
        <v>92</v>
      </c>
      <c r="T15" s="97" t="s">
        <v>95</v>
      </c>
      <c r="U15" s="120" t="s">
        <v>93</v>
      </c>
      <c r="V15" s="97" t="s">
        <v>95</v>
      </c>
      <c r="W15" s="120" t="s">
        <v>92</v>
      </c>
      <c r="X15" s="97" t="s">
        <v>97</v>
      </c>
      <c r="Y15" s="120" t="s">
        <v>93</v>
      </c>
      <c r="Z15" s="97" t="s">
        <v>97</v>
      </c>
      <c r="AA15" s="101"/>
      <c r="AE15" s="98"/>
      <c r="AF15" s="98"/>
    </row>
    <row r="16" spans="1:33" x14ac:dyDescent="0.25">
      <c r="A16" s="84" t="s">
        <v>104</v>
      </c>
      <c r="B16" s="243" t="s">
        <v>105</v>
      </c>
      <c r="C16" s="243" t="s">
        <v>64</v>
      </c>
      <c r="D16" s="176" t="s">
        <v>71</v>
      </c>
      <c r="E16" s="244">
        <v>43831</v>
      </c>
      <c r="F16" s="244">
        <v>44197</v>
      </c>
      <c r="G16" s="243" t="s">
        <v>88</v>
      </c>
      <c r="J16" s="95">
        <v>14</v>
      </c>
      <c r="K16" s="120" t="s">
        <v>93</v>
      </c>
      <c r="L16" s="123" t="s">
        <v>106</v>
      </c>
      <c r="M16" s="120" t="s">
        <v>92</v>
      </c>
      <c r="N16" s="123" t="s">
        <v>106</v>
      </c>
      <c r="O16" s="120" t="s">
        <v>93</v>
      </c>
      <c r="P16" s="123" t="s">
        <v>107</v>
      </c>
      <c r="Q16" s="120" t="s">
        <v>92</v>
      </c>
      <c r="R16" s="123" t="s">
        <v>107</v>
      </c>
      <c r="S16" s="120" t="s">
        <v>93</v>
      </c>
      <c r="T16" s="123" t="s">
        <v>108</v>
      </c>
      <c r="U16" s="120" t="s">
        <v>92</v>
      </c>
      <c r="V16" s="123" t="s">
        <v>108</v>
      </c>
      <c r="W16" s="120" t="s">
        <v>93</v>
      </c>
      <c r="X16" s="123" t="s">
        <v>109</v>
      </c>
      <c r="Y16" s="120" t="s">
        <v>92</v>
      </c>
      <c r="Z16" s="97" t="s">
        <v>96</v>
      </c>
      <c r="AA16" s="101"/>
      <c r="AB16" s="99"/>
      <c r="AC16" s="98"/>
      <c r="AD16" s="106"/>
      <c r="AE16" s="98"/>
      <c r="AF16" s="98"/>
    </row>
    <row r="17" spans="1:33" x14ac:dyDescent="0.25">
      <c r="A17" s="246" t="s">
        <v>110</v>
      </c>
      <c r="B17" s="243" t="s">
        <v>111</v>
      </c>
      <c r="C17" s="262" t="s">
        <v>56</v>
      </c>
      <c r="D17" s="176" t="s">
        <v>76</v>
      </c>
      <c r="E17" s="247">
        <v>45292</v>
      </c>
      <c r="F17" s="247">
        <v>45292</v>
      </c>
      <c r="G17" s="243" t="s">
        <v>88</v>
      </c>
      <c r="J17" s="95">
        <v>15</v>
      </c>
      <c r="K17" s="120" t="s">
        <v>93</v>
      </c>
      <c r="L17" s="124" t="s">
        <v>112</v>
      </c>
      <c r="M17" s="120" t="s">
        <v>92</v>
      </c>
      <c r="N17" s="124" t="s">
        <v>112</v>
      </c>
      <c r="O17" s="120" t="s">
        <v>93</v>
      </c>
      <c r="P17" s="124" t="s">
        <v>112</v>
      </c>
      <c r="Q17" s="120" t="s">
        <v>92</v>
      </c>
      <c r="R17" s="124" t="s">
        <v>112</v>
      </c>
      <c r="S17" s="120" t="s">
        <v>93</v>
      </c>
      <c r="T17" s="124" t="s">
        <v>112</v>
      </c>
      <c r="U17" s="120" t="s">
        <v>92</v>
      </c>
      <c r="V17" s="124" t="s">
        <v>112</v>
      </c>
      <c r="W17" s="120" t="s">
        <v>93</v>
      </c>
      <c r="X17" s="124" t="s">
        <v>112</v>
      </c>
      <c r="Y17" s="120" t="s">
        <v>92</v>
      </c>
      <c r="Z17" s="123" t="s">
        <v>109</v>
      </c>
      <c r="AA17" s="101"/>
      <c r="AB17" s="99"/>
      <c r="AC17" s="98"/>
      <c r="AD17" s="106"/>
      <c r="AE17" s="98"/>
      <c r="AF17" s="98"/>
    </row>
    <row r="18" spans="1:33" x14ac:dyDescent="0.25">
      <c r="A18" s="84" t="s">
        <v>113</v>
      </c>
      <c r="B18" s="243" t="s">
        <v>114</v>
      </c>
      <c r="C18" s="243" t="s">
        <v>80</v>
      </c>
      <c r="D18" s="176" t="s">
        <v>65</v>
      </c>
      <c r="E18" s="244">
        <v>42005</v>
      </c>
      <c r="F18" s="244">
        <v>44197</v>
      </c>
      <c r="G18" s="243" t="s">
        <v>88</v>
      </c>
      <c r="J18" s="95">
        <v>16</v>
      </c>
      <c r="K18" s="120" t="s">
        <v>93</v>
      </c>
      <c r="L18" s="97" t="s">
        <v>59</v>
      </c>
      <c r="M18" s="120" t="s">
        <v>92</v>
      </c>
      <c r="N18" s="97" t="s">
        <v>59</v>
      </c>
      <c r="O18" s="120" t="s">
        <v>93</v>
      </c>
      <c r="P18" s="97" t="s">
        <v>94</v>
      </c>
      <c r="Q18" s="120" t="s">
        <v>92</v>
      </c>
      <c r="R18" s="97" t="s">
        <v>94</v>
      </c>
      <c r="S18" s="120" t="s">
        <v>93</v>
      </c>
      <c r="T18" s="97" t="s">
        <v>95</v>
      </c>
      <c r="U18" s="120" t="s">
        <v>92</v>
      </c>
      <c r="V18" s="97" t="s">
        <v>95</v>
      </c>
      <c r="W18" s="120" t="s">
        <v>93</v>
      </c>
      <c r="X18" s="97" t="s">
        <v>97</v>
      </c>
      <c r="Y18" s="120" t="s">
        <v>92</v>
      </c>
      <c r="Z18" s="124" t="s">
        <v>112</v>
      </c>
      <c r="AA18" s="101"/>
      <c r="AB18" s="99"/>
      <c r="AC18" s="98"/>
      <c r="AD18" s="106"/>
      <c r="AE18" s="98"/>
      <c r="AF18" s="98"/>
    </row>
    <row r="19" spans="1:33" x14ac:dyDescent="0.25">
      <c r="A19" s="84" t="s">
        <v>115</v>
      </c>
      <c r="B19" s="243" t="s">
        <v>116</v>
      </c>
      <c r="C19" s="243" t="s">
        <v>80</v>
      </c>
      <c r="D19" s="176" t="s">
        <v>71</v>
      </c>
      <c r="E19" s="244">
        <v>42005</v>
      </c>
      <c r="F19" s="244">
        <v>44197</v>
      </c>
      <c r="G19" s="243" t="s">
        <v>88</v>
      </c>
      <c r="J19" s="95">
        <v>17</v>
      </c>
      <c r="K19" s="121" t="s">
        <v>93</v>
      </c>
      <c r="L19" s="102" t="s">
        <v>59</v>
      </c>
      <c r="M19" s="121" t="s">
        <v>92</v>
      </c>
      <c r="N19" s="102" t="s">
        <v>59</v>
      </c>
      <c r="O19" s="121" t="s">
        <v>93</v>
      </c>
      <c r="P19" s="102" t="s">
        <v>94</v>
      </c>
      <c r="Q19" s="121" t="s">
        <v>92</v>
      </c>
      <c r="R19" s="102" t="s">
        <v>94</v>
      </c>
      <c r="S19" s="121" t="s">
        <v>93</v>
      </c>
      <c r="T19" s="102" t="s">
        <v>95</v>
      </c>
      <c r="U19" s="121" t="s">
        <v>92</v>
      </c>
      <c r="V19" s="102" t="s">
        <v>95</v>
      </c>
      <c r="W19" s="121" t="s">
        <v>93</v>
      </c>
      <c r="X19" s="102" t="s">
        <v>97</v>
      </c>
      <c r="Y19" s="121" t="s">
        <v>92</v>
      </c>
      <c r="Z19" s="102" t="s">
        <v>97</v>
      </c>
      <c r="AA19" s="101"/>
      <c r="AB19" s="99"/>
      <c r="AC19" s="98"/>
      <c r="AD19" s="107"/>
      <c r="AE19" s="98"/>
      <c r="AF19" s="100"/>
    </row>
    <row r="20" spans="1:33" x14ac:dyDescent="0.25">
      <c r="A20" s="246" t="s">
        <v>117</v>
      </c>
      <c r="B20" s="243" t="s">
        <v>118</v>
      </c>
      <c r="C20" s="245" t="s">
        <v>64</v>
      </c>
      <c r="D20" s="176" t="s">
        <v>76</v>
      </c>
      <c r="E20" s="247">
        <v>45292</v>
      </c>
      <c r="F20" s="247">
        <v>45292</v>
      </c>
      <c r="G20" s="243" t="s">
        <v>88</v>
      </c>
      <c r="L20" s="108" t="s">
        <v>119</v>
      </c>
      <c r="M20" s="101"/>
      <c r="N20" s="108" t="s">
        <v>119</v>
      </c>
      <c r="O20"/>
      <c r="P20" s="108" t="s">
        <v>119</v>
      </c>
      <c r="Q20"/>
      <c r="R20" s="108" t="s">
        <v>119</v>
      </c>
      <c r="S20" s="101"/>
      <c r="T20" s="108" t="s">
        <v>119</v>
      </c>
      <c r="U20" s="101"/>
      <c r="V20" s="108" t="s">
        <v>119</v>
      </c>
      <c r="W20" s="101"/>
      <c r="X20" s="108" t="s">
        <v>119</v>
      </c>
      <c r="Y20" s="101"/>
      <c r="Z20" s="108" t="s">
        <v>119</v>
      </c>
      <c r="AA20" s="101"/>
    </row>
    <row r="21" spans="1:33" x14ac:dyDescent="0.25">
      <c r="A21" s="270" t="s">
        <v>120</v>
      </c>
      <c r="B21" s="245" t="s">
        <v>121</v>
      </c>
      <c r="C21" s="245" t="s">
        <v>80</v>
      </c>
      <c r="D21" s="245" t="s">
        <v>65</v>
      </c>
      <c r="E21" s="247">
        <v>45108</v>
      </c>
      <c r="F21" s="247">
        <v>45292</v>
      </c>
      <c r="G21" s="245" t="s">
        <v>122</v>
      </c>
      <c r="L21" s="95"/>
      <c r="M21" s="101"/>
      <c r="N21" s="91"/>
      <c r="O21"/>
      <c r="P21" s="128" t="s">
        <v>123</v>
      </c>
      <c r="Q21"/>
      <c r="R21" s="128" t="s">
        <v>123</v>
      </c>
      <c r="S21"/>
      <c r="T21"/>
      <c r="U21"/>
      <c r="V21"/>
      <c r="W21"/>
      <c r="X21"/>
      <c r="Y21"/>
      <c r="Z21"/>
      <c r="AA21"/>
      <c r="AB21"/>
      <c r="AC21"/>
      <c r="AD21"/>
      <c r="AE21"/>
      <c r="AF21"/>
      <c r="AG21"/>
    </row>
    <row r="22" spans="1:33" x14ac:dyDescent="0.25">
      <c r="A22" s="270" t="s">
        <v>124</v>
      </c>
      <c r="B22" s="245" t="s">
        <v>125</v>
      </c>
      <c r="C22" s="245" t="s">
        <v>80</v>
      </c>
      <c r="D22" s="245" t="s">
        <v>76</v>
      </c>
      <c r="E22" s="247">
        <v>45292</v>
      </c>
      <c r="F22" s="247">
        <v>45292</v>
      </c>
      <c r="G22" s="245" t="s">
        <v>88</v>
      </c>
      <c r="H22" s="105"/>
      <c r="L22" s="95"/>
      <c r="M22" s="101"/>
      <c r="N22" s="91"/>
      <c r="O22"/>
      <c r="P22" s="128" t="s">
        <v>126</v>
      </c>
      <c r="Q22"/>
      <c r="R22" s="128" t="s">
        <v>127</v>
      </c>
      <c r="S22"/>
      <c r="T22"/>
      <c r="U22"/>
      <c r="V22"/>
      <c r="W22"/>
      <c r="X22"/>
      <c r="Y22"/>
      <c r="Z22"/>
      <c r="AA22"/>
      <c r="AB22"/>
      <c r="AC22"/>
      <c r="AD22"/>
      <c r="AE22"/>
      <c r="AF22"/>
      <c r="AG22"/>
    </row>
    <row r="23" spans="1:33" x14ac:dyDescent="0.25">
      <c r="A23" s="264" t="s">
        <v>128</v>
      </c>
      <c r="B23" s="262" t="s">
        <v>129</v>
      </c>
      <c r="C23" s="262" t="s">
        <v>80</v>
      </c>
      <c r="D23" s="262" t="s">
        <v>76</v>
      </c>
      <c r="E23" s="263">
        <v>45292</v>
      </c>
      <c r="F23" s="263">
        <v>45292</v>
      </c>
      <c r="G23" s="245" t="s">
        <v>88</v>
      </c>
      <c r="L23" s="95"/>
      <c r="M23" s="101"/>
      <c r="N23" s="91"/>
      <c r="O23"/>
      <c r="P23"/>
      <c r="Q23"/>
      <c r="R23" s="91"/>
      <c r="S23"/>
      <c r="T23"/>
      <c r="U23"/>
      <c r="V23"/>
      <c r="W23"/>
      <c r="X23"/>
      <c r="Y23"/>
      <c r="Z23"/>
      <c r="AA23"/>
      <c r="AB23"/>
      <c r="AC23"/>
      <c r="AD23"/>
      <c r="AE23"/>
      <c r="AF23"/>
      <c r="AG23"/>
    </row>
    <row r="24" spans="1:33" ht="16.5" thickBot="1" x14ac:dyDescent="0.3">
      <c r="A24" s="270" t="s">
        <v>130</v>
      </c>
      <c r="B24" s="245" t="s">
        <v>131</v>
      </c>
      <c r="C24" s="245" t="s">
        <v>80</v>
      </c>
      <c r="D24" s="245" t="s">
        <v>57</v>
      </c>
      <c r="E24" s="247">
        <v>45292</v>
      </c>
      <c r="F24" s="247">
        <v>45292</v>
      </c>
      <c r="G24" s="245" t="s">
        <v>88</v>
      </c>
      <c r="L24" s="95"/>
      <c r="M24" s="101"/>
      <c r="N24" s="91"/>
      <c r="O24" s="101"/>
      <c r="P24"/>
      <c r="Q24" s="101"/>
      <c r="R24" s="91"/>
      <c r="S24"/>
      <c r="T24"/>
      <c r="U24"/>
      <c r="V24"/>
      <c r="W24"/>
      <c r="X24"/>
      <c r="Y24"/>
      <c r="Z24"/>
      <c r="AA24"/>
      <c r="AB24"/>
      <c r="AC24"/>
      <c r="AD24"/>
      <c r="AE24"/>
      <c r="AF24"/>
      <c r="AG24"/>
    </row>
    <row r="25" spans="1:33" x14ac:dyDescent="0.25">
      <c r="I25" s="126" t="s">
        <v>132</v>
      </c>
      <c r="J25" s="91">
        <v>1</v>
      </c>
      <c r="K25" s="132" t="s">
        <v>55</v>
      </c>
      <c r="L25" s="133" t="s">
        <v>133</v>
      </c>
      <c r="M25" s="133" t="s">
        <v>134</v>
      </c>
      <c r="N25" s="133" t="s">
        <v>135</v>
      </c>
      <c r="O25" s="134" t="s">
        <v>136</v>
      </c>
      <c r="P25"/>
      <c r="Q25" s="91"/>
      <c r="R25" s="91"/>
      <c r="S25" s="91"/>
      <c r="T25" s="91"/>
      <c r="U25" s="91"/>
      <c r="V25" s="91"/>
      <c r="W25" s="101"/>
      <c r="X25" s="91"/>
      <c r="Y25" s="101"/>
      <c r="Z25" s="91"/>
    </row>
    <row r="26" spans="1:33" x14ac:dyDescent="0.25">
      <c r="A26" s="179" t="s">
        <v>137</v>
      </c>
      <c r="J26" s="95">
        <v>2</v>
      </c>
      <c r="K26" s="135"/>
      <c r="L26" s="136" t="s">
        <v>106</v>
      </c>
      <c r="M26" s="136" t="s">
        <v>60</v>
      </c>
      <c r="N26" s="136" t="s">
        <v>108</v>
      </c>
      <c r="O26" s="137" t="s">
        <v>89</v>
      </c>
      <c r="P26"/>
      <c r="Q26" s="91"/>
      <c r="R26" s="91"/>
      <c r="S26" s="91"/>
      <c r="T26" s="91"/>
      <c r="U26" s="91"/>
      <c r="V26" s="91"/>
      <c r="W26" s="101"/>
      <c r="X26" s="91"/>
      <c r="Y26" s="101"/>
      <c r="Z26" s="91"/>
    </row>
    <row r="27" spans="1:33" x14ac:dyDescent="0.25">
      <c r="A27" s="103" t="s">
        <v>138</v>
      </c>
      <c r="B27" s="104" t="s">
        <v>0</v>
      </c>
      <c r="C27" s="81" t="s">
        <v>46</v>
      </c>
      <c r="D27" s="81" t="s">
        <v>47</v>
      </c>
      <c r="E27" s="81" t="s">
        <v>48</v>
      </c>
      <c r="F27" s="81" t="s">
        <v>49</v>
      </c>
      <c r="I27"/>
      <c r="J27" s="95">
        <v>3</v>
      </c>
      <c r="K27" s="135"/>
      <c r="L27" s="136" t="s">
        <v>139</v>
      </c>
      <c r="M27" s="136" t="s">
        <v>140</v>
      </c>
      <c r="N27" s="136" t="s">
        <v>139</v>
      </c>
      <c r="O27" s="137" t="s">
        <v>141</v>
      </c>
      <c r="P27"/>
      <c r="Q27" s="91"/>
      <c r="R27" s="91"/>
      <c r="S27" s="91"/>
      <c r="T27" s="91"/>
      <c r="U27" s="91"/>
      <c r="X27" s="81"/>
      <c r="Y27" s="81"/>
      <c r="Z27" s="81"/>
    </row>
    <row r="28" spans="1:33" x14ac:dyDescent="0.25">
      <c r="A28" s="107" t="s">
        <v>142</v>
      </c>
      <c r="B28" s="243" t="s">
        <v>133</v>
      </c>
      <c r="C28" s="245" t="s">
        <v>64</v>
      </c>
      <c r="D28" s="98" t="s">
        <v>57</v>
      </c>
      <c r="E28" s="242">
        <v>45292</v>
      </c>
      <c r="F28" s="242">
        <v>45292</v>
      </c>
      <c r="G28" s="81" t="s">
        <v>143</v>
      </c>
      <c r="I28"/>
      <c r="J28" s="95">
        <v>4</v>
      </c>
      <c r="K28" s="135"/>
      <c r="L28" s="136" t="s">
        <v>144</v>
      </c>
      <c r="M28" s="136" t="s">
        <v>145</v>
      </c>
      <c r="N28" s="136" t="s">
        <v>144</v>
      </c>
      <c r="O28" s="137" t="s">
        <v>146</v>
      </c>
      <c r="Q28" s="91"/>
      <c r="R28" s="91"/>
      <c r="S28" s="91"/>
      <c r="T28" s="91"/>
      <c r="U28" s="91"/>
      <c r="X28" s="81"/>
      <c r="Y28" s="81"/>
      <c r="Z28" s="81"/>
    </row>
    <row r="29" spans="1:33" x14ac:dyDescent="0.25">
      <c r="A29" s="107" t="s">
        <v>147</v>
      </c>
      <c r="B29" s="243" t="s">
        <v>134</v>
      </c>
      <c r="C29" s="248" t="s">
        <v>64</v>
      </c>
      <c r="D29" s="98" t="s">
        <v>57</v>
      </c>
      <c r="E29" s="247">
        <v>45292</v>
      </c>
      <c r="F29" s="242">
        <v>45292</v>
      </c>
      <c r="I29"/>
      <c r="J29" s="95">
        <v>5</v>
      </c>
      <c r="K29" s="135"/>
      <c r="L29" s="136"/>
      <c r="M29" s="136" t="s">
        <v>148</v>
      </c>
      <c r="N29" s="136"/>
      <c r="O29" s="137" t="s">
        <v>148</v>
      </c>
      <c r="Q29" s="91"/>
      <c r="R29" s="91"/>
      <c r="S29" s="91"/>
      <c r="T29" s="91"/>
      <c r="U29" s="91"/>
      <c r="X29" s="81"/>
      <c r="Y29" s="81"/>
      <c r="Z29" s="81"/>
    </row>
    <row r="30" spans="1:33" x14ac:dyDescent="0.25">
      <c r="A30" s="107" t="s">
        <v>149</v>
      </c>
      <c r="B30" s="243" t="s">
        <v>135</v>
      </c>
      <c r="C30" s="248" t="s">
        <v>64</v>
      </c>
      <c r="D30" s="98" t="s">
        <v>57</v>
      </c>
      <c r="E30" s="247">
        <v>45292</v>
      </c>
      <c r="F30" s="242">
        <v>45292</v>
      </c>
      <c r="I30"/>
      <c r="J30" s="95">
        <v>6</v>
      </c>
      <c r="K30" s="135"/>
      <c r="L30" s="136"/>
      <c r="M30" s="136" t="s">
        <v>107</v>
      </c>
      <c r="N30" s="136"/>
      <c r="O30" s="137" t="s">
        <v>109</v>
      </c>
      <c r="Q30" s="91"/>
      <c r="R30" s="91"/>
      <c r="S30" s="91"/>
      <c r="T30" s="91"/>
      <c r="U30" s="91"/>
      <c r="X30" s="81"/>
      <c r="Y30" s="81"/>
      <c r="Z30" s="81"/>
    </row>
    <row r="31" spans="1:33" x14ac:dyDescent="0.25">
      <c r="A31" s="246" t="s">
        <v>14</v>
      </c>
      <c r="B31" s="243" t="s">
        <v>136</v>
      </c>
      <c r="C31" s="248" t="s">
        <v>56</v>
      </c>
      <c r="D31" s="98" t="s">
        <v>57</v>
      </c>
      <c r="E31" s="247">
        <v>45292</v>
      </c>
      <c r="F31" s="242">
        <v>45292</v>
      </c>
      <c r="G31" s="81" t="s">
        <v>150</v>
      </c>
      <c r="I31"/>
      <c r="J31" s="95">
        <v>7</v>
      </c>
      <c r="K31" s="135"/>
      <c r="L31" s="136"/>
      <c r="M31" s="136" t="s">
        <v>139</v>
      </c>
      <c r="N31" s="136"/>
      <c r="O31" s="137" t="s">
        <v>139</v>
      </c>
      <c r="Q31" s="91"/>
      <c r="R31" s="91"/>
      <c r="S31" s="91"/>
      <c r="T31" s="91"/>
      <c r="U31" s="91"/>
      <c r="X31" s="81"/>
      <c r="Y31" s="81"/>
      <c r="Z31" s="81"/>
    </row>
    <row r="32" spans="1:33" ht="16.5" thickBot="1" x14ac:dyDescent="0.3">
      <c r="A32" s="103"/>
      <c r="B32" s="104"/>
      <c r="I32"/>
      <c r="J32" s="95">
        <v>8</v>
      </c>
      <c r="K32" s="138"/>
      <c r="L32" s="139"/>
      <c r="M32" s="139" t="s">
        <v>144</v>
      </c>
      <c r="N32" s="139"/>
      <c r="O32" s="140" t="s">
        <v>144</v>
      </c>
      <c r="P32" s="109"/>
      <c r="Q32" s="91"/>
      <c r="R32" s="91"/>
      <c r="S32" s="91"/>
      <c r="T32" s="91"/>
      <c r="U32" s="91"/>
      <c r="X32" s="81"/>
      <c r="Y32" s="81"/>
      <c r="Z32" s="81"/>
    </row>
    <row r="33" spans="1:22" ht="16.5" thickBot="1" x14ac:dyDescent="0.3">
      <c r="A33" s="179" t="s">
        <v>151</v>
      </c>
      <c r="H33"/>
      <c r="I33"/>
      <c r="J33"/>
      <c r="K33"/>
      <c r="L33"/>
      <c r="M33"/>
      <c r="N33"/>
      <c r="O33"/>
      <c r="Q33" s="91"/>
      <c r="R33" s="91"/>
      <c r="S33" s="91"/>
      <c r="T33" s="91"/>
      <c r="U33" s="91"/>
    </row>
    <row r="34" spans="1:22" ht="15.75" customHeight="1" x14ac:dyDescent="0.25">
      <c r="A34" s="103" t="s">
        <v>152</v>
      </c>
      <c r="B34" s="104" t="s">
        <v>0</v>
      </c>
      <c r="C34" s="81" t="s">
        <v>46</v>
      </c>
      <c r="D34" s="81" t="s">
        <v>47</v>
      </c>
      <c r="E34" s="81" t="s">
        <v>48</v>
      </c>
      <c r="F34" s="81" t="s">
        <v>49</v>
      </c>
      <c r="H34"/>
      <c r="I34" s="126" t="s">
        <v>153</v>
      </c>
      <c r="J34" s="91">
        <v>1</v>
      </c>
      <c r="K34" s="132" t="s">
        <v>55</v>
      </c>
      <c r="L34" s="133" t="s">
        <v>133</v>
      </c>
      <c r="M34" s="133" t="s">
        <v>134</v>
      </c>
      <c r="N34" s="133" t="s">
        <v>135</v>
      </c>
      <c r="O34" s="134" t="s">
        <v>136</v>
      </c>
      <c r="Q34" s="91"/>
      <c r="R34" s="91"/>
      <c r="S34" s="91"/>
      <c r="T34" s="91"/>
      <c r="U34" s="91"/>
    </row>
    <row r="35" spans="1:22" x14ac:dyDescent="0.25">
      <c r="A35" s="107" t="s">
        <v>154</v>
      </c>
      <c r="B35" s="269" t="s">
        <v>155</v>
      </c>
      <c r="C35" s="269" t="s">
        <v>80</v>
      </c>
      <c r="D35" s="269" t="s">
        <v>65</v>
      </c>
      <c r="E35" s="296">
        <v>45292</v>
      </c>
      <c r="F35" s="296">
        <v>45292</v>
      </c>
      <c r="H35"/>
      <c r="I35"/>
      <c r="J35" s="95">
        <v>2</v>
      </c>
      <c r="K35" s="135"/>
      <c r="L35" s="136" t="s">
        <v>156</v>
      </c>
      <c r="M35" s="136" t="s">
        <v>157</v>
      </c>
      <c r="N35" s="136" t="s">
        <v>158</v>
      </c>
      <c r="O35" s="137" t="s">
        <v>156</v>
      </c>
      <c r="Q35" s="91"/>
      <c r="R35" s="91"/>
      <c r="S35" s="91"/>
      <c r="T35" s="91"/>
      <c r="U35" s="91"/>
    </row>
    <row r="36" spans="1:22" ht="15.75" customHeight="1" x14ac:dyDescent="0.25">
      <c r="A36" s="107" t="s">
        <v>159</v>
      </c>
      <c r="B36" s="269" t="s">
        <v>160</v>
      </c>
      <c r="C36" s="269" t="s">
        <v>80</v>
      </c>
      <c r="D36" s="269" t="s">
        <v>65</v>
      </c>
      <c r="E36" s="296">
        <v>45292</v>
      </c>
      <c r="F36" s="296">
        <v>45292</v>
      </c>
      <c r="H36"/>
      <c r="I36"/>
      <c r="J36" s="95">
        <v>3</v>
      </c>
      <c r="K36" s="135"/>
      <c r="L36" s="136" t="s">
        <v>161</v>
      </c>
      <c r="M36" s="211" t="s">
        <v>162</v>
      </c>
      <c r="N36" s="136" t="s">
        <v>141</v>
      </c>
      <c r="O36" s="137" t="s">
        <v>161</v>
      </c>
      <c r="Q36" s="91"/>
      <c r="R36" s="91"/>
      <c r="S36" s="91"/>
      <c r="T36" s="91"/>
      <c r="U36" s="91"/>
    </row>
    <row r="37" spans="1:22" ht="15.75" customHeight="1" x14ac:dyDescent="0.25">
      <c r="A37" s="107" t="s">
        <v>163</v>
      </c>
      <c r="B37" s="269" t="s">
        <v>164</v>
      </c>
      <c r="C37" s="269" t="s">
        <v>80</v>
      </c>
      <c r="D37" s="269" t="s">
        <v>65</v>
      </c>
      <c r="E37" s="296">
        <v>45292</v>
      </c>
      <c r="F37" s="296">
        <v>45292</v>
      </c>
      <c r="H37"/>
      <c r="J37" s="95">
        <v>4</v>
      </c>
      <c r="K37" s="135"/>
      <c r="L37" s="136" t="s">
        <v>165</v>
      </c>
      <c r="M37" s="211" t="s">
        <v>166</v>
      </c>
      <c r="N37" s="136" t="s">
        <v>167</v>
      </c>
      <c r="O37" s="137" t="s">
        <v>165</v>
      </c>
      <c r="Q37" s="91"/>
      <c r="R37" s="91"/>
      <c r="S37" s="91"/>
      <c r="T37" s="91"/>
      <c r="U37" s="91"/>
    </row>
    <row r="38" spans="1:22" x14ac:dyDescent="0.25">
      <c r="A38" s="103"/>
      <c r="B38" s="104"/>
      <c r="H38"/>
      <c r="J38" s="95">
        <v>5</v>
      </c>
      <c r="K38" s="135"/>
      <c r="L38" s="136" t="s">
        <v>148</v>
      </c>
      <c r="M38" s="211" t="s">
        <v>168</v>
      </c>
      <c r="N38" s="136" t="s">
        <v>169</v>
      </c>
      <c r="O38" s="137" t="s">
        <v>148</v>
      </c>
      <c r="Q38" s="91"/>
      <c r="R38" s="91"/>
      <c r="S38" s="91"/>
      <c r="T38" s="91"/>
      <c r="U38" s="91"/>
    </row>
    <row r="39" spans="1:22" x14ac:dyDescent="0.25">
      <c r="A39" s="103"/>
      <c r="B39" s="104"/>
      <c r="H39"/>
      <c r="J39" s="95">
        <v>6</v>
      </c>
      <c r="K39" s="135"/>
      <c r="L39" s="136" t="s">
        <v>170</v>
      </c>
      <c r="M39" s="211" t="s">
        <v>171</v>
      </c>
      <c r="N39" s="136" t="s">
        <v>172</v>
      </c>
      <c r="O39" s="137" t="s">
        <v>170</v>
      </c>
      <c r="Q39" s="91"/>
      <c r="R39" s="91"/>
      <c r="S39" s="91"/>
      <c r="T39" s="91"/>
      <c r="U39" s="91"/>
    </row>
    <row r="40" spans="1:22" x14ac:dyDescent="0.25">
      <c r="A40" s="179" t="s">
        <v>173</v>
      </c>
      <c r="B40" s="99"/>
      <c r="H40"/>
      <c r="J40" s="95">
        <v>7</v>
      </c>
      <c r="K40" s="135"/>
      <c r="L40" s="136" t="s">
        <v>174</v>
      </c>
      <c r="M40" s="211" t="s">
        <v>175</v>
      </c>
      <c r="N40" s="136" t="s">
        <v>176</v>
      </c>
      <c r="O40" s="137" t="s">
        <v>141</v>
      </c>
      <c r="Q40" s="91"/>
      <c r="R40" s="91"/>
      <c r="S40" s="91"/>
      <c r="T40" s="91"/>
      <c r="U40" s="91"/>
    </row>
    <row r="41" spans="1:22" x14ac:dyDescent="0.25">
      <c r="A41" t="s">
        <v>177</v>
      </c>
      <c r="B41" t="s">
        <v>178</v>
      </c>
      <c r="C41" t="s">
        <v>179</v>
      </c>
      <c r="D41"/>
      <c r="E41"/>
      <c r="F41"/>
      <c r="G41" s="105"/>
      <c r="H41"/>
      <c r="J41" s="95">
        <v>8</v>
      </c>
      <c r="K41" s="135"/>
      <c r="L41" s="136" t="s">
        <v>180</v>
      </c>
      <c r="M41" s="136" t="s">
        <v>148</v>
      </c>
      <c r="N41" s="136" t="s">
        <v>181</v>
      </c>
      <c r="O41" s="137" t="s">
        <v>182</v>
      </c>
      <c r="Q41" s="91"/>
      <c r="R41" s="91"/>
      <c r="S41" s="91"/>
      <c r="T41" s="91"/>
      <c r="U41" s="91"/>
    </row>
    <row r="42" spans="1:22" x14ac:dyDescent="0.25">
      <c r="A42" t="s">
        <v>183</v>
      </c>
      <c r="B42" s="1" t="s">
        <v>184</v>
      </c>
      <c r="C42" s="1" t="s">
        <v>185</v>
      </c>
      <c r="D42"/>
      <c r="E42"/>
      <c r="F42"/>
      <c r="H42"/>
      <c r="J42" s="95">
        <v>9</v>
      </c>
      <c r="K42" s="135"/>
      <c r="L42" s="136" t="s">
        <v>186</v>
      </c>
      <c r="M42" s="136" t="s">
        <v>187</v>
      </c>
      <c r="N42" s="136" t="s">
        <v>188</v>
      </c>
      <c r="O42" s="137" t="s">
        <v>189</v>
      </c>
      <c r="Q42" s="91"/>
      <c r="R42" s="91"/>
      <c r="S42" s="91"/>
      <c r="T42" s="91"/>
      <c r="U42" s="91"/>
    </row>
    <row r="43" spans="1:22" x14ac:dyDescent="0.25">
      <c r="A43" t="s">
        <v>17</v>
      </c>
      <c r="B43" s="1" t="s">
        <v>185</v>
      </c>
      <c r="C43" s="1" t="s">
        <v>184</v>
      </c>
      <c r="D43"/>
      <c r="E43"/>
      <c r="F43"/>
      <c r="J43" s="95">
        <v>10</v>
      </c>
      <c r="K43" s="135"/>
      <c r="L43" s="136" t="s">
        <v>190</v>
      </c>
      <c r="M43" s="136" t="s">
        <v>156</v>
      </c>
      <c r="N43" s="136" t="s">
        <v>148</v>
      </c>
      <c r="O43" s="137" t="s">
        <v>146</v>
      </c>
      <c r="Q43" s="91"/>
      <c r="R43" s="91"/>
      <c r="S43" s="91"/>
      <c r="T43" s="91"/>
      <c r="U43" s="91"/>
    </row>
    <row r="44" spans="1:22" x14ac:dyDescent="0.25">
      <c r="A44"/>
      <c r="B44"/>
      <c r="C44"/>
      <c r="D44"/>
      <c r="E44"/>
      <c r="F44"/>
      <c r="J44" s="95">
        <v>11</v>
      </c>
      <c r="K44" s="135"/>
      <c r="L44" s="136" t="s">
        <v>191</v>
      </c>
      <c r="M44" s="136" t="s">
        <v>161</v>
      </c>
      <c r="N44" s="136" t="s">
        <v>192</v>
      </c>
      <c r="O44" s="137" t="s">
        <v>193</v>
      </c>
      <c r="Q44" s="91"/>
      <c r="R44" s="91"/>
      <c r="S44" s="91"/>
      <c r="T44" s="91"/>
      <c r="U44" s="91"/>
    </row>
    <row r="45" spans="1:22" x14ac:dyDescent="0.25">
      <c r="A45"/>
      <c r="B45"/>
      <c r="C45"/>
      <c r="D45"/>
      <c r="E45"/>
      <c r="F45"/>
      <c r="J45" s="95">
        <v>12</v>
      </c>
      <c r="K45" s="135"/>
      <c r="L45" s="136" t="s">
        <v>194</v>
      </c>
      <c r="M45" s="136" t="s">
        <v>165</v>
      </c>
      <c r="N45" s="136" t="s">
        <v>156</v>
      </c>
      <c r="O45" s="137" t="s">
        <v>195</v>
      </c>
      <c r="Q45" s="91"/>
      <c r="R45" s="91"/>
      <c r="S45" s="91"/>
      <c r="T45" s="91"/>
      <c r="U45" s="91"/>
      <c r="V45" s="136"/>
    </row>
    <row r="46" spans="1:22" x14ac:dyDescent="0.25">
      <c r="A46"/>
      <c r="B46"/>
      <c r="C46"/>
      <c r="D46"/>
      <c r="E46"/>
      <c r="F46"/>
      <c r="J46" s="95">
        <v>13</v>
      </c>
      <c r="K46" s="135"/>
      <c r="L46" s="136" t="s">
        <v>196</v>
      </c>
      <c r="M46" s="136" t="s">
        <v>148</v>
      </c>
      <c r="N46" s="136" t="s">
        <v>161</v>
      </c>
      <c r="O46" s="137"/>
      <c r="Q46" s="91"/>
      <c r="R46" s="91"/>
      <c r="S46" s="91"/>
      <c r="T46" s="91"/>
      <c r="U46" s="91"/>
    </row>
    <row r="47" spans="1:22" x14ac:dyDescent="0.25">
      <c r="A47"/>
      <c r="B47"/>
      <c r="C47"/>
      <c r="D47"/>
      <c r="E47"/>
      <c r="F47"/>
      <c r="J47" s="95">
        <v>14</v>
      </c>
      <c r="K47" s="135"/>
      <c r="L47" s="136" t="s">
        <v>141</v>
      </c>
      <c r="M47" s="136" t="s">
        <v>170</v>
      </c>
      <c r="N47" s="136" t="s">
        <v>165</v>
      </c>
      <c r="O47" s="137"/>
      <c r="Q47" s="91"/>
      <c r="R47" s="91"/>
      <c r="S47" s="91"/>
      <c r="T47" s="91"/>
      <c r="U47" s="91"/>
    </row>
    <row r="48" spans="1:22" x14ac:dyDescent="0.25">
      <c r="A48"/>
      <c r="B48"/>
      <c r="C48"/>
      <c r="D48"/>
      <c r="E48"/>
      <c r="F48"/>
      <c r="J48" s="95">
        <v>15</v>
      </c>
      <c r="K48" s="135"/>
      <c r="L48" s="136" t="s">
        <v>182</v>
      </c>
      <c r="M48" s="136" t="s">
        <v>182</v>
      </c>
      <c r="N48" s="136" t="s">
        <v>148</v>
      </c>
      <c r="O48" s="137"/>
      <c r="Q48" s="91"/>
      <c r="R48" s="91"/>
      <c r="S48" s="91"/>
      <c r="T48" s="91"/>
      <c r="U48" s="91"/>
    </row>
    <row r="49" spans="1:21" x14ac:dyDescent="0.25">
      <c r="A49"/>
      <c r="B49"/>
      <c r="C49"/>
      <c r="D49"/>
      <c r="E49"/>
      <c r="F49"/>
      <c r="J49" s="95">
        <v>16</v>
      </c>
      <c r="K49" s="135"/>
      <c r="L49" s="136" t="s">
        <v>172</v>
      </c>
      <c r="M49" s="136" t="s">
        <v>189</v>
      </c>
      <c r="N49" s="136" t="s">
        <v>170</v>
      </c>
      <c r="O49" s="137"/>
      <c r="Q49" s="91"/>
      <c r="R49" s="91"/>
      <c r="S49" s="91"/>
      <c r="T49" s="91"/>
      <c r="U49" s="91"/>
    </row>
    <row r="50" spans="1:21" x14ac:dyDescent="0.25">
      <c r="A50"/>
      <c r="B50"/>
      <c r="C50"/>
      <c r="D50"/>
      <c r="E50"/>
      <c r="F50"/>
      <c r="J50" s="95">
        <v>17</v>
      </c>
      <c r="K50" s="135"/>
      <c r="L50" s="136" t="s">
        <v>197</v>
      </c>
      <c r="M50" s="136" t="s">
        <v>198</v>
      </c>
      <c r="N50" s="136" t="s">
        <v>190</v>
      </c>
      <c r="O50" s="137"/>
      <c r="Q50" s="91"/>
      <c r="R50" s="91"/>
      <c r="S50" s="91"/>
      <c r="T50" s="91"/>
      <c r="U50" s="91"/>
    </row>
    <row r="51" spans="1:21" x14ac:dyDescent="0.25">
      <c r="J51" s="95">
        <v>18</v>
      </c>
      <c r="K51" s="135"/>
      <c r="L51" s="136"/>
      <c r="M51" s="136" t="s">
        <v>199</v>
      </c>
      <c r="N51" s="136" t="s">
        <v>182</v>
      </c>
      <c r="O51" s="137"/>
    </row>
    <row r="52" spans="1:21" x14ac:dyDescent="0.25">
      <c r="G52"/>
      <c r="J52" s="95">
        <v>19</v>
      </c>
      <c r="K52" s="135"/>
      <c r="L52" s="136"/>
      <c r="M52" s="136" t="s">
        <v>200</v>
      </c>
      <c r="N52" s="136" t="s">
        <v>189</v>
      </c>
      <c r="O52" s="137"/>
    </row>
    <row r="53" spans="1:21" x14ac:dyDescent="0.25">
      <c r="A53" s="282" t="s">
        <v>201</v>
      </c>
      <c r="G53"/>
      <c r="J53" s="95">
        <v>20</v>
      </c>
      <c r="K53" s="135"/>
      <c r="L53" s="136"/>
      <c r="M53" s="136"/>
      <c r="N53" s="136" t="s">
        <v>202</v>
      </c>
      <c r="O53" s="137"/>
    </row>
    <row r="54" spans="1:21" x14ac:dyDescent="0.25">
      <c r="G54"/>
      <c r="J54" s="95">
        <v>21</v>
      </c>
      <c r="K54" s="135"/>
      <c r="L54" s="136"/>
      <c r="M54" s="136"/>
      <c r="N54" s="136" t="s">
        <v>203</v>
      </c>
      <c r="O54" s="137"/>
    </row>
    <row r="55" spans="1:21" x14ac:dyDescent="0.25">
      <c r="G55"/>
      <c r="J55" s="95">
        <v>22</v>
      </c>
      <c r="K55" s="135"/>
      <c r="L55" s="136"/>
      <c r="M55" s="136"/>
      <c r="N55" s="136" t="s">
        <v>204</v>
      </c>
      <c r="O55" s="137"/>
    </row>
    <row r="56" spans="1:21" x14ac:dyDescent="0.25">
      <c r="G56"/>
      <c r="J56" s="95">
        <v>23</v>
      </c>
      <c r="K56" s="135"/>
      <c r="L56" s="136"/>
      <c r="M56" s="136"/>
      <c r="N56" s="136" t="s">
        <v>197</v>
      </c>
      <c r="O56" s="137"/>
    </row>
    <row r="57" spans="1:21" x14ac:dyDescent="0.25">
      <c r="A57"/>
      <c r="B57"/>
      <c r="C57"/>
      <c r="D57"/>
      <c r="E57"/>
      <c r="G57"/>
      <c r="J57" s="95">
        <v>24</v>
      </c>
      <c r="K57" s="135"/>
      <c r="L57" s="136"/>
      <c r="M57" s="136"/>
      <c r="N57" s="136" t="s">
        <v>205</v>
      </c>
      <c r="O57" s="137"/>
    </row>
    <row r="58" spans="1:21" x14ac:dyDescent="0.25">
      <c r="A58"/>
      <c r="B58"/>
      <c r="C58"/>
      <c r="D58"/>
      <c r="E58"/>
      <c r="G58"/>
      <c r="J58" s="95">
        <v>25</v>
      </c>
      <c r="K58" s="135"/>
      <c r="L58" s="136"/>
      <c r="M58" s="136"/>
      <c r="N58" s="136"/>
      <c r="O58" s="137"/>
    </row>
    <row r="59" spans="1:21" ht="16.5" thickBot="1" x14ac:dyDescent="0.3">
      <c r="A59"/>
      <c r="B59"/>
      <c r="C59"/>
      <c r="D59"/>
      <c r="E59"/>
      <c r="G59"/>
      <c r="J59" s="95">
        <v>26</v>
      </c>
      <c r="K59" s="138"/>
      <c r="L59" s="139"/>
      <c r="M59" s="139"/>
      <c r="N59" s="139"/>
      <c r="O59" s="140"/>
    </row>
    <row r="60" spans="1:21" x14ac:dyDescent="0.25">
      <c r="G60"/>
      <c r="M60" s="136"/>
      <c r="N60" s="256" t="s">
        <v>206</v>
      </c>
    </row>
    <row r="61" spans="1:21" x14ac:dyDescent="0.25">
      <c r="G61"/>
      <c r="M61" s="136"/>
      <c r="N61" s="256" t="s">
        <v>207</v>
      </c>
    </row>
    <row r="62" spans="1:21" x14ac:dyDescent="0.25">
      <c r="M62"/>
    </row>
  </sheetData>
  <sortState ref="A35:A38">
    <sortCondition ref="A35"/>
  </sortState>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W47"/>
  <sheetViews>
    <sheetView showGridLines="0" topLeftCell="A3" zoomScaleNormal="100" workbookViewId="0">
      <selection activeCell="D5" sqref="D5"/>
    </sheetView>
  </sheetViews>
  <sheetFormatPr defaultRowHeight="15" x14ac:dyDescent="0.25"/>
  <cols>
    <col min="1" max="1" width="10.75" style="18" customWidth="1"/>
    <col min="2" max="2" width="3.25" style="18" customWidth="1"/>
    <col min="3" max="3" width="5.875" style="18" customWidth="1"/>
    <col min="4" max="4" width="55.625" style="17" customWidth="1"/>
    <col min="5" max="5" width="7.25" style="17" customWidth="1"/>
    <col min="6" max="6" width="24.25" style="17" bestFit="1" customWidth="1"/>
    <col min="7" max="7" width="5.625" style="17" customWidth="1"/>
    <col min="8" max="11" width="4.625" style="17" customWidth="1"/>
    <col min="12" max="12" width="15.625" style="17" customWidth="1"/>
    <col min="13" max="13" width="2.5" style="17" hidden="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67" t="s">
        <v>9</v>
      </c>
      <c r="E4" s="260"/>
      <c r="F4" s="258"/>
      <c r="G4" s="261"/>
      <c r="H4" s="261"/>
      <c r="I4" s="261"/>
      <c r="J4" s="261"/>
      <c r="K4" s="261"/>
      <c r="L4" s="261"/>
      <c r="M4" s="143"/>
    </row>
    <row r="5" spans="1:23" ht="20.100000000000001" customHeight="1" x14ac:dyDescent="0.25">
      <c r="B5" s="19"/>
      <c r="C5" s="129" t="s">
        <v>10</v>
      </c>
      <c r="D5" s="206" t="s">
        <v>74</v>
      </c>
      <c r="E5" s="20"/>
      <c r="F5" s="129" t="s">
        <v>12</v>
      </c>
      <c r="G5" s="20" t="str">
        <f>IFERROR(CONCATENATE(VLOOKUP(D5,TableCourses[],2,FALSE)," ",VLOOKUP(D5,TableCourses[],3,FALSE)),"")</f>
        <v>MC-MMJRN v.2</v>
      </c>
      <c r="H5" s="20"/>
      <c r="I5" s="20"/>
      <c r="J5" s="20"/>
      <c r="K5" s="20"/>
      <c r="L5" s="147" t="str">
        <f>CONCATENATE(VLOOKUP(D5,TableCourses[],2,FALSE),VLOOKUP(D6,TableStudyPeriods[],2,FALSE))</f>
        <v>MC-MMJRNSem1</v>
      </c>
      <c r="M5" s="143"/>
    </row>
    <row r="6" spans="1:23" ht="20.100000000000001" customHeight="1" x14ac:dyDescent="0.25">
      <c r="A6" s="22"/>
      <c r="B6" s="23"/>
      <c r="C6" s="129" t="s">
        <v>16</v>
      </c>
      <c r="D6" s="20" t="s">
        <v>183</v>
      </c>
      <c r="E6" s="24"/>
      <c r="F6" s="129" t="s">
        <v>18</v>
      </c>
      <c r="G6" s="20" t="str">
        <f>IFERROR(VLOOKUP($D$5,TableCourses[],4,FALSE),"")</f>
        <v>300 credit points required</v>
      </c>
      <c r="H6" s="77"/>
      <c r="I6" s="77"/>
      <c r="J6" s="77"/>
      <c r="K6" s="77"/>
      <c r="L6" s="77"/>
      <c r="M6" s="144"/>
      <c r="N6" s="25"/>
      <c r="O6" s="25"/>
      <c r="P6" s="25"/>
      <c r="Q6" s="25"/>
      <c r="R6" s="25"/>
      <c r="S6" s="25"/>
      <c r="T6" s="25"/>
      <c r="U6" s="25"/>
      <c r="V6" s="25"/>
      <c r="W6" s="25"/>
    </row>
    <row r="7" spans="1:23" s="28" customFormat="1" ht="14.1" customHeight="1" x14ac:dyDescent="0.25">
      <c r="A7" s="159"/>
      <c r="B7" s="159"/>
      <c r="C7" s="159"/>
      <c r="D7" s="160"/>
      <c r="E7" s="161"/>
      <c r="F7" s="159"/>
      <c r="G7" s="159"/>
      <c r="H7" s="201" t="s">
        <v>19</v>
      </c>
      <c r="I7" s="162"/>
      <c r="J7" s="162"/>
      <c r="K7" s="163"/>
      <c r="L7" s="164"/>
      <c r="M7" s="141"/>
      <c r="N7" s="26"/>
      <c r="O7" s="26"/>
      <c r="P7" s="27"/>
      <c r="Q7" s="27"/>
      <c r="R7" s="27"/>
      <c r="S7" s="27"/>
      <c r="T7" s="27"/>
      <c r="U7" s="27"/>
      <c r="V7" s="27"/>
      <c r="W7" s="27"/>
    </row>
    <row r="8" spans="1:23" s="28" customFormat="1" ht="21" x14ac:dyDescent="0.25">
      <c r="A8" s="159" t="s">
        <v>20</v>
      </c>
      <c r="B8" s="159"/>
      <c r="C8" s="159"/>
      <c r="D8" s="160" t="s">
        <v>3</v>
      </c>
      <c r="E8" s="165" t="s">
        <v>21</v>
      </c>
      <c r="F8" s="159" t="s">
        <v>22</v>
      </c>
      <c r="G8" s="159" t="s">
        <v>23</v>
      </c>
      <c r="H8" s="166" t="s">
        <v>24</v>
      </c>
      <c r="I8" s="165" t="s">
        <v>25</v>
      </c>
      <c r="J8" s="165" t="s">
        <v>26</v>
      </c>
      <c r="K8" s="167" t="s">
        <v>27</v>
      </c>
      <c r="L8" s="168" t="s">
        <v>208</v>
      </c>
      <c r="M8" s="141"/>
      <c r="N8" s="26"/>
      <c r="O8" s="26"/>
      <c r="P8" s="27"/>
      <c r="Q8" s="27"/>
      <c r="R8" s="27"/>
      <c r="S8" s="27"/>
      <c r="T8" s="27"/>
      <c r="U8" s="27"/>
      <c r="V8" s="27"/>
      <c r="W8" s="27"/>
    </row>
    <row r="9" spans="1:23" s="31" customFormat="1" ht="20.100000000000001" customHeight="1" x14ac:dyDescent="0.15">
      <c r="A9" s="63" t="str">
        <f>IFERROR(IF(HLOOKUP($L$5,RangeMMJRNUnitsets,M9,FALSE)=0,"",HLOOKUP($L$5,RangeMMJRNUnitsets,M9,FALSE)),"")</f>
        <v>JOUR5003</v>
      </c>
      <c r="B9" s="56">
        <f>IFERROR(IF(VLOOKUP($A9,TableHandbook[],2,FALSE)=0,"",VLOOKUP($A9,TableHandbook[],2,FALSE)),"")</f>
        <v>3</v>
      </c>
      <c r="C9" s="56" t="str">
        <f>IFERROR(IF(VLOOKUP($A9,TableHandbook[],3,FALSE)=0,"",VLOOKUP($A9,TableHandbook[],3,FALSE)),"")</f>
        <v/>
      </c>
      <c r="D9" s="64" t="str">
        <f>IFERROR(IF(VLOOKUP($A9,TableHandbook[],4,FALSE)=0,"",VLOOKUP($A9,TableHandbook[],4,FALSE)),"")</f>
        <v>Online &amp; Text-based Journalism</v>
      </c>
      <c r="E9" s="56" t="str">
        <f>IF(OR(A9="",A9="---"),"",VLOOKUP($D$6,TableStudyPeriods[],2,FALSE))</f>
        <v>Sem1</v>
      </c>
      <c r="F9" s="55" t="str">
        <f>IFERROR(IF(VLOOKUP($A9,TableHandbook[],6,FALSE)=0,"",VLOOKUP($A9,TableHandbook[],6,FALSE)),"")</f>
        <v>None</v>
      </c>
      <c r="G9" s="56">
        <f>IFERROR(IF(VLOOKUP($A9,TableHandbook[],5,FALSE)=0,"",VLOOKUP($A9,TableHandbook[],5,FALSE)),"")</f>
        <v>25</v>
      </c>
      <c r="H9" s="67" t="str">
        <f>IFERROR(VLOOKUP($A9,TableHandbook[],H$2,FALSE),"")</f>
        <v>Y</v>
      </c>
      <c r="I9" s="56" t="str">
        <f>IFERROR(VLOOKUP($A9,TableHandbook[],I$2,FALSE),"")</f>
        <v/>
      </c>
      <c r="J9" s="56" t="str">
        <f>IFERROR(VLOOKUP($A9,TableHandbook[],J$2,FALSE),"")</f>
        <v/>
      </c>
      <c r="K9" s="68" t="str">
        <f>IFERROR(VLOOKUP($A9,TableHandbook[],K$2,FALSE),"")</f>
        <v/>
      </c>
      <c r="L9" s="65"/>
      <c r="M9" s="142">
        <v>2</v>
      </c>
      <c r="N9" s="29"/>
      <c r="O9" s="29"/>
      <c r="P9" s="30"/>
      <c r="Q9" s="30"/>
      <c r="R9" s="30"/>
      <c r="S9" s="30"/>
      <c r="T9" s="30"/>
      <c r="U9" s="30"/>
      <c r="V9" s="30"/>
      <c r="W9" s="30"/>
    </row>
    <row r="10" spans="1:23" s="31" customFormat="1" ht="20.100000000000001" customHeight="1" x14ac:dyDescent="0.15">
      <c r="A10" s="63" t="str">
        <f>IFERROR(IF(HLOOKUP($L$5,RangeMMJRNUnitsets,M10,FALSE)=0,"",HLOOKUP($L$5,RangeMMJRNUnitsets,M10,FALSE)),"")</f>
        <v>JOUR5002</v>
      </c>
      <c r="B10" s="56">
        <f>IFERROR(IF(VLOOKUP($A10,TableHandbook[],2,FALSE)=0,"",VLOOKUP($A10,TableHandbook[],2,FALSE)),"")</f>
        <v>3</v>
      </c>
      <c r="C10" s="56" t="str">
        <f>IFERROR(IF(VLOOKUP($A10,TableHandbook[],3,FALSE)=0,"",VLOOKUP($A10,TableHandbook[],3,FALSE)),"")</f>
        <v/>
      </c>
      <c r="D10" s="64" t="str">
        <f>IFERROR(IF(VLOOKUP($A10,TableHandbook[],4,FALSE)=0,"",VLOOKUP($A10,TableHandbook[],4,FALSE)),"")</f>
        <v>Audio &amp; Deadline Journalism</v>
      </c>
      <c r="E10" s="56" t="str">
        <f>IF(A10="","",E9)</f>
        <v>Sem1</v>
      </c>
      <c r="F10" s="55" t="str">
        <f>IFERROR(IF(VLOOKUP($A10,TableHandbook[],6,FALSE)=0,"",VLOOKUP($A10,TableHandbook[],6,FALSE)),"")</f>
        <v>None</v>
      </c>
      <c r="G10" s="56">
        <f>IFERROR(IF(VLOOKUP($A10,TableHandbook[],5,FALSE)=0,"",VLOOKUP($A10,TableHandbook[],5,FALSE)),"")</f>
        <v>25</v>
      </c>
      <c r="H10" s="67" t="str">
        <f>IFERROR(VLOOKUP($A10,TableHandbook[],H$2,FALSE),"")</f>
        <v>Y</v>
      </c>
      <c r="I10" s="56" t="str">
        <f>IFERROR(VLOOKUP($A10,TableHandbook[],I$2,FALSE),"")</f>
        <v/>
      </c>
      <c r="J10" s="56" t="str">
        <f>IFERROR(VLOOKUP($A10,TableHandbook[],J$2,FALSE),"")</f>
        <v/>
      </c>
      <c r="K10" s="68" t="str">
        <f>IFERROR(VLOOKUP($A10,TableHandbook[],K$2,FALSE),"")</f>
        <v/>
      </c>
      <c r="L10" s="65"/>
      <c r="M10" s="142">
        <v>3</v>
      </c>
      <c r="N10" s="29"/>
      <c r="O10" s="29"/>
      <c r="P10" s="30"/>
      <c r="Q10" s="30"/>
      <c r="R10" s="30"/>
      <c r="S10" s="30"/>
      <c r="T10" s="30"/>
      <c r="U10" s="30"/>
      <c r="V10" s="30"/>
      <c r="W10" s="30"/>
    </row>
    <row r="11" spans="1:23" s="31" customFormat="1" ht="20.100000000000001" customHeight="1" x14ac:dyDescent="0.15">
      <c r="A11" s="63" t="str">
        <f>IFERROR(IF(HLOOKUP($L$5,RangeMMJRNUnitsets,M11,FALSE)=0,"",HLOOKUP($L$5,RangeMMJRNUnitsets,M11,FALSE)),"")</f>
        <v>JOUR5012</v>
      </c>
      <c r="B11" s="56">
        <f>IFERROR(IF(VLOOKUP($A11,TableHandbook[],2,FALSE)=0,"",VLOOKUP($A11,TableHandbook[],2,FALSE)),"")</f>
        <v>3</v>
      </c>
      <c r="C11" s="56" t="str">
        <f>IFERROR(IF(VLOOKUP($A11,TableHandbook[],3,FALSE)=0,"",VLOOKUP($A11,TableHandbook[],3,FALSE)),"")</f>
        <v/>
      </c>
      <c r="D11" s="64" t="str">
        <f>IFERROR(IF(VLOOKUP($A11,TableHandbook[],4,FALSE)=0,"",VLOOKUP($A11,TableHandbook[],4,FALSE)),"")</f>
        <v>Understanding Journalism</v>
      </c>
      <c r="E11" s="56" t="str">
        <f t="shared" ref="E11:E12" si="0">IF(A11="","",E10)</f>
        <v>Sem1</v>
      </c>
      <c r="F11" s="55" t="str">
        <f>IFERROR(IF(VLOOKUP($A11,TableHandbook[],6,FALSE)=0,"",VLOOKUP($A11,TableHandbook[],6,FALSE)),"")</f>
        <v>None</v>
      </c>
      <c r="G11" s="56">
        <f>IFERROR(IF(VLOOKUP($A11,TableHandbook[],5,FALSE)=0,"",VLOOKUP($A11,TableHandbook[],5,FALSE)),"")</f>
        <v>25</v>
      </c>
      <c r="H11" s="67" t="str">
        <f>IFERROR(VLOOKUP($A11,TableHandbook[],H$2,FALSE),"")</f>
        <v>Y</v>
      </c>
      <c r="I11" s="56" t="str">
        <f>IFERROR(VLOOKUP($A11,TableHandbook[],I$2,FALSE),"")</f>
        <v/>
      </c>
      <c r="J11" s="56" t="str">
        <f>IFERROR(VLOOKUP($A11,TableHandbook[],J$2,FALSE),"")</f>
        <v/>
      </c>
      <c r="K11" s="68" t="str">
        <f>IFERROR(VLOOKUP($A11,TableHandbook[],K$2,FALSE),"")</f>
        <v/>
      </c>
      <c r="L11" s="66"/>
      <c r="M11" s="142">
        <v>4</v>
      </c>
      <c r="N11" s="29"/>
      <c r="O11" s="29"/>
      <c r="P11" s="30"/>
      <c r="Q11" s="30"/>
      <c r="R11" s="30"/>
      <c r="S11" s="30"/>
      <c r="T11" s="30"/>
      <c r="U11" s="30"/>
      <c r="V11" s="30"/>
      <c r="W11" s="30"/>
    </row>
    <row r="12" spans="1:23" s="31" customFormat="1" ht="20.100000000000001" customHeight="1" x14ac:dyDescent="0.15">
      <c r="A12" s="63" t="str">
        <f>IFERROR(IF(HLOOKUP($L$5,RangeMMJRNUnitsets,M12,FALSE)=0,"",HLOOKUP($L$5,RangeMMJRNUnitsets,M12,FALSE)),"")</f>
        <v>JOUR5005</v>
      </c>
      <c r="B12" s="56">
        <f>IFERROR(IF(VLOOKUP($A12,TableHandbook[],2,FALSE)=0,"",VLOOKUP($A12,TableHandbook[],2,FALSE)),"")</f>
        <v>3</v>
      </c>
      <c r="C12" s="56" t="str">
        <f>IFERROR(IF(VLOOKUP($A12,TableHandbook[],3,FALSE)=0,"",VLOOKUP($A12,TableHandbook[],3,FALSE)),"")</f>
        <v/>
      </c>
      <c r="D12" s="64" t="str">
        <f>IFERROR(IF(VLOOKUP($A12,TableHandbook[],4,FALSE)=0,"",VLOOKUP($A12,TableHandbook[],4,FALSE)),"")</f>
        <v>Video Journalism &amp; Storytelling</v>
      </c>
      <c r="E12" s="56" t="str">
        <f t="shared" si="0"/>
        <v>Sem1</v>
      </c>
      <c r="F12" s="55" t="str">
        <f>IFERROR(IF(VLOOKUP($A12,TableHandbook[],6,FALSE)=0,"",VLOOKUP($A12,TableHandbook[],6,FALSE)),"")</f>
        <v>None</v>
      </c>
      <c r="G12" s="56">
        <f>IFERROR(IF(VLOOKUP($A12,TableHandbook[],5,FALSE)=0,"",VLOOKUP($A12,TableHandbook[],5,FALSE)),"")</f>
        <v>25</v>
      </c>
      <c r="H12" s="67" t="str">
        <f>IFERROR(VLOOKUP($A12,TableHandbook[],H$2,FALSE),"")</f>
        <v>Y</v>
      </c>
      <c r="I12" s="56" t="str">
        <f>IFERROR(VLOOKUP($A12,TableHandbook[],I$2,FALSE),"")</f>
        <v/>
      </c>
      <c r="J12" s="56" t="str">
        <f>IFERROR(VLOOKUP($A12,TableHandbook[],J$2,FALSE),"")</f>
        <v/>
      </c>
      <c r="K12" s="68" t="str">
        <f>IFERROR(VLOOKUP($A12,TableHandbook[],K$2,FALSE),"")</f>
        <v/>
      </c>
      <c r="L12" s="65"/>
      <c r="M12" s="142">
        <v>5</v>
      </c>
      <c r="N12" s="29"/>
      <c r="O12" s="29"/>
      <c r="P12" s="30"/>
      <c r="Q12" s="30"/>
      <c r="R12" s="30"/>
      <c r="S12" s="30"/>
      <c r="T12" s="30"/>
      <c r="U12" s="30"/>
      <c r="V12" s="30"/>
      <c r="W12" s="30"/>
    </row>
    <row r="13" spans="1:23" s="31" customFormat="1" ht="5.0999999999999996" customHeight="1" x14ac:dyDescent="0.15">
      <c r="A13" s="32"/>
      <c r="B13" s="33"/>
      <c r="C13" s="33"/>
      <c r="D13" s="34"/>
      <c r="E13" s="33"/>
      <c r="F13" s="35"/>
      <c r="G13" s="33"/>
      <c r="H13" s="69"/>
      <c r="I13" s="33"/>
      <c r="J13" s="33"/>
      <c r="K13" s="70"/>
      <c r="L13" s="36"/>
      <c r="M13" s="142"/>
      <c r="N13" s="29"/>
      <c r="O13" s="29"/>
      <c r="P13" s="29"/>
      <c r="Q13" s="30"/>
      <c r="R13" s="30"/>
      <c r="S13" s="30"/>
      <c r="T13" s="30"/>
      <c r="U13" s="30"/>
      <c r="V13" s="30"/>
      <c r="W13" s="30"/>
    </row>
    <row r="14" spans="1:23" s="31" customFormat="1" ht="20.100000000000001" customHeight="1" x14ac:dyDescent="0.15">
      <c r="A14" s="63" t="str">
        <f>IFERROR(IF(HLOOKUP($L$5,RangeMMJRNUnitsets,M14,FALSE)=0,"",HLOOKUP($L$5,RangeMMJRNUnitsets,M14,FALSE)),"")</f>
        <v>JOUR5016</v>
      </c>
      <c r="B14" s="58">
        <f>IFERROR(IF(VLOOKUP($A14,TableHandbook[],2,FALSE)=0,"",VLOOKUP($A14,TableHandbook[],2,FALSE)),"")</f>
        <v>1</v>
      </c>
      <c r="C14" s="58" t="str">
        <f>IFERROR(IF(VLOOKUP($A14,TableHandbook[],3,FALSE)=0,"",VLOOKUP($A14,TableHandbook[],3,FALSE)),"")</f>
        <v/>
      </c>
      <c r="D14" s="64" t="str">
        <f>IFERROR(IF(VLOOKUP($A14,TableHandbook[],4,FALSE)=0,"",VLOOKUP($A14,TableHandbook[],4,FALSE)),"")</f>
        <v>Entrepreneurial Journalism</v>
      </c>
      <c r="E14" s="56" t="str">
        <f>IF(A14="","",VLOOKUP($D$6,TableStudyPeriods[],3,FALSE))</f>
        <v>Sem2</v>
      </c>
      <c r="F14" s="55" t="str">
        <f>IFERROR(IF(VLOOKUP($A14,TableHandbook[],6,FALSE)=0,"",VLOOKUP($A14,TableHandbook[],6,FALSE)),"")</f>
        <v>None</v>
      </c>
      <c r="G14" s="58">
        <f>IFERROR(IF(VLOOKUP($A14,TableHandbook[],5,FALSE)=0,"",VLOOKUP($A14,TableHandbook[],5,FALSE)),"")</f>
        <v>25</v>
      </c>
      <c r="H14" s="71" t="str">
        <f>IFERROR(VLOOKUP($A14,TableHandbook[],H$2,FALSE),"")</f>
        <v/>
      </c>
      <c r="I14" s="58" t="str">
        <f>IFERROR(VLOOKUP($A14,TableHandbook[],I$2,FALSE),"")</f>
        <v/>
      </c>
      <c r="J14" s="58" t="str">
        <f>IFERROR(VLOOKUP($A14,TableHandbook[],J$2,FALSE),"")</f>
        <v>Y</v>
      </c>
      <c r="K14" s="72" t="str">
        <f>IFERROR(VLOOKUP($A14,TableHandbook[],K$2,FALSE),"")</f>
        <v/>
      </c>
      <c r="L14" s="66"/>
      <c r="M14" s="142">
        <v>6</v>
      </c>
      <c r="N14" s="29"/>
      <c r="O14" s="29"/>
      <c r="P14" s="30"/>
      <c r="Q14" s="30"/>
      <c r="R14" s="30"/>
      <c r="S14" s="30"/>
      <c r="T14" s="30"/>
      <c r="U14" s="30"/>
      <c r="V14" s="30"/>
      <c r="W14" s="30"/>
    </row>
    <row r="15" spans="1:23" s="39" customFormat="1" ht="20.100000000000001" customHeight="1" x14ac:dyDescent="0.15">
      <c r="A15" s="63" t="str">
        <f>IFERROR(IF(HLOOKUP($L$5,RangeMMJRNUnitsets,M15,FALSE)=0,"",HLOOKUP($L$5,RangeMMJRNUnitsets,M15,FALSE)),"")</f>
        <v>JOUR5004</v>
      </c>
      <c r="B15" s="58">
        <f>IFERROR(IF(VLOOKUP($A15,TableHandbook[],2,FALSE)=0,"",VLOOKUP($A15,TableHandbook[],2,FALSE)),"")</f>
        <v>2</v>
      </c>
      <c r="C15" s="58" t="str">
        <f>IFERROR(IF(VLOOKUP($A15,TableHandbook[],3,FALSE)=0,"",VLOOKUP($A15,TableHandbook[],3,FALSE)),"")</f>
        <v/>
      </c>
      <c r="D15" s="64" t="str">
        <f>IFERROR(IF(VLOOKUP($A15,TableHandbook[],4,FALSE)=0,"",VLOOKUP($A15,TableHandbook[],4,FALSE)),"")</f>
        <v>Long Form Journalism</v>
      </c>
      <c r="E15" s="56" t="str">
        <f>IF(A15="","",E14)</f>
        <v>Sem2</v>
      </c>
      <c r="F15" s="55" t="str">
        <f>IFERROR(IF(VLOOKUP($A15,TableHandbook[],6,FALSE)=0,"",VLOOKUP($A15,TableHandbook[],6,FALSE)),"")</f>
        <v>None</v>
      </c>
      <c r="G15" s="58">
        <f>IFERROR(IF(VLOOKUP($A15,TableHandbook[],5,FALSE)=0,"",VLOOKUP($A15,TableHandbook[],5,FALSE)),"")</f>
        <v>25</v>
      </c>
      <c r="H15" s="71" t="str">
        <f>IFERROR(VLOOKUP($A15,TableHandbook[],H$2,FALSE),"")</f>
        <v/>
      </c>
      <c r="I15" s="58" t="str">
        <f>IFERROR(VLOOKUP($A15,TableHandbook[],I$2,FALSE),"")</f>
        <v/>
      </c>
      <c r="J15" s="58" t="str">
        <f>IFERROR(VLOOKUP($A15,TableHandbook[],J$2,FALSE),"")</f>
        <v>Y</v>
      </c>
      <c r="K15" s="72" t="str">
        <f>IFERROR(VLOOKUP($A15,TableHandbook[],K$2,FALSE),"")</f>
        <v/>
      </c>
      <c r="L15" s="66"/>
      <c r="M15" s="142">
        <v>7</v>
      </c>
      <c r="N15" s="37"/>
      <c r="O15" s="37"/>
      <c r="P15" s="38"/>
      <c r="Q15" s="38"/>
      <c r="R15" s="38"/>
      <c r="S15" s="38"/>
      <c r="T15" s="38"/>
      <c r="U15" s="38"/>
      <c r="V15" s="38"/>
      <c r="W15" s="38"/>
    </row>
    <row r="16" spans="1:23" s="39" customFormat="1" ht="20.100000000000001" customHeight="1" x14ac:dyDescent="0.15">
      <c r="A16" s="63" t="str">
        <f>IFERROR(IF(HLOOKUP($L$5,RangeMMJRNUnitsets,M16,FALSE)=0,"",HLOOKUP($L$5,RangeMMJRNUnitsets,M16,FALSE)),"")</f>
        <v>JOUR5000</v>
      </c>
      <c r="B16" s="58">
        <f>IFERROR(IF(VLOOKUP($A16,TableHandbook[],2,FALSE)=0,"",VLOOKUP($A16,TableHandbook[],2,FALSE)),"")</f>
        <v>3</v>
      </c>
      <c r="C16" s="58" t="str">
        <f>IFERROR(IF(VLOOKUP($A16,TableHandbook[],3,FALSE)=0,"",VLOOKUP($A16,TableHandbook[],3,FALSE)),"")</f>
        <v/>
      </c>
      <c r="D16" s="64" t="str">
        <f>IFERROR(IF(VLOOKUP($A16,TableHandbook[],4,FALSE)=0,"",VLOOKUP($A16,TableHandbook[],4,FALSE)),"")</f>
        <v>Ethical Frameworks and Media Law</v>
      </c>
      <c r="E16" s="56" t="str">
        <f t="shared" ref="E16:E17" si="1">IF(A16="","",E15)</f>
        <v>Sem2</v>
      </c>
      <c r="F16" s="55" t="str">
        <f>IFERROR(IF(VLOOKUP($A16,TableHandbook[],6,FALSE)=0,"",VLOOKUP($A16,TableHandbook[],6,FALSE)),"")</f>
        <v>None</v>
      </c>
      <c r="G16" s="58">
        <f>IFERROR(IF(VLOOKUP($A16,TableHandbook[],5,FALSE)=0,"",VLOOKUP($A16,TableHandbook[],5,FALSE)),"")</f>
        <v>25</v>
      </c>
      <c r="H16" s="71" t="str">
        <f>IFERROR(VLOOKUP($A16,TableHandbook[],H$2,FALSE),"")</f>
        <v/>
      </c>
      <c r="I16" s="58" t="str">
        <f>IFERROR(VLOOKUP($A16,TableHandbook[],I$2,FALSE),"")</f>
        <v/>
      </c>
      <c r="J16" s="58" t="str">
        <f>IFERROR(VLOOKUP($A16,TableHandbook[],J$2,FALSE),"")</f>
        <v>Y</v>
      </c>
      <c r="K16" s="72" t="str">
        <f>IFERROR(VLOOKUP($A16,TableHandbook[],K$2,FALSE),"")</f>
        <v/>
      </c>
      <c r="L16" s="66"/>
      <c r="M16" s="142">
        <v>8</v>
      </c>
      <c r="N16" s="37"/>
      <c r="O16" s="37"/>
      <c r="P16" s="38"/>
      <c r="Q16" s="38"/>
      <c r="R16" s="38"/>
      <c r="S16" s="38"/>
      <c r="T16" s="38"/>
      <c r="U16" s="38"/>
      <c r="V16" s="38"/>
      <c r="W16" s="38"/>
    </row>
    <row r="17" spans="1:23" s="39" customFormat="1" ht="20.100000000000001" customHeight="1" x14ac:dyDescent="0.15">
      <c r="A17" s="63" t="str">
        <f>IFERROR(IF(HLOOKUP($L$5,RangeMMJRNUnitsets,M17,FALSE)=0,"",HLOOKUP($L$5,RangeMMJRNUnitsets,M17,FALSE)),"")</f>
        <v>JOUR5010</v>
      </c>
      <c r="B17" s="58">
        <f>IFERROR(IF(VLOOKUP($A17,TableHandbook[],2,FALSE)=0,"",VLOOKUP($A17,TableHandbook[],2,FALSE)),"")</f>
        <v>3</v>
      </c>
      <c r="C17" s="58" t="str">
        <f>IFERROR(IF(VLOOKUP($A17,TableHandbook[],3,FALSE)=0,"",VLOOKUP($A17,TableHandbook[],3,FALSE)),"")</f>
        <v/>
      </c>
      <c r="D17" s="62" t="str">
        <f>IFERROR(IF(VLOOKUP($A17,TableHandbook[],4,FALSE)=0,"",VLOOKUP($A17,TableHandbook[],4,FALSE)),"")</f>
        <v>Audio &amp; Visual News Presentation</v>
      </c>
      <c r="E17" s="58" t="str">
        <f t="shared" si="1"/>
        <v>Sem2</v>
      </c>
      <c r="F17" s="55" t="str">
        <f>IFERROR(IF(VLOOKUP($A17,TableHandbook[],6,FALSE)=0,"",VLOOKUP($A17,TableHandbook[],6,FALSE)),"")</f>
        <v>None</v>
      </c>
      <c r="G17" s="58">
        <f>IFERROR(IF(VLOOKUP($A17,TableHandbook[],5,FALSE)=0,"",VLOOKUP($A17,TableHandbook[],5,FALSE)),"")</f>
        <v>25</v>
      </c>
      <c r="H17" s="71" t="str">
        <f>IFERROR(VLOOKUP($A17,TableHandbook[],H$2,FALSE),"")</f>
        <v/>
      </c>
      <c r="I17" s="58" t="str">
        <f>IFERROR(VLOOKUP($A17,TableHandbook[],I$2,FALSE),"")</f>
        <v/>
      </c>
      <c r="J17" s="58" t="str">
        <f>IFERROR(VLOOKUP($A17,TableHandbook[],J$2,FALSE),"")</f>
        <v>Y</v>
      </c>
      <c r="K17" s="72" t="str">
        <f>IFERROR(VLOOKUP($A17,TableHandbook[],K$2,FALSE),"")</f>
        <v/>
      </c>
      <c r="L17" s="66"/>
      <c r="M17" s="142">
        <v>9</v>
      </c>
      <c r="N17" s="37"/>
      <c r="O17" s="37"/>
      <c r="P17" s="38"/>
      <c r="Q17" s="38"/>
      <c r="R17" s="38"/>
      <c r="S17" s="38"/>
      <c r="T17" s="38"/>
      <c r="U17" s="38"/>
      <c r="V17" s="38"/>
      <c r="W17" s="38"/>
    </row>
    <row r="18" spans="1:23" s="28" customFormat="1" ht="21" x14ac:dyDescent="0.25">
      <c r="A18" s="159" t="s">
        <v>29</v>
      </c>
      <c r="B18" s="159"/>
      <c r="C18" s="159"/>
      <c r="D18" s="160" t="s">
        <v>3</v>
      </c>
      <c r="E18" s="165" t="s">
        <v>21</v>
      </c>
      <c r="F18" s="159" t="s">
        <v>22</v>
      </c>
      <c r="G18" s="159" t="s">
        <v>23</v>
      </c>
      <c r="H18" s="166" t="s">
        <v>24</v>
      </c>
      <c r="I18" s="165" t="s">
        <v>25</v>
      </c>
      <c r="J18" s="165" t="s">
        <v>26</v>
      </c>
      <c r="K18" s="167" t="s">
        <v>27</v>
      </c>
      <c r="L18" s="168" t="s">
        <v>208</v>
      </c>
      <c r="M18" s="141"/>
      <c r="N18" s="26"/>
      <c r="O18" s="26"/>
      <c r="P18" s="27"/>
      <c r="Q18" s="27"/>
      <c r="R18" s="27"/>
      <c r="S18" s="27"/>
      <c r="T18" s="27"/>
      <c r="U18" s="27"/>
      <c r="V18" s="27"/>
      <c r="W18" s="27"/>
    </row>
    <row r="19" spans="1:23" s="31" customFormat="1" ht="20.100000000000001" customHeight="1" x14ac:dyDescent="0.15">
      <c r="A19" s="63" t="str">
        <f>IFERROR(IF(HLOOKUP($L$5,RangeMMJRNUnitsets,M19,FALSE)=0,"",HLOOKUP($L$5,RangeMMJRNUnitsets,M19,FALSE)),"")</f>
        <v>JOUR6004</v>
      </c>
      <c r="B19" s="58">
        <f>IFERROR(IF(VLOOKUP($A19,TableHandbook[],2,FALSE)=0,"",VLOOKUP($A19,TableHandbook[],2,FALSE)),"")</f>
        <v>2</v>
      </c>
      <c r="C19" s="58" t="str">
        <f>IFERROR(IF(VLOOKUP($A19,TableHandbook[],3,FALSE)=0,"",VLOOKUP($A19,TableHandbook[],3,FALSE)),"")</f>
        <v/>
      </c>
      <c r="D19" s="60" t="str">
        <f>IFERROR(IF(VLOOKUP($A19,TableHandbook[],4,FALSE)=0,"",VLOOKUP($A19,TableHandbook[],4,FALSE)),"")</f>
        <v>News Day</v>
      </c>
      <c r="E19" s="58" t="str">
        <f>IF(A19="","",VLOOKUP($D$6,TableStudyPeriods[],2,FALSE))</f>
        <v>Sem1</v>
      </c>
      <c r="F19" s="55" t="str">
        <f>IFERROR(IF(VLOOKUP($A19,TableHandbook[],6,FALSE)=0,"",VLOOKUP($A19,TableHandbook[],6,FALSE)),"")</f>
        <v>JOUR5002 + JOUR5003 + JOUR5005</v>
      </c>
      <c r="G19" s="56">
        <f>IFERROR(IF(VLOOKUP($A19,TableHandbook[],5,FALSE)=0,"",VLOOKUP($A19,TableHandbook[],5,FALSE)),"")</f>
        <v>25</v>
      </c>
      <c r="H19" s="67" t="str">
        <f>IFERROR(VLOOKUP($A19,TableHandbook[],H$2,FALSE),"")</f>
        <v>Y</v>
      </c>
      <c r="I19" s="56" t="str">
        <f>IFERROR(VLOOKUP($A19,TableHandbook[],I$2,FALSE),"")</f>
        <v/>
      </c>
      <c r="J19" s="56" t="str">
        <f>IFERROR(VLOOKUP($A19,TableHandbook[],J$2,FALSE),"")</f>
        <v>Y</v>
      </c>
      <c r="K19" s="68" t="str">
        <f>IFERROR(VLOOKUP($A19,TableHandbook[],K$2,FALSE),"")</f>
        <v/>
      </c>
      <c r="L19" s="65"/>
      <c r="M19" s="142">
        <v>10</v>
      </c>
      <c r="N19" s="29"/>
      <c r="O19" s="29"/>
      <c r="P19" s="30"/>
      <c r="Q19" s="30"/>
      <c r="R19" s="30"/>
      <c r="S19" s="30"/>
      <c r="T19" s="30"/>
      <c r="U19" s="30"/>
      <c r="V19" s="30"/>
      <c r="W19" s="30"/>
    </row>
    <row r="20" spans="1:23" s="31" customFormat="1" ht="20.100000000000001" customHeight="1" x14ac:dyDescent="0.15">
      <c r="A20" s="63" t="str">
        <f>IFERROR(IF(HLOOKUP($L$5,RangeMMJRNUnitsets,M20,FALSE)=0,"",HLOOKUP($L$5,RangeMMJRNUnitsets,M20,FALSE)),"")</f>
        <v>AC-MMJRN</v>
      </c>
      <c r="B20" s="58" t="str">
        <f>IFERROR(IF(VLOOKUP($A20,TableHandbook[],2,FALSE)=0,"",VLOOKUP($A20,TableHandbook[],2,FALSE)),"")</f>
        <v/>
      </c>
      <c r="C20" s="58" t="str">
        <f>IFERROR(IF(VLOOKUP($A20,TableHandbook[],3,FALSE)=0,"",VLOOKUP($A20,TableHandbook[],3,FALSE)),"")</f>
        <v/>
      </c>
      <c r="D20" s="62" t="str">
        <f>IFERROR(IF(VLOOKUP($A20,TableHandbook[],4,FALSE)=0,"",VLOOKUP($A20,TableHandbook[],4,FALSE)),"")</f>
        <v>Study either JOUR5006 or NETS5004 (see below)</v>
      </c>
      <c r="E20" s="58" t="str">
        <f>IF(A20="","",E19)</f>
        <v>Sem1</v>
      </c>
      <c r="F20" s="55" t="str">
        <f>IFERROR(IF(VLOOKUP($A20,TableHandbook[],6,FALSE)=0,"",VLOOKUP($A20,TableHandbook[],6,FALSE)),"")</f>
        <v>See below</v>
      </c>
      <c r="G20" s="56">
        <f>IFERROR(IF(VLOOKUP($A20,TableHandbook[],5,FALSE)=0,"",VLOOKUP($A20,TableHandbook[],5,FALSE)),"")</f>
        <v>25</v>
      </c>
      <c r="H20" s="67" t="str">
        <f>IFERROR(VLOOKUP($A20,TableHandbook[],H$2,FALSE),"")</f>
        <v/>
      </c>
      <c r="I20" s="56" t="str">
        <f>IFERROR(VLOOKUP($A20,TableHandbook[],I$2,FALSE),"")</f>
        <v/>
      </c>
      <c r="J20" s="56" t="str">
        <f>IFERROR(VLOOKUP($A20,TableHandbook[],J$2,FALSE),"")</f>
        <v/>
      </c>
      <c r="K20" s="68" t="str">
        <f>IFERROR(VLOOKUP($A20,TableHandbook[],K$2,FALSE),"")</f>
        <v/>
      </c>
      <c r="L20" s="65"/>
      <c r="M20" s="142">
        <v>11</v>
      </c>
      <c r="N20" s="29"/>
      <c r="O20" s="29"/>
      <c r="P20" s="30"/>
      <c r="Q20" s="30"/>
      <c r="R20" s="30"/>
      <c r="S20" s="30"/>
      <c r="T20" s="30"/>
      <c r="U20" s="30"/>
      <c r="V20" s="30"/>
      <c r="W20" s="30"/>
    </row>
    <row r="21" spans="1:23" s="31" customFormat="1" ht="20.100000000000001" customHeight="1" x14ac:dyDescent="0.15">
      <c r="A21" s="63" t="str">
        <f>IFERROR(IF(HLOOKUP($L$5,RangeMMJRNUnitsets,M21,FALSE)=0,"",HLOOKUP($L$5,RangeMMJRNUnitsets,M21,FALSE)),"")</f>
        <v>COMS6004</v>
      </c>
      <c r="B21" s="58">
        <f>IFERROR(IF(VLOOKUP($A21,TableHandbook[],2,FALSE)=0,"",VLOOKUP($A21,TableHandbook[],2,FALSE)),"")</f>
        <v>2</v>
      </c>
      <c r="C21" s="58" t="str">
        <f>IFERROR(IF(VLOOKUP($A21,TableHandbook[],3,FALSE)=0,"",VLOOKUP($A21,TableHandbook[],3,FALSE)),"")</f>
        <v/>
      </c>
      <c r="D21" s="62" t="str">
        <f>IFERROR(IF(VLOOKUP($A21,TableHandbook[],4,FALSE)=0,"",VLOOKUP($A21,TableHandbook[],4,FALSE)),"")</f>
        <v>Masters Professional or Creative Project</v>
      </c>
      <c r="E21" s="58" t="str">
        <f t="shared" ref="E21:E22" si="2">IF(A21="","",E20)</f>
        <v>Sem1</v>
      </c>
      <c r="F21" s="55" t="str">
        <f>IFERROR(IF(VLOOKUP($A21,TableHandbook[],6,FALSE)=0,"",VLOOKUP($A21,TableHandbook[],6,FALSE)),"")</f>
        <v>Course specific - See Handbook</v>
      </c>
      <c r="G21" s="56">
        <f>IFERROR(IF(VLOOKUP($A21,TableHandbook[],5,FALSE)=0,"",VLOOKUP($A21,TableHandbook[],5,FALSE)),"")</f>
        <v>50</v>
      </c>
      <c r="H21" s="67" t="str">
        <f>IFERROR(VLOOKUP($A21,TableHandbook[],H$2,FALSE),"")</f>
        <v>Y</v>
      </c>
      <c r="I21" s="56" t="str">
        <f>IFERROR(VLOOKUP($A21,TableHandbook[],I$2,FALSE),"")</f>
        <v>Y</v>
      </c>
      <c r="J21" s="56" t="str">
        <f>IFERROR(VLOOKUP($A21,TableHandbook[],J$2,FALSE),"")</f>
        <v>Y</v>
      </c>
      <c r="K21" s="68" t="str">
        <f>IFERROR(VLOOKUP($A21,TableHandbook[],K$2,FALSE),"")</f>
        <v>Y</v>
      </c>
      <c r="L21" s="65"/>
      <c r="M21" s="142">
        <v>12</v>
      </c>
      <c r="N21" s="29"/>
      <c r="O21" s="29"/>
      <c r="P21" s="30"/>
      <c r="Q21" s="30"/>
      <c r="R21" s="30"/>
      <c r="S21" s="30"/>
      <c r="T21" s="30"/>
      <c r="U21" s="30"/>
      <c r="V21" s="30"/>
      <c r="W21" s="30"/>
    </row>
    <row r="22" spans="1:23" s="31" customFormat="1" ht="20.100000000000001" customHeight="1" x14ac:dyDescent="0.15">
      <c r="A22" s="63" t="str">
        <f>IFERROR(IF(HLOOKUP($L$5,RangeMMJRNUnitsets,M22,FALSE)=0,"",HLOOKUP($L$5,RangeMMJRNUnitsets,M22,FALSE)),"")</f>
        <v>-</v>
      </c>
      <c r="B22" s="58" t="str">
        <f>IFERROR(IF(VLOOKUP($A22,TableHandbook[],2,FALSE)=0,"",VLOOKUP($A22,TableHandbook[],2,FALSE)),"")</f>
        <v/>
      </c>
      <c r="C22" s="58" t="str">
        <f>IFERROR(IF(VLOOKUP($A22,TableHandbook[],3,FALSE)=0,"",VLOOKUP($A22,TableHandbook[],3,FALSE)),"")</f>
        <v/>
      </c>
      <c r="D22" s="62" t="str">
        <f>IFERROR(IF(VLOOKUP($A22,TableHandbook[],4,FALSE)=0,"",VLOOKUP($A22,TableHandbook[],4,FALSE)),"")</f>
        <v>Please note this is a 50CP Unit</v>
      </c>
      <c r="E22" s="58" t="str">
        <f t="shared" si="2"/>
        <v>Sem1</v>
      </c>
      <c r="F22" s="55" t="str">
        <f>IFERROR(IF(VLOOKUP($A22,TableHandbook[],6,FALSE)=0,"",VLOOKUP($A22,TableHandbook[],6,FALSE)),"")</f>
        <v/>
      </c>
      <c r="G22" s="56" t="str">
        <f>IFERROR(IF(VLOOKUP($A22,TableHandbook[],5,FALSE)=0,"",VLOOKUP($A22,TableHandbook[],5,FALSE)),"")</f>
        <v/>
      </c>
      <c r="H22" s="67" t="str">
        <f>IFERROR(VLOOKUP($A22,TableHandbook[],H$2,FALSE),"")</f>
        <v/>
      </c>
      <c r="I22" s="56" t="str">
        <f>IFERROR(VLOOKUP($A22,TableHandbook[],I$2,FALSE),"")</f>
        <v/>
      </c>
      <c r="J22" s="56" t="str">
        <f>IFERROR(VLOOKUP($A22,TableHandbook[],J$2,FALSE),"")</f>
        <v/>
      </c>
      <c r="K22" s="68" t="str">
        <f>IFERROR(VLOOKUP($A22,TableHandbook[],K$2,FALSE),"")</f>
        <v/>
      </c>
      <c r="L22" s="65"/>
      <c r="M22" s="142">
        <v>13</v>
      </c>
      <c r="N22" s="29"/>
      <c r="O22" s="29"/>
      <c r="P22" s="30"/>
      <c r="Q22" s="30"/>
      <c r="R22" s="30"/>
      <c r="S22" s="30"/>
      <c r="T22" s="30"/>
      <c r="U22" s="30"/>
      <c r="V22" s="30"/>
      <c r="W22" s="30"/>
    </row>
    <row r="23" spans="1:23" s="31" customFormat="1" ht="5.0999999999999996" customHeight="1" x14ac:dyDescent="0.15">
      <c r="A23" s="32"/>
      <c r="B23" s="33"/>
      <c r="C23" s="33"/>
      <c r="D23" s="34"/>
      <c r="E23" s="33"/>
      <c r="F23" s="35"/>
      <c r="G23" s="33"/>
      <c r="H23" s="69"/>
      <c r="I23" s="33"/>
      <c r="J23" s="33"/>
      <c r="K23" s="70"/>
      <c r="L23" s="36"/>
      <c r="M23" s="142"/>
      <c r="N23" s="29"/>
      <c r="O23" s="29"/>
      <c r="P23" s="29"/>
      <c r="Q23" s="30"/>
      <c r="R23" s="30"/>
      <c r="S23" s="30"/>
      <c r="T23" s="30"/>
      <c r="U23" s="30"/>
      <c r="V23" s="30"/>
      <c r="W23" s="30"/>
    </row>
    <row r="24" spans="1:23" s="31" customFormat="1" ht="20.100000000000001" customHeight="1" x14ac:dyDescent="0.15">
      <c r="A24" s="63" t="str">
        <f>IFERROR(IF(HLOOKUP($L$5,RangeMMJRNUnitsets,M24,FALSE)=0,"",HLOOKUP($L$5,RangeMMJRNUnitsets,M24,FALSE)),"")</f>
        <v/>
      </c>
      <c r="B24" s="58" t="str">
        <f>IFERROR(IF(VLOOKUP($A24,TableHandbook[],2,FALSE)=0,"",VLOOKUP($A24,TableHandbook[],2,FALSE)),"")</f>
        <v/>
      </c>
      <c r="C24" s="58" t="str">
        <f>IFERROR(IF(VLOOKUP($A24,TableHandbook[],3,FALSE)=0,"",VLOOKUP($A24,TableHandbook[],3,FALSE)),"")</f>
        <v/>
      </c>
      <c r="D24" s="62" t="str">
        <f>IFERROR(IF(VLOOKUP($A24,TableHandbook[],4,FALSE)=0,"",VLOOKUP($A24,TableHandbook[],4,FALSE)),"")</f>
        <v/>
      </c>
      <c r="E24" s="58" t="str">
        <f>IF(A24="","",VLOOKUP($D$6,TableStudyPeriods[],3,FALSE))</f>
        <v/>
      </c>
      <c r="F24" s="55" t="str">
        <f>IFERROR(IF(VLOOKUP($A24,TableHandbook[],6,FALSE)=0,"",VLOOKUP($A24,TableHandbook[],6,FALSE)),"")</f>
        <v/>
      </c>
      <c r="G24" s="56" t="str">
        <f>IFERROR(IF(VLOOKUP($A24,TableHandbook[],5,FALSE)=0,"",VLOOKUP($A24,TableHandbook[],5,FALSE)),"")</f>
        <v/>
      </c>
      <c r="H24" s="67" t="str">
        <f>IFERROR(VLOOKUP($A24,TableHandbook[],H$2,FALSE),"")</f>
        <v/>
      </c>
      <c r="I24" s="56" t="str">
        <f>IFERROR(VLOOKUP($A24,TableHandbook[],I$2,FALSE),"")</f>
        <v/>
      </c>
      <c r="J24" s="56" t="str">
        <f>IFERROR(VLOOKUP($A24,TableHandbook[],J$2,FALSE),"")</f>
        <v/>
      </c>
      <c r="K24" s="68" t="str">
        <f>IFERROR(VLOOKUP($A24,TableHandbook[],K$2,FALSE),"")</f>
        <v/>
      </c>
      <c r="L24" s="65"/>
      <c r="M24" s="142">
        <v>14</v>
      </c>
      <c r="N24" s="29"/>
      <c r="O24" s="29"/>
      <c r="P24" s="30"/>
      <c r="Q24" s="30"/>
      <c r="R24" s="30"/>
      <c r="S24" s="30"/>
      <c r="T24" s="30"/>
      <c r="U24" s="30"/>
      <c r="V24" s="30"/>
      <c r="W24" s="30"/>
    </row>
    <row r="25" spans="1:23" s="31" customFormat="1" ht="20.100000000000001" customHeight="1" x14ac:dyDescent="0.15">
      <c r="A25" s="63" t="str">
        <f>IFERROR(IF(HLOOKUP($L$5,RangeMMJRNUnitsets,M25,FALSE)=0,"",HLOOKUP($L$5,RangeMMJRNUnitsets,M25,FALSE)),"")</f>
        <v/>
      </c>
      <c r="B25" s="58" t="str">
        <f>IFERROR(IF(VLOOKUP($A25,TableHandbook[],2,FALSE)=0,"",VLOOKUP($A25,TableHandbook[],2,FALSE)),"")</f>
        <v/>
      </c>
      <c r="C25" s="58" t="str">
        <f>IFERROR(IF(VLOOKUP($A25,TableHandbook[],3,FALSE)=0,"",VLOOKUP($A25,TableHandbook[],3,FALSE)),"")</f>
        <v/>
      </c>
      <c r="D25" s="62" t="str">
        <f>IFERROR(IF(VLOOKUP($A25,TableHandbook[],4,FALSE)=0,"",VLOOKUP($A25,TableHandbook[],4,FALSE)),"")</f>
        <v/>
      </c>
      <c r="E25" s="58" t="str">
        <f>IF(A25="","",E24)</f>
        <v/>
      </c>
      <c r="F25" s="55" t="str">
        <f>IFERROR(IF(VLOOKUP($A25,TableHandbook[],6,FALSE)=0,"",VLOOKUP($A25,TableHandbook[],6,FALSE)),"")</f>
        <v/>
      </c>
      <c r="G25" s="56" t="str">
        <f>IFERROR(IF(VLOOKUP($A25,TableHandbook[],5,FALSE)=0,"",VLOOKUP($A25,TableHandbook[],5,FALSE)),"")</f>
        <v/>
      </c>
      <c r="H25" s="67" t="str">
        <f>IFERROR(VLOOKUP($A25,TableHandbook[],H$2,FALSE),"")</f>
        <v/>
      </c>
      <c r="I25" s="56" t="str">
        <f>IFERROR(VLOOKUP($A25,TableHandbook[],I$2,FALSE),"")</f>
        <v/>
      </c>
      <c r="J25" s="56" t="str">
        <f>IFERROR(VLOOKUP($A25,TableHandbook[],J$2,FALSE),"")</f>
        <v/>
      </c>
      <c r="K25" s="68" t="str">
        <f>IFERROR(VLOOKUP($A25,TableHandbook[],K$2,FALSE),"")</f>
        <v/>
      </c>
      <c r="L25" s="65"/>
      <c r="M25" s="142">
        <v>15</v>
      </c>
      <c r="N25" s="29"/>
      <c r="O25" s="29"/>
      <c r="P25" s="30"/>
      <c r="Q25" s="30"/>
      <c r="R25" s="30"/>
      <c r="S25" s="30"/>
      <c r="T25" s="30"/>
      <c r="U25" s="30"/>
      <c r="V25" s="30"/>
      <c r="W25" s="30"/>
    </row>
    <row r="26" spans="1:23" s="39" customFormat="1" ht="20.100000000000001" customHeight="1" x14ac:dyDescent="0.15">
      <c r="A26" s="63" t="str">
        <f>IFERROR(IF(HLOOKUP($L$5,RangeMMJRNUnitsets,M26,FALSE)=0,"",HLOOKUP($L$5,RangeMMJRNUnitsets,M26,FALSE)),"")</f>
        <v/>
      </c>
      <c r="B26" s="58" t="str">
        <f>IFERROR(IF(VLOOKUP($A26,TableHandbook[],2,FALSE)=0,"",VLOOKUP($A26,TableHandbook[],2,FALSE)),"")</f>
        <v/>
      </c>
      <c r="C26" s="58" t="str">
        <f>IFERROR(IF(VLOOKUP($A26,TableHandbook[],3,FALSE)=0,"",VLOOKUP($A26,TableHandbook[],3,FALSE)),"")</f>
        <v/>
      </c>
      <c r="D26" s="62" t="str">
        <f>IFERROR(IF(VLOOKUP($A26,TableHandbook[],4,FALSE)=0,"",VLOOKUP($A26,TableHandbook[],4,FALSE)),"")</f>
        <v/>
      </c>
      <c r="E26" s="58" t="str">
        <f t="shared" ref="E26:E27" si="3">IF(A26="","",E25)</f>
        <v/>
      </c>
      <c r="F26" s="55" t="str">
        <f>IFERROR(IF(VLOOKUP($A26,TableHandbook[],6,FALSE)=0,"",VLOOKUP($A26,TableHandbook[],6,FALSE)),"")</f>
        <v/>
      </c>
      <c r="G26" s="56" t="str">
        <f>IFERROR(IF(VLOOKUP($A26,TableHandbook[],5,FALSE)=0,"",VLOOKUP($A26,TableHandbook[],5,FALSE)),"")</f>
        <v/>
      </c>
      <c r="H26" s="67" t="str">
        <f>IFERROR(VLOOKUP($A26,TableHandbook[],H$2,FALSE),"")</f>
        <v/>
      </c>
      <c r="I26" s="56" t="str">
        <f>IFERROR(VLOOKUP($A26,TableHandbook[],I$2,FALSE),"")</f>
        <v/>
      </c>
      <c r="J26" s="56" t="str">
        <f>IFERROR(VLOOKUP($A26,TableHandbook[],J$2,FALSE),"")</f>
        <v/>
      </c>
      <c r="K26" s="68" t="str">
        <f>IFERROR(VLOOKUP($A26,TableHandbook[],K$2,FALSE),"")</f>
        <v/>
      </c>
      <c r="L26" s="65"/>
      <c r="M26" s="142">
        <v>16</v>
      </c>
      <c r="N26" s="37"/>
      <c r="O26" s="37"/>
      <c r="P26" s="38"/>
      <c r="Q26" s="38"/>
      <c r="R26" s="38"/>
      <c r="S26" s="38"/>
      <c r="T26" s="38"/>
      <c r="U26" s="38"/>
      <c r="V26" s="38"/>
      <c r="W26" s="38"/>
    </row>
    <row r="27" spans="1:23" s="39" customFormat="1" ht="20.100000000000001" customHeight="1" x14ac:dyDescent="0.15">
      <c r="A27" s="63" t="str">
        <f>IFERROR(IF(HLOOKUP($L$5,RangeMMJRNUnitsets,M27,FALSE)=0,"",HLOOKUP($L$5,RangeMMJRNUnitsets,M27,FALSE)),"")</f>
        <v/>
      </c>
      <c r="B27" s="58" t="str">
        <f>IFERROR(IF(VLOOKUP($A27,TableHandbook[],2,FALSE)=0,"",VLOOKUP($A27,TableHandbook[],2,FALSE)),"")</f>
        <v/>
      </c>
      <c r="C27" s="58" t="str">
        <f>IFERROR(IF(VLOOKUP($A27,TableHandbook[],3,FALSE)=0,"",VLOOKUP($A27,TableHandbook[],3,FALSE)),"")</f>
        <v/>
      </c>
      <c r="D27" s="62" t="str">
        <f>IFERROR(IF(VLOOKUP($A27,TableHandbook[],4,FALSE)=0,"",VLOOKUP($A27,TableHandbook[],4,FALSE)),"")</f>
        <v/>
      </c>
      <c r="E27" s="56" t="str">
        <f t="shared" si="3"/>
        <v/>
      </c>
      <c r="F27" s="55" t="str">
        <f>IFERROR(IF(VLOOKUP($A27,TableHandbook[],6,FALSE)=0,"",VLOOKUP($A27,TableHandbook[],6,FALSE)),"")</f>
        <v/>
      </c>
      <c r="G27" s="56"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65"/>
      <c r="M27" s="142">
        <v>17</v>
      </c>
      <c r="N27" s="37"/>
      <c r="O27" s="37"/>
      <c r="P27" s="38"/>
      <c r="Q27" s="38"/>
      <c r="R27" s="38"/>
      <c r="S27" s="38"/>
      <c r="T27" s="38"/>
      <c r="U27" s="38"/>
      <c r="V27" s="38"/>
      <c r="W27" s="38"/>
    </row>
    <row r="28" spans="1:23" s="39" customFormat="1" ht="20.100000000000001" customHeight="1" x14ac:dyDescent="0.15">
      <c r="A28" s="148"/>
      <c r="B28" s="149"/>
      <c r="C28" s="149"/>
      <c r="D28" s="173"/>
      <c r="E28" s="148"/>
      <c r="F28" s="174"/>
      <c r="G28" s="148"/>
      <c r="H28" s="148"/>
      <c r="I28" s="148"/>
      <c r="J28" s="148"/>
      <c r="K28" s="148"/>
      <c r="L28" s="175"/>
      <c r="M28" s="142"/>
      <c r="N28" s="37"/>
      <c r="O28" s="37"/>
      <c r="P28" s="38"/>
      <c r="Q28" s="38"/>
      <c r="R28" s="38"/>
      <c r="S28" s="38"/>
      <c r="T28" s="38"/>
      <c r="U28" s="38"/>
      <c r="V28" s="38"/>
      <c r="W28" s="38"/>
    </row>
    <row r="29" spans="1:23" ht="20.25" x14ac:dyDescent="0.25">
      <c r="A29" s="203" t="s">
        <v>209</v>
      </c>
      <c r="B29" s="150"/>
      <c r="C29" s="150"/>
      <c r="D29" s="151"/>
      <c r="E29" s="152"/>
      <c r="F29" s="152"/>
      <c r="G29" s="152"/>
      <c r="H29" s="202" t="s">
        <v>19</v>
      </c>
      <c r="I29" s="153"/>
      <c r="J29" s="154"/>
      <c r="K29" s="155"/>
      <c r="L29" s="204" t="str">
        <f>VLOOKUP(D5,TableCourses[],2,FALSE)</f>
        <v>MC-MMJRN</v>
      </c>
      <c r="M29" s="144"/>
      <c r="N29" s="25"/>
      <c r="O29" s="25"/>
      <c r="P29" s="25"/>
      <c r="Q29" s="25"/>
      <c r="R29" s="25"/>
      <c r="S29" s="25"/>
      <c r="T29" s="25"/>
      <c r="U29" s="25"/>
      <c r="V29" s="25"/>
      <c r="W29" s="25"/>
    </row>
    <row r="30" spans="1:23" s="48" customFormat="1" ht="21" x14ac:dyDescent="0.25">
      <c r="A30" s="159"/>
      <c r="B30" s="159"/>
      <c r="C30" s="159"/>
      <c r="D30" s="160" t="s">
        <v>3</v>
      </c>
      <c r="E30" s="165"/>
      <c r="F30" s="159" t="s">
        <v>22</v>
      </c>
      <c r="G30" s="159" t="s">
        <v>23</v>
      </c>
      <c r="H30" s="166" t="s">
        <v>24</v>
      </c>
      <c r="I30" s="165" t="s">
        <v>25</v>
      </c>
      <c r="J30" s="165" t="s">
        <v>26</v>
      </c>
      <c r="K30" s="167" t="s">
        <v>27</v>
      </c>
      <c r="L30" s="168" t="s">
        <v>208</v>
      </c>
      <c r="M30" s="144"/>
      <c r="N30" s="47"/>
      <c r="O30" s="47"/>
      <c r="P30" s="47"/>
      <c r="Q30" s="47"/>
      <c r="R30" s="47"/>
      <c r="S30" s="47"/>
      <c r="T30" s="47"/>
      <c r="U30" s="47"/>
      <c r="V30" s="47"/>
      <c r="W30" s="47"/>
    </row>
    <row r="31" spans="1:23" x14ac:dyDescent="0.25">
      <c r="A31" s="199" t="str">
        <f t="shared" ref="A31:A34" si="4">IFERROR(IF(HLOOKUP($L$29,RangeMMJRNOptions,$M31,FALSE)=0,"",HLOOKUP($L$29,RangeMMJRNOptions,$M31,FALSE)),"")</f>
        <v>AC-MMJRN</v>
      </c>
      <c r="B31" s="125" t="str">
        <f>IFERROR(IF(VLOOKUP($A31,TableHandbook[],2,FALSE)=0,"",VLOOKUP($A31,TableHandbook[],2,FALSE)),"")</f>
        <v/>
      </c>
      <c r="C31" s="125" t="str">
        <f>IFERROR(IF(VLOOKUP($A31,TableHandbook[],3,FALSE)=0,"",VLOOKUP($A31,TableHandbook[],3,FALSE)),"")</f>
        <v/>
      </c>
      <c r="D31" s="49" t="str">
        <f>IFERROR(IF(VLOOKUP($A31,TableHandbook[],4,FALSE)=0,"",VLOOKUP($A31,TableHandbook[],4,FALSE)),"")</f>
        <v>Study either JOUR5006 or NETS5004 (see below)</v>
      </c>
      <c r="E31" s="50"/>
      <c r="F31" s="51" t="str">
        <f>IFERROR(IF(VLOOKUP($A31,TableHandbook[],6,FALSE)=0,"",VLOOKUP($A31,TableHandbook[],6,FALSE)),"")</f>
        <v>See below</v>
      </c>
      <c r="G31" s="51">
        <f>IFERROR(IF(VLOOKUP($A31,TableHandbook[],5,FALSE)=0,"",VLOOKUP($A31,TableHandbook[],5,FALSE)),"")</f>
        <v>25</v>
      </c>
      <c r="H31" s="67" t="str">
        <f>IFERROR(VLOOKUP($A31,TableHandbook[],H$2,FALSE),"")</f>
        <v/>
      </c>
      <c r="I31" s="56" t="str">
        <f>IFERROR(VLOOKUP($A31,TableHandbook[],I$2,FALSE),"")</f>
        <v/>
      </c>
      <c r="J31" s="56" t="str">
        <f>IFERROR(VLOOKUP($A31,TableHandbook[],J$2,FALSE),"")</f>
        <v/>
      </c>
      <c r="K31" s="68" t="str">
        <f>IFERROR(VLOOKUP($A31,TableHandbook[],K$2,FALSE),"")</f>
        <v/>
      </c>
      <c r="L31" s="57"/>
      <c r="M31" s="142">
        <v>2</v>
      </c>
      <c r="N31" s="25"/>
      <c r="O31" s="25"/>
      <c r="P31" s="25"/>
      <c r="Q31" s="25"/>
      <c r="R31" s="25"/>
      <c r="S31" s="25"/>
      <c r="T31" s="25"/>
      <c r="U31" s="25"/>
      <c r="V31" s="25"/>
      <c r="W31" s="25"/>
    </row>
    <row r="32" spans="1:23" x14ac:dyDescent="0.25">
      <c r="A32" s="199" t="str">
        <f t="shared" si="4"/>
        <v>JOUR5006</v>
      </c>
      <c r="B32" s="125">
        <f>IFERROR(IF(VLOOKUP($A32,TableHandbook[],2,FALSE)=0,"",VLOOKUP($A32,TableHandbook[],2,FALSE)),"")</f>
        <v>3</v>
      </c>
      <c r="C32" s="125" t="str">
        <f>IFERROR(IF(VLOOKUP($A32,TableHandbook[],3,FALSE)=0,"",VLOOKUP($A32,TableHandbook[],3,FALSE)),"")</f>
        <v/>
      </c>
      <c r="D32" s="49" t="str">
        <f>IFERROR(IF(VLOOKUP($A32,TableHandbook[],4,FALSE)=0,"",VLOOKUP($A32,TableHandbook[],4,FALSE)),"")</f>
        <v>News Internship</v>
      </c>
      <c r="E32" s="50"/>
      <c r="F32" s="51" t="str">
        <f>IFERROR(IF(VLOOKUP($A32,TableHandbook[],6,FALSE)=0,"",VLOOKUP($A32,TableHandbook[],6,FALSE)),"")</f>
        <v>JOUR5000 + JOUR5002 + JOUR5003</v>
      </c>
      <c r="G32" s="51">
        <f>IFERROR(IF(VLOOKUP($A32,TableHandbook[],5,FALSE)=0,"",VLOOKUP($A32,TableHandbook[],5,FALSE)),"")</f>
        <v>25</v>
      </c>
      <c r="H32" s="67" t="str">
        <f>IFERROR(VLOOKUP($A32,TableHandbook[],H$2,FALSE),"")</f>
        <v>Y</v>
      </c>
      <c r="I32" s="56" t="str">
        <f>IFERROR(VLOOKUP($A32,TableHandbook[],I$2,FALSE),"")</f>
        <v/>
      </c>
      <c r="J32" s="56" t="str">
        <f>IFERROR(VLOOKUP($A32,TableHandbook[],J$2,FALSE),"")</f>
        <v/>
      </c>
      <c r="K32" s="68" t="str">
        <f>IFERROR(VLOOKUP($A32,TableHandbook[],K$2,FALSE),"")</f>
        <v/>
      </c>
      <c r="L32" s="57"/>
      <c r="M32" s="142">
        <v>3</v>
      </c>
      <c r="N32" s="25"/>
      <c r="O32" s="25"/>
      <c r="P32" s="25"/>
      <c r="Q32" s="25"/>
      <c r="R32" s="25"/>
      <c r="S32" s="25"/>
      <c r="T32" s="25"/>
      <c r="U32" s="25"/>
      <c r="V32" s="25"/>
      <c r="W32" s="25"/>
    </row>
    <row r="33" spans="1:23" x14ac:dyDescent="0.25">
      <c r="A33" s="199" t="str">
        <f t="shared" si="4"/>
        <v>NETS5004</v>
      </c>
      <c r="B33" s="125">
        <f>IFERROR(IF(VLOOKUP($A33,TableHandbook[],2,FALSE)=0,"",VLOOKUP($A33,TableHandbook[],2,FALSE)),"")</f>
        <v>2</v>
      </c>
      <c r="C33" s="125" t="str">
        <f>IFERROR(IF(VLOOKUP($A33,TableHandbook[],3,FALSE)=0,"",VLOOKUP($A33,TableHandbook[],3,FALSE)),"")</f>
        <v/>
      </c>
      <c r="D33" s="49" t="str">
        <f>IFERROR(IF(VLOOKUP($A33,TableHandbook[],4,FALSE)=0,"",VLOOKUP($A33,TableHandbook[],4,FALSE)),"")</f>
        <v>Social Media, Communities and Networks</v>
      </c>
      <c r="E33" s="50"/>
      <c r="F33" s="51" t="str">
        <f>IFERROR(IF(VLOOKUP($A33,TableHandbook[],6,FALSE)=0,"",VLOOKUP($A33,TableHandbook[],6,FALSE)),"")</f>
        <v>None</v>
      </c>
      <c r="G33" s="51">
        <f>IFERROR(IF(VLOOKUP($A33,TableHandbook[],5,FALSE)=0,"",VLOOKUP($A33,TableHandbook[],5,FALSE)),"")</f>
        <v>25</v>
      </c>
      <c r="H33" s="67" t="str">
        <f>IFERROR(VLOOKUP($A33,TableHandbook[],H$2,FALSE),"")</f>
        <v>Y</v>
      </c>
      <c r="I33" s="56" t="str">
        <f>IFERROR(VLOOKUP($A33,TableHandbook[],I$2,FALSE),"")</f>
        <v>Y</v>
      </c>
      <c r="J33" s="56" t="str">
        <f>IFERROR(VLOOKUP($A33,TableHandbook[],J$2,FALSE),"")</f>
        <v/>
      </c>
      <c r="K33" s="68" t="str">
        <f>IFERROR(VLOOKUP($A33,TableHandbook[],K$2,FALSE),"")</f>
        <v/>
      </c>
      <c r="L33" s="57"/>
      <c r="M33" s="142">
        <v>4</v>
      </c>
      <c r="N33" s="25"/>
      <c r="O33" s="25"/>
      <c r="P33" s="25"/>
      <c r="Q33" s="25"/>
      <c r="R33" s="25"/>
      <c r="S33" s="25"/>
      <c r="T33" s="25"/>
      <c r="U33" s="25"/>
      <c r="V33" s="25"/>
      <c r="W33" s="25"/>
    </row>
    <row r="34" spans="1:23" x14ac:dyDescent="0.25">
      <c r="A34" s="199" t="str">
        <f t="shared" si="4"/>
        <v/>
      </c>
      <c r="B34" s="125" t="str">
        <f>IFERROR(IF(VLOOKUP($A34,TableHandbook[],2,FALSE)=0,"",VLOOKUP($A34,TableHandbook[],2,FALSE)),"")</f>
        <v/>
      </c>
      <c r="C34" s="125" t="str">
        <f>IFERROR(IF(VLOOKUP($A34,TableHandbook[],3,FALSE)=0,"",VLOOKUP($A34,TableHandbook[],3,FALSE)),"")</f>
        <v/>
      </c>
      <c r="D34" s="49" t="str">
        <f>IFERROR(IF(VLOOKUP($A34,TableHandbook[],4,FALSE)=0,"",VLOOKUP($A34,TableHandbook[],4,FALSE)),"")</f>
        <v/>
      </c>
      <c r="E34" s="50"/>
      <c r="F34" s="51" t="str">
        <f>IFERROR(IF(VLOOKUP($A34,TableHandbook[],6,FALSE)=0,"",VLOOKUP($A34,TableHandbook[],6,FALSE)),"")</f>
        <v/>
      </c>
      <c r="G34" s="51" t="str">
        <f>IFERROR(IF(VLOOKUP($A34,TableHandbook[],5,FALSE)=0,"",VLOOKUP($A34,TableHandbook[],5,FALSE)),"")</f>
        <v/>
      </c>
      <c r="H34" s="67" t="str">
        <f>IFERROR(VLOOKUP($A34,TableHandbook[],H$2,FALSE),"")</f>
        <v/>
      </c>
      <c r="I34" s="56" t="str">
        <f>IFERROR(VLOOKUP($A34,TableHandbook[],I$2,FALSE),"")</f>
        <v/>
      </c>
      <c r="J34" s="56" t="str">
        <f>IFERROR(VLOOKUP($A34,TableHandbook[],J$2,FALSE),"")</f>
        <v/>
      </c>
      <c r="K34" s="68" t="str">
        <f>IFERROR(VLOOKUP($A34,TableHandbook[],K$2,FALSE),"")</f>
        <v/>
      </c>
      <c r="L34" s="57"/>
      <c r="M34" s="142">
        <v>5</v>
      </c>
      <c r="N34" s="25"/>
      <c r="O34" s="25"/>
      <c r="P34" s="25"/>
      <c r="Q34" s="25"/>
      <c r="R34" s="25"/>
      <c r="S34" s="25"/>
      <c r="T34" s="25"/>
      <c r="U34" s="25"/>
      <c r="V34" s="25"/>
      <c r="W34" s="25"/>
    </row>
    <row r="35" spans="1:23" x14ac:dyDescent="0.25">
      <c r="A35" s="199" t="str">
        <f t="shared" ref="A35:A44" si="5">IFERROR(IF(HLOOKUP($L$29,RangeMMJRNOptions,$M35,FALSE)=0,"",HLOOKUP($L$29,RangeMMJRNOptions,$M35,FALSE)),"")</f>
        <v/>
      </c>
      <c r="B35" s="125" t="str">
        <f>IFERROR(IF(VLOOKUP($A35,TableHandbook[],2,FALSE)=0,"",VLOOKUP($A35,TableHandbook[],2,FALSE)),"")</f>
        <v/>
      </c>
      <c r="C35" s="125" t="str">
        <f>IFERROR(IF(VLOOKUP($A35,TableHandbook[],3,FALSE)=0,"",VLOOKUP($A35,TableHandbook[],3,FALSE)),"")</f>
        <v/>
      </c>
      <c r="D35" s="49" t="str">
        <f>IFERROR(IF(VLOOKUP($A35,TableHandbook[],4,FALSE)=0,"",VLOOKUP($A35,TableHandbook[],4,FALSE)),"")</f>
        <v/>
      </c>
      <c r="E35" s="50"/>
      <c r="F35" s="51" t="str">
        <f>IFERROR(IF(VLOOKUP($A35,TableHandbook[],6,FALSE)=0,"",VLOOKUP($A35,TableHandbook[],6,FALSE)),"")</f>
        <v/>
      </c>
      <c r="G35" s="51" t="str">
        <f>IFERROR(IF(VLOOKUP($A35,TableHandbook[],5,FALSE)=0,"",VLOOKUP($A35,TableHandbook[],5,FALSE)),"")</f>
        <v/>
      </c>
      <c r="H35" s="67" t="str">
        <f>IFERROR(VLOOKUP($A35,TableHandbook[],H$2,FALSE),"")</f>
        <v/>
      </c>
      <c r="I35" s="56" t="str">
        <f>IFERROR(VLOOKUP($A35,TableHandbook[],I$2,FALSE),"")</f>
        <v/>
      </c>
      <c r="J35" s="56" t="str">
        <f>IFERROR(VLOOKUP($A35,TableHandbook[],J$2,FALSE),"")</f>
        <v/>
      </c>
      <c r="K35" s="68" t="str">
        <f>IFERROR(VLOOKUP($A35,TableHandbook[],K$2,FALSE),"")</f>
        <v/>
      </c>
      <c r="L35" s="57"/>
      <c r="M35" s="142">
        <v>6</v>
      </c>
      <c r="N35" s="25"/>
      <c r="O35" s="25"/>
      <c r="P35" s="25"/>
      <c r="Q35" s="25"/>
      <c r="R35" s="25"/>
      <c r="S35" s="25"/>
      <c r="T35" s="25"/>
      <c r="U35" s="25"/>
      <c r="V35" s="25"/>
      <c r="W35" s="25"/>
    </row>
    <row r="36" spans="1:23" x14ac:dyDescent="0.25">
      <c r="A36" s="199" t="str">
        <f t="shared" si="5"/>
        <v/>
      </c>
      <c r="B36" s="125" t="str">
        <f>IFERROR(IF(VLOOKUP($A36,TableHandbook[],2,FALSE)=0,"",VLOOKUP($A36,TableHandbook[],2,FALSE)),"")</f>
        <v/>
      </c>
      <c r="C36" s="125" t="str">
        <f>IFERROR(IF(VLOOKUP($A36,TableHandbook[],3,FALSE)=0,"",VLOOKUP($A36,TableHandbook[],3,FALSE)),"")</f>
        <v/>
      </c>
      <c r="D36" s="49" t="str">
        <f>IFERROR(IF(VLOOKUP($A36,TableHandbook[],4,FALSE)=0,"",VLOOKUP($A36,TableHandbook[],4,FALSE)),"")</f>
        <v/>
      </c>
      <c r="E36" s="50"/>
      <c r="F36" s="51" t="str">
        <f>IFERROR(IF(VLOOKUP($A36,TableHandbook[],6,FALSE)=0,"",VLOOKUP($A36,TableHandbook[],6,FALSE)),"")</f>
        <v/>
      </c>
      <c r="G36" s="51" t="str">
        <f>IFERROR(IF(VLOOKUP($A36,TableHandbook[],5,FALSE)=0,"",VLOOKUP($A36,TableHandbook[],5,FALSE)),"")</f>
        <v/>
      </c>
      <c r="H36" s="67" t="str">
        <f>IFERROR(VLOOKUP($A36,TableHandbook[],H$2,FALSE),"")</f>
        <v/>
      </c>
      <c r="I36" s="56" t="str">
        <f>IFERROR(VLOOKUP($A36,TableHandbook[],I$2,FALSE),"")</f>
        <v/>
      </c>
      <c r="J36" s="56" t="str">
        <f>IFERROR(VLOOKUP($A36,TableHandbook[],J$2,FALSE),"")</f>
        <v/>
      </c>
      <c r="K36" s="68" t="str">
        <f>IFERROR(VLOOKUP($A36,TableHandbook[],K$2,FALSE),"")</f>
        <v/>
      </c>
      <c r="L36" s="57"/>
      <c r="M36" s="142">
        <v>7</v>
      </c>
      <c r="N36" s="25"/>
      <c r="O36" s="25"/>
      <c r="P36" s="25"/>
      <c r="Q36" s="25"/>
      <c r="R36" s="25"/>
      <c r="S36" s="25"/>
      <c r="T36" s="25"/>
      <c r="U36" s="25"/>
      <c r="V36" s="25"/>
      <c r="W36" s="25"/>
    </row>
    <row r="37" spans="1:23" x14ac:dyDescent="0.25">
      <c r="A37" s="199" t="str">
        <f t="shared" si="5"/>
        <v/>
      </c>
      <c r="B37" s="125" t="str">
        <f>IFERROR(IF(VLOOKUP($A37,TableHandbook[],2,FALSE)=0,"",VLOOKUP($A37,TableHandbook[],2,FALSE)),"")</f>
        <v/>
      </c>
      <c r="C37" s="125" t="str">
        <f>IFERROR(IF(VLOOKUP($A37,TableHandbook[],3,FALSE)=0,"",VLOOKUP($A37,TableHandbook[],3,FALSE)),"")</f>
        <v/>
      </c>
      <c r="D37" s="49" t="str">
        <f>IFERROR(IF(VLOOKUP($A37,TableHandbook[],4,FALSE)=0,"",VLOOKUP($A37,TableHandbook[],4,FALSE)),"")</f>
        <v/>
      </c>
      <c r="E37" s="50"/>
      <c r="F37" s="51" t="str">
        <f>IFERROR(IF(VLOOKUP($A37,TableHandbook[],6,FALSE)=0,"",VLOOKUP($A37,TableHandbook[],6,FALSE)),"")</f>
        <v/>
      </c>
      <c r="G37" s="51" t="str">
        <f>IFERROR(IF(VLOOKUP($A37,TableHandbook[],5,FALSE)=0,"",VLOOKUP($A37,TableHandbook[],5,FALSE)),"")</f>
        <v/>
      </c>
      <c r="H37" s="67" t="str">
        <f>IFERROR(VLOOKUP($A37,TableHandbook[],H$2,FALSE),"")</f>
        <v/>
      </c>
      <c r="I37" s="56" t="str">
        <f>IFERROR(VLOOKUP($A37,TableHandbook[],I$2,FALSE),"")</f>
        <v/>
      </c>
      <c r="J37" s="56" t="str">
        <f>IFERROR(VLOOKUP($A37,TableHandbook[],J$2,FALSE),"")</f>
        <v/>
      </c>
      <c r="K37" s="68" t="str">
        <f>IFERROR(VLOOKUP($A37,TableHandbook[],K$2,FALSE),"")</f>
        <v/>
      </c>
      <c r="L37" s="57"/>
      <c r="M37" s="142">
        <v>8</v>
      </c>
      <c r="N37" s="25"/>
      <c r="O37" s="25"/>
      <c r="P37" s="25"/>
      <c r="Q37" s="25"/>
      <c r="R37" s="25"/>
      <c r="S37" s="25"/>
      <c r="T37" s="25"/>
      <c r="U37" s="25"/>
      <c r="V37" s="25"/>
      <c r="W37" s="25"/>
    </row>
    <row r="38" spans="1:23" x14ac:dyDescent="0.25">
      <c r="A38" s="199" t="str">
        <f t="shared" si="5"/>
        <v/>
      </c>
      <c r="B38" s="125" t="str">
        <f>IFERROR(IF(VLOOKUP($A38,TableHandbook[],2,FALSE)=0,"",VLOOKUP($A38,TableHandbook[],2,FALSE)),"")</f>
        <v/>
      </c>
      <c r="C38" s="125" t="str">
        <f>IFERROR(IF(VLOOKUP($A38,TableHandbook[],3,FALSE)=0,"",VLOOKUP($A38,TableHandbook[],3,FALSE)),"")</f>
        <v/>
      </c>
      <c r="D38" s="49" t="str">
        <f>IFERROR(IF(VLOOKUP($A38,TableHandbook[],4,FALSE)=0,"",VLOOKUP($A38,TableHandbook[],4,FALSE)),"")</f>
        <v/>
      </c>
      <c r="E38" s="50"/>
      <c r="F38" s="51" t="str">
        <f>IFERROR(IF(VLOOKUP($A38,TableHandbook[],6,FALSE)=0,"",VLOOKUP($A38,TableHandbook[],6,FALSE)),"")</f>
        <v/>
      </c>
      <c r="G38" s="51" t="str">
        <f>IFERROR(IF(VLOOKUP($A38,TableHandbook[],5,FALSE)=0,"",VLOOKUP($A38,TableHandbook[],5,FALSE)),"")</f>
        <v/>
      </c>
      <c r="H38" s="67" t="str">
        <f>IFERROR(VLOOKUP($A38,TableHandbook[],H$2,FALSE),"")</f>
        <v/>
      </c>
      <c r="I38" s="56" t="str">
        <f>IFERROR(VLOOKUP($A38,TableHandbook[],I$2,FALSE),"")</f>
        <v/>
      </c>
      <c r="J38" s="56" t="str">
        <f>IFERROR(VLOOKUP($A38,TableHandbook[],J$2,FALSE),"")</f>
        <v/>
      </c>
      <c r="K38" s="68" t="str">
        <f>IFERROR(VLOOKUP($A38,TableHandbook[],K$2,FALSE),"")</f>
        <v/>
      </c>
      <c r="L38" s="57"/>
      <c r="M38" s="142">
        <v>9</v>
      </c>
      <c r="N38" s="25"/>
      <c r="O38" s="25"/>
      <c r="P38" s="25"/>
      <c r="Q38" s="25"/>
      <c r="R38" s="25"/>
      <c r="S38" s="25"/>
      <c r="T38" s="25"/>
      <c r="U38" s="25"/>
      <c r="V38" s="25"/>
      <c r="W38" s="25"/>
    </row>
    <row r="39" spans="1:23" x14ac:dyDescent="0.25">
      <c r="A39" s="199" t="str">
        <f t="shared" si="5"/>
        <v/>
      </c>
      <c r="B39" s="125" t="str">
        <f>IFERROR(IF(VLOOKUP($A39,TableHandbook[],2,FALSE)=0,"",VLOOKUP($A39,TableHandbook[],2,FALSE)),"")</f>
        <v/>
      </c>
      <c r="C39" s="125" t="str">
        <f>IFERROR(IF(VLOOKUP($A39,TableHandbook[],3,FALSE)=0,"",VLOOKUP($A39,TableHandbook[],3,FALSE)),"")</f>
        <v/>
      </c>
      <c r="D39" s="49" t="str">
        <f>IFERROR(IF(VLOOKUP($A39,TableHandbook[],4,FALSE)=0,"",VLOOKUP($A39,TableHandbook[],4,FALSE)),"")</f>
        <v/>
      </c>
      <c r="E39" s="50"/>
      <c r="F39" s="51" t="str">
        <f>IFERROR(IF(VLOOKUP($A39,TableHandbook[],6,FALSE)=0,"",VLOOKUP($A39,TableHandbook[],6,FALSE)),"")</f>
        <v/>
      </c>
      <c r="G39" s="51" t="str">
        <f>IFERROR(IF(VLOOKUP($A39,TableHandbook[],5,FALSE)=0,"",VLOOKUP($A39,TableHandbook[],5,FALSE)),"")</f>
        <v/>
      </c>
      <c r="H39" s="67" t="str">
        <f>IFERROR(VLOOKUP($A39,TableHandbook[],H$2,FALSE),"")</f>
        <v/>
      </c>
      <c r="I39" s="56" t="str">
        <f>IFERROR(VLOOKUP($A39,TableHandbook[],I$2,FALSE),"")</f>
        <v/>
      </c>
      <c r="J39" s="56" t="str">
        <f>IFERROR(VLOOKUP($A39,TableHandbook[],J$2,FALSE),"")</f>
        <v/>
      </c>
      <c r="K39" s="68" t="str">
        <f>IFERROR(VLOOKUP($A39,TableHandbook[],K$2,FALSE),"")</f>
        <v/>
      </c>
      <c r="L39" s="57"/>
      <c r="M39" s="142">
        <v>10</v>
      </c>
      <c r="N39" s="25"/>
      <c r="O39" s="25"/>
      <c r="P39" s="25"/>
      <c r="Q39" s="25"/>
      <c r="R39" s="25"/>
      <c r="S39" s="25"/>
      <c r="T39" s="25"/>
      <c r="U39" s="25"/>
      <c r="V39" s="25"/>
      <c r="W39" s="25"/>
    </row>
    <row r="40" spans="1:23" x14ac:dyDescent="0.25">
      <c r="A40" s="199" t="str">
        <f t="shared" si="5"/>
        <v/>
      </c>
      <c r="B40" s="125" t="str">
        <f>IFERROR(IF(VLOOKUP($A40,TableHandbook[],2,FALSE)=0,"",VLOOKUP($A40,TableHandbook[],2,FALSE)),"")</f>
        <v/>
      </c>
      <c r="C40" s="125" t="str">
        <f>IFERROR(IF(VLOOKUP($A40,TableHandbook[],3,FALSE)=0,"",VLOOKUP($A40,TableHandbook[],3,FALSE)),"")</f>
        <v/>
      </c>
      <c r="D40" s="49" t="str">
        <f>IFERROR(IF(VLOOKUP($A40,TableHandbook[],4,FALSE)=0,"",VLOOKUP($A40,TableHandbook[],4,FALSE)),"")</f>
        <v/>
      </c>
      <c r="E40" s="50"/>
      <c r="F40" s="51" t="str">
        <f>IFERROR(IF(VLOOKUP($A40,TableHandbook[],6,FALSE)=0,"",VLOOKUP($A40,TableHandbook[],6,FALSE)),"")</f>
        <v/>
      </c>
      <c r="G40" s="51" t="str">
        <f>IFERROR(IF(VLOOKUP($A40,TableHandbook[],5,FALSE)=0,"",VLOOKUP($A40,TableHandbook[],5,FALSE)),"")</f>
        <v/>
      </c>
      <c r="H40" s="67" t="str">
        <f>IFERROR(VLOOKUP($A40,TableHandbook[],H$2,FALSE),"")</f>
        <v/>
      </c>
      <c r="I40" s="56" t="str">
        <f>IFERROR(VLOOKUP($A40,TableHandbook[],I$2,FALSE),"")</f>
        <v/>
      </c>
      <c r="J40" s="56" t="str">
        <f>IFERROR(VLOOKUP($A40,TableHandbook[],J$2,FALSE),"")</f>
        <v/>
      </c>
      <c r="K40" s="68" t="str">
        <f>IFERROR(VLOOKUP($A40,TableHandbook[],K$2,FALSE),"")</f>
        <v/>
      </c>
      <c r="L40" s="57"/>
      <c r="M40" s="142">
        <v>11</v>
      </c>
      <c r="N40" s="25"/>
      <c r="O40" s="25"/>
      <c r="P40" s="25"/>
      <c r="Q40" s="25"/>
      <c r="R40" s="25"/>
      <c r="S40" s="25"/>
      <c r="T40" s="25"/>
      <c r="U40" s="25"/>
      <c r="V40" s="25"/>
      <c r="W40" s="25"/>
    </row>
    <row r="41" spans="1:23" x14ac:dyDescent="0.25">
      <c r="A41" s="199" t="str">
        <f t="shared" si="5"/>
        <v/>
      </c>
      <c r="B41" s="125" t="str">
        <f>IFERROR(IF(VLOOKUP($A41,TableHandbook[],2,FALSE)=0,"",VLOOKUP($A41,TableHandbook[],2,FALSE)),"")</f>
        <v/>
      </c>
      <c r="C41" s="125" t="str">
        <f>IFERROR(IF(VLOOKUP($A41,TableHandbook[],3,FALSE)=0,"",VLOOKUP($A41,TableHandbook[],3,FALSE)),"")</f>
        <v/>
      </c>
      <c r="D41" s="49" t="str">
        <f>IFERROR(IF(VLOOKUP($A41,TableHandbook[],4,FALSE)=0,"",VLOOKUP($A41,TableHandbook[],4,FALSE)),"")</f>
        <v/>
      </c>
      <c r="E41" s="50"/>
      <c r="F41" s="51" t="str">
        <f>IFERROR(IF(VLOOKUP($A41,TableHandbook[],6,FALSE)=0,"",VLOOKUP($A41,TableHandbook[],6,FALSE)),"")</f>
        <v/>
      </c>
      <c r="G41" s="51" t="str">
        <f>IFERROR(IF(VLOOKUP($A41,TableHandbook[],5,FALSE)=0,"",VLOOKUP($A41,TableHandbook[],5,FALSE)),"")</f>
        <v/>
      </c>
      <c r="H41" s="67" t="str">
        <f>IFERROR(VLOOKUP($A41,TableHandbook[],H$2,FALSE),"")</f>
        <v/>
      </c>
      <c r="I41" s="56" t="str">
        <f>IFERROR(VLOOKUP($A41,TableHandbook[],I$2,FALSE),"")</f>
        <v/>
      </c>
      <c r="J41" s="56" t="str">
        <f>IFERROR(VLOOKUP($A41,TableHandbook[],J$2,FALSE),"")</f>
        <v/>
      </c>
      <c r="K41" s="68" t="str">
        <f>IFERROR(VLOOKUP($A41,TableHandbook[],K$2,FALSE),"")</f>
        <v/>
      </c>
      <c r="L41" s="57"/>
      <c r="M41" s="142">
        <v>12</v>
      </c>
      <c r="N41" s="25"/>
      <c r="O41" s="25"/>
      <c r="P41" s="25"/>
      <c r="Q41" s="25"/>
      <c r="R41" s="25"/>
      <c r="S41" s="25"/>
      <c r="T41" s="25"/>
      <c r="U41" s="25"/>
      <c r="V41" s="25"/>
      <c r="W41" s="25"/>
    </row>
    <row r="42" spans="1:23" x14ac:dyDescent="0.25">
      <c r="A42" s="199" t="str">
        <f t="shared" si="5"/>
        <v/>
      </c>
      <c r="B42" s="125" t="str">
        <f>IFERROR(IF(VLOOKUP($A42,TableHandbook[],2,FALSE)=0,"",VLOOKUP($A42,TableHandbook[],2,FALSE)),"")</f>
        <v/>
      </c>
      <c r="C42" s="125" t="str">
        <f>IFERROR(IF(VLOOKUP($A42,TableHandbook[],3,FALSE)=0,"",VLOOKUP($A42,TableHandbook[],3,FALSE)),"")</f>
        <v/>
      </c>
      <c r="D42" s="49" t="str">
        <f>IFERROR(IF(VLOOKUP($A42,TableHandbook[],4,FALSE)=0,"",VLOOKUP($A42,TableHandbook[],4,FALSE)),"")</f>
        <v/>
      </c>
      <c r="E42" s="50"/>
      <c r="F42" s="51" t="str">
        <f>IFERROR(IF(VLOOKUP($A42,TableHandbook[],6,FALSE)=0,"",VLOOKUP($A42,TableHandbook[],6,FALSE)),"")</f>
        <v/>
      </c>
      <c r="G42" s="51" t="str">
        <f>IFERROR(IF(VLOOKUP($A42,TableHandbook[],5,FALSE)=0,"",VLOOKUP($A42,TableHandbook[],5,FALSE)),"")</f>
        <v/>
      </c>
      <c r="H42" s="67" t="str">
        <f>IFERROR(VLOOKUP($A42,TableHandbook[],H$2,FALSE),"")</f>
        <v/>
      </c>
      <c r="I42" s="56" t="str">
        <f>IFERROR(VLOOKUP($A42,TableHandbook[],I$2,FALSE),"")</f>
        <v/>
      </c>
      <c r="J42" s="56" t="str">
        <f>IFERROR(VLOOKUP($A42,TableHandbook[],J$2,FALSE),"")</f>
        <v/>
      </c>
      <c r="K42" s="68" t="str">
        <f>IFERROR(VLOOKUP($A42,TableHandbook[],K$2,FALSE),"")</f>
        <v/>
      </c>
      <c r="L42" s="57"/>
      <c r="M42" s="142">
        <v>13</v>
      </c>
      <c r="N42" s="25"/>
      <c r="O42" s="25"/>
      <c r="P42" s="25"/>
      <c r="Q42" s="25"/>
      <c r="R42" s="25"/>
      <c r="S42" s="25"/>
      <c r="T42" s="25"/>
      <c r="U42" s="25"/>
      <c r="V42" s="25"/>
      <c r="W42" s="25"/>
    </row>
    <row r="43" spans="1:23" x14ac:dyDescent="0.25">
      <c r="A43" s="199" t="str">
        <f t="shared" si="5"/>
        <v/>
      </c>
      <c r="B43" s="125" t="str">
        <f>IFERROR(IF(VLOOKUP($A43,TableHandbook[],2,FALSE)=0,"",VLOOKUP($A43,TableHandbook[],2,FALSE)),"")</f>
        <v/>
      </c>
      <c r="C43" s="125" t="str">
        <f>IFERROR(IF(VLOOKUP($A43,TableHandbook[],3,FALSE)=0,"",VLOOKUP($A43,TableHandbook[],3,FALSE)),"")</f>
        <v/>
      </c>
      <c r="D43" s="49" t="str">
        <f>IFERROR(IF(VLOOKUP($A43,TableHandbook[],4,FALSE)=0,"",VLOOKUP($A43,TableHandbook[],4,FALSE)),"")</f>
        <v/>
      </c>
      <c r="E43" s="50"/>
      <c r="F43" s="51" t="str">
        <f>IFERROR(IF(VLOOKUP($A43,TableHandbook[],6,FALSE)=0,"",VLOOKUP($A43,TableHandbook[],6,FALSE)),"")</f>
        <v/>
      </c>
      <c r="G43" s="51" t="str">
        <f>IFERROR(IF(VLOOKUP($A43,TableHandbook[],5,FALSE)=0,"",VLOOKUP($A43,TableHandbook[],5,FALSE)),"")</f>
        <v/>
      </c>
      <c r="H43" s="67" t="str">
        <f>IFERROR(VLOOKUP($A43,TableHandbook[],H$2,FALSE),"")</f>
        <v/>
      </c>
      <c r="I43" s="56" t="str">
        <f>IFERROR(VLOOKUP($A43,TableHandbook[],I$2,FALSE),"")</f>
        <v/>
      </c>
      <c r="J43" s="56" t="str">
        <f>IFERROR(VLOOKUP($A43,TableHandbook[],J$2,FALSE),"")</f>
        <v/>
      </c>
      <c r="K43" s="68" t="str">
        <f>IFERROR(VLOOKUP($A43,TableHandbook[],K$2,FALSE),"")</f>
        <v/>
      </c>
      <c r="L43" s="57"/>
      <c r="M43" s="142">
        <v>14</v>
      </c>
      <c r="N43" s="25"/>
      <c r="O43" s="25"/>
      <c r="P43" s="25"/>
      <c r="Q43" s="25"/>
      <c r="R43" s="25"/>
      <c r="S43" s="25"/>
      <c r="T43" s="25"/>
      <c r="U43" s="25"/>
      <c r="V43" s="25"/>
      <c r="W43" s="25"/>
    </row>
    <row r="44" spans="1:23" x14ac:dyDescent="0.25">
      <c r="A44" s="199" t="str">
        <f t="shared" si="5"/>
        <v/>
      </c>
      <c r="B44" s="125" t="str">
        <f>IFERROR(IF(VLOOKUP($A44,TableHandbook[],2,FALSE)=0,"",VLOOKUP($A44,TableHandbook[],2,FALSE)),"")</f>
        <v/>
      </c>
      <c r="C44" s="125" t="str">
        <f>IFERROR(IF(VLOOKUP($A44,TableHandbook[],3,FALSE)=0,"",VLOOKUP($A44,TableHandbook[],3,FALSE)),"")</f>
        <v/>
      </c>
      <c r="D44" s="49" t="str">
        <f>IFERROR(IF(VLOOKUP($A44,TableHandbook[],4,FALSE)=0,"",VLOOKUP($A44,TableHandbook[],4,FALSE)),"")</f>
        <v/>
      </c>
      <c r="E44" s="50"/>
      <c r="F44" s="51" t="str">
        <f>IFERROR(IF(VLOOKUP($A44,TableHandbook[],6,FALSE)=0,"",VLOOKUP($A44,TableHandbook[],6,FALSE)),"")</f>
        <v/>
      </c>
      <c r="G44" s="51" t="str">
        <f>IFERROR(IF(VLOOKUP($A44,TableHandbook[],5,FALSE)=0,"",VLOOKUP($A44,TableHandbook[],5,FALSE)),"")</f>
        <v/>
      </c>
      <c r="H44" s="67" t="str">
        <f>IFERROR(VLOOKUP($A44,TableHandbook[],H$2,FALSE),"")</f>
        <v/>
      </c>
      <c r="I44" s="56" t="str">
        <f>IFERROR(VLOOKUP($A44,TableHandbook[],I$2,FALSE),"")</f>
        <v/>
      </c>
      <c r="J44" s="56" t="str">
        <f>IFERROR(VLOOKUP($A44,TableHandbook[],J$2,FALSE),"")</f>
        <v/>
      </c>
      <c r="K44" s="68" t="str">
        <f>IFERROR(VLOOKUP($A44,TableHandbook[],K$2,FALSE),"")</f>
        <v/>
      </c>
      <c r="L44" s="57"/>
      <c r="M44" s="142">
        <v>15</v>
      </c>
      <c r="N44" s="25"/>
      <c r="O44" s="25"/>
      <c r="P44" s="25"/>
      <c r="Q44" s="25"/>
      <c r="R44" s="25"/>
      <c r="S44" s="25"/>
      <c r="T44" s="25"/>
      <c r="U44" s="25"/>
      <c r="V44" s="25"/>
      <c r="W44" s="25"/>
    </row>
    <row r="45" spans="1:23" s="25" customFormat="1" ht="32.25" customHeight="1" x14ac:dyDescent="0.25">
      <c r="A45" s="320" t="s">
        <v>30</v>
      </c>
      <c r="B45" s="320"/>
      <c r="C45" s="320"/>
      <c r="D45" s="320"/>
      <c r="E45" s="320"/>
      <c r="F45" s="320"/>
      <c r="G45" s="320"/>
      <c r="H45" s="320"/>
      <c r="I45" s="320"/>
      <c r="J45" s="320"/>
      <c r="K45" s="320"/>
      <c r="L45" s="320"/>
    </row>
    <row r="46" spans="1:23" s="44" customFormat="1" ht="24.95" customHeight="1" x14ac:dyDescent="0.3">
      <c r="A46" s="40" t="s">
        <v>31</v>
      </c>
      <c r="B46" s="40"/>
      <c r="C46" s="40"/>
      <c r="D46" s="41"/>
      <c r="E46" s="41"/>
      <c r="F46" s="41"/>
      <c r="G46" s="41"/>
      <c r="H46" s="41"/>
      <c r="I46" s="41"/>
      <c r="J46" s="41"/>
      <c r="K46" s="41"/>
      <c r="L46" s="41"/>
      <c r="M46" s="145"/>
      <c r="N46" s="42"/>
      <c r="O46" s="42"/>
      <c r="P46" s="43"/>
      <c r="Q46" s="43"/>
      <c r="R46" s="43"/>
      <c r="S46" s="43"/>
      <c r="T46" s="43"/>
      <c r="U46" s="43"/>
      <c r="V46" s="43"/>
      <c r="W46" s="43"/>
    </row>
    <row r="47" spans="1:23" s="25" customFormat="1" ht="15" customHeight="1" x14ac:dyDescent="0.25">
      <c r="A47" s="45" t="s">
        <v>32</v>
      </c>
      <c r="B47" s="45"/>
      <c r="C47" s="45"/>
      <c r="D47" s="45"/>
      <c r="E47" s="52"/>
      <c r="F47" s="46"/>
      <c r="G47" s="53"/>
      <c r="H47" s="53"/>
      <c r="I47" s="53"/>
      <c r="J47" s="53"/>
      <c r="K47" s="53"/>
      <c r="L47" s="53" t="s">
        <v>33</v>
      </c>
    </row>
  </sheetData>
  <sheetProtection formatCells="0"/>
  <mergeCells count="2">
    <mergeCell ref="A3:D3"/>
    <mergeCell ref="A45:L45"/>
  </mergeCells>
  <conditionalFormatting sqref="D5:D6">
    <cfRule type="containsText" dxfId="455" priority="3" operator="containsText" text="Choose">
      <formula>NOT(ISERROR(SEARCH("Choose",D5)))</formula>
    </cfRule>
  </conditionalFormatting>
  <conditionalFormatting sqref="A9:L17 A19:L27 A31:L44">
    <cfRule type="expression" dxfId="454" priority="4">
      <formula>$A9=""</formula>
    </cfRule>
  </conditionalFormatting>
  <conditionalFormatting sqref="A31:L44">
    <cfRule type="expression" dxfId="453" priority="2">
      <formula>LEFT($D31,5)="Study"</formula>
    </cfRule>
  </conditionalFormatting>
  <conditionalFormatting sqref="H9:K27">
    <cfRule type="expression" dxfId="452" priority="1">
      <formula>$E9=LEFT(H$8,4)</formula>
    </cfRule>
  </conditionalFormatting>
  <dataValidations count="1">
    <dataValidation type="list" allowBlank="1" showInputMessage="1" showErrorMessage="1" sqref="L23 L13"/>
  </dataValidations>
  <hyperlinks>
    <hyperlink ref="A46:L4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portrait" r:id="rId2"/>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 Other'!$A$32:$A$35</xm:f>
          </x14:formula1>
          <xm:sqref>D5</xm:sqref>
        </x14:dataValidation>
        <x14:dataValidation type="list" allowBlank="1" showInputMessage="1" showErrorMessage="1">
          <x14:formula1>
            <xm:f>Unitsets!$A$41:$A$43</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40"/>
  <sheetViews>
    <sheetView showGridLines="0" tabSelected="1" topLeftCell="A3" zoomScaleNormal="100" workbookViewId="0">
      <selection activeCell="D6" sqref="D6"/>
    </sheetView>
  </sheetViews>
  <sheetFormatPr defaultRowHeight="15" x14ac:dyDescent="0.25"/>
  <cols>
    <col min="1" max="1" width="10" style="337" customWidth="1"/>
    <col min="2" max="2" width="3.25" style="337" customWidth="1"/>
    <col min="3" max="3" width="5.875" style="337" customWidth="1"/>
    <col min="4" max="4" width="49.125" style="326" bestFit="1" customWidth="1"/>
    <col min="5" max="5" width="7.25" style="326" customWidth="1"/>
    <col min="6" max="6" width="24.625" style="326" customWidth="1"/>
    <col min="7" max="7" width="5.625" style="326" customWidth="1"/>
    <col min="8" max="11" width="4.625" style="326" customWidth="1"/>
    <col min="12" max="12" width="15.625" style="326" customWidth="1"/>
    <col min="13" max="13" width="2.5" style="326" hidden="1" customWidth="1"/>
    <col min="14" max="16384" width="9" style="326"/>
  </cols>
  <sheetData>
    <row r="1" spans="1:16" hidden="1" x14ac:dyDescent="0.25">
      <c r="A1" s="321" t="s">
        <v>0</v>
      </c>
      <c r="B1" s="322" t="s">
        <v>1</v>
      </c>
      <c r="C1" s="322" t="s">
        <v>2</v>
      </c>
      <c r="D1" s="323" t="s">
        <v>3</v>
      </c>
      <c r="E1" s="323"/>
      <c r="F1" s="323" t="s">
        <v>4</v>
      </c>
      <c r="G1" s="323" t="s">
        <v>5</v>
      </c>
      <c r="H1" s="324" t="s">
        <v>6</v>
      </c>
      <c r="I1" s="323"/>
      <c r="J1" s="323"/>
      <c r="K1" s="323"/>
      <c r="L1" s="323" t="s">
        <v>7</v>
      </c>
      <c r="M1" s="325"/>
    </row>
    <row r="2" spans="1:16" hidden="1" x14ac:dyDescent="0.25">
      <c r="A2" s="327"/>
      <c r="B2" s="328">
        <v>2</v>
      </c>
      <c r="C2" s="328">
        <v>3</v>
      </c>
      <c r="D2" s="328">
        <v>4</v>
      </c>
      <c r="E2" s="328"/>
      <c r="F2" s="328">
        <v>6</v>
      </c>
      <c r="G2" s="328">
        <v>5</v>
      </c>
      <c r="H2" s="328">
        <v>7</v>
      </c>
      <c r="I2" s="328">
        <v>8</v>
      </c>
      <c r="J2" s="328">
        <v>9</v>
      </c>
      <c r="K2" s="328">
        <v>10</v>
      </c>
      <c r="L2" s="329"/>
      <c r="M2" s="325"/>
    </row>
    <row r="3" spans="1:16" ht="39.950000000000003" customHeight="1" x14ac:dyDescent="0.25">
      <c r="A3" s="330" t="s">
        <v>8</v>
      </c>
      <c r="B3" s="330"/>
      <c r="C3" s="330"/>
      <c r="D3" s="330"/>
      <c r="E3" s="331"/>
      <c r="F3" s="331"/>
      <c r="G3" s="331"/>
      <c r="H3" s="331"/>
      <c r="I3" s="331"/>
      <c r="J3" s="331"/>
      <c r="K3" s="331"/>
      <c r="L3" s="331"/>
      <c r="M3" s="325"/>
    </row>
    <row r="4" spans="1:16" ht="25.5" x14ac:dyDescent="0.25">
      <c r="A4" s="332"/>
      <c r="B4" s="333"/>
      <c r="C4" s="333"/>
      <c r="D4" s="334"/>
      <c r="E4" s="335" t="s">
        <v>9</v>
      </c>
      <c r="F4" s="333"/>
      <c r="G4" s="336"/>
      <c r="H4" s="336"/>
      <c r="I4" s="336"/>
      <c r="J4" s="336"/>
      <c r="K4" s="336"/>
      <c r="L4" s="336"/>
      <c r="M4" s="325"/>
    </row>
    <row r="5" spans="1:16" ht="20.100000000000001" customHeight="1" x14ac:dyDescent="0.25">
      <c r="B5" s="338"/>
      <c r="C5" s="339" t="s">
        <v>10</v>
      </c>
      <c r="D5" s="340" t="s">
        <v>100</v>
      </c>
      <c r="E5" s="341"/>
      <c r="F5" s="339" t="s">
        <v>12</v>
      </c>
      <c r="G5" s="341" t="str">
        <f>IFERROR(CONCATENATE(VLOOKUP(D5,TableCourses[],2,FALSE)," ",VLOOKUP(D5,TableCourses[],3,FALSE)),"")</f>
        <v>MC-HRIGLO v.1</v>
      </c>
      <c r="H5" s="341"/>
      <c r="I5" s="341"/>
      <c r="J5" s="341"/>
      <c r="K5" s="341"/>
      <c r="L5" s="342" t="e">
        <f>CONCATENATE(VLOOKUP(D5,TableCourses[],2,FALSE),VLOOKUP(D6,TableStudyPeriods[],2,FALSE))</f>
        <v>#N/A</v>
      </c>
      <c r="M5" s="325"/>
    </row>
    <row r="6" spans="1:16" ht="20.100000000000001" customHeight="1" x14ac:dyDescent="0.25">
      <c r="A6" s="343"/>
      <c r="B6" s="344"/>
      <c r="C6" s="339" t="s">
        <v>16</v>
      </c>
      <c r="D6" s="411" t="s">
        <v>177</v>
      </c>
      <c r="E6" s="345"/>
      <c r="F6" s="339" t="s">
        <v>18</v>
      </c>
      <c r="G6" s="341" t="str">
        <f>IFERROR(VLOOKUP($D$5,TableCourses[],4,FALSE),"")</f>
        <v>400 credit points required</v>
      </c>
      <c r="H6" s="346"/>
      <c r="I6" s="346"/>
      <c r="J6" s="346"/>
      <c r="K6" s="346"/>
      <c r="L6" s="346"/>
      <c r="M6" s="325"/>
    </row>
    <row r="7" spans="1:16" s="355" customFormat="1" ht="14.1" customHeight="1" x14ac:dyDescent="0.25">
      <c r="A7" s="347"/>
      <c r="B7" s="347"/>
      <c r="C7" s="347"/>
      <c r="D7" s="348"/>
      <c r="E7" s="349"/>
      <c r="F7" s="347"/>
      <c r="G7" s="347"/>
      <c r="H7" s="350" t="s">
        <v>19</v>
      </c>
      <c r="I7" s="351"/>
      <c r="J7" s="351"/>
      <c r="K7" s="352"/>
      <c r="L7" s="349"/>
      <c r="M7" s="353"/>
      <c r="N7" s="354"/>
      <c r="O7" s="354"/>
    </row>
    <row r="8" spans="1:16" s="355" customFormat="1" ht="21" x14ac:dyDescent="0.25">
      <c r="A8" s="347" t="s">
        <v>20</v>
      </c>
      <c r="B8" s="347"/>
      <c r="C8" s="347"/>
      <c r="D8" s="348" t="s">
        <v>3</v>
      </c>
      <c r="E8" s="356" t="s">
        <v>21</v>
      </c>
      <c r="F8" s="357" t="s">
        <v>22</v>
      </c>
      <c r="G8" s="347" t="s">
        <v>23</v>
      </c>
      <c r="H8" s="358" t="s">
        <v>24</v>
      </c>
      <c r="I8" s="356" t="s">
        <v>25</v>
      </c>
      <c r="J8" s="356" t="s">
        <v>26</v>
      </c>
      <c r="K8" s="359" t="s">
        <v>27</v>
      </c>
      <c r="L8" s="347" t="s">
        <v>208</v>
      </c>
      <c r="M8" s="353"/>
      <c r="N8" s="354"/>
      <c r="O8" s="354"/>
    </row>
    <row r="9" spans="1:16" s="368" customFormat="1" ht="20.100000000000001" customHeight="1" x14ac:dyDescent="0.15">
      <c r="A9" s="360" t="str">
        <f>IFERROR(IF(HLOOKUP($L$5,RangeHRIGHTUnitsets,M9,FALSE)=0,"",HLOOKUP($L$5,RangeHRIGHTUnitsets,M9,FALSE)),"")</f>
        <v/>
      </c>
      <c r="B9" s="361" t="str">
        <f>IFERROR(IF(VLOOKUP($A9,TableHandbook[],2,FALSE)=0,"",VLOOKUP($A9,TableHandbook[],2,FALSE)),"")</f>
        <v/>
      </c>
      <c r="C9" s="361" t="str">
        <f>IFERROR(IF(VLOOKUP($A9,TableHandbook[],3,FALSE)=0,"",VLOOKUP($A9,TableHandbook[],3,FALSE)),"")</f>
        <v/>
      </c>
      <c r="D9" s="362" t="str">
        <f>IFERROR(IF(VLOOKUP($A9,TableHandbook[],4,FALSE)=0,"",VLOOKUP($A9,TableHandbook[],4,FALSE)),"")</f>
        <v/>
      </c>
      <c r="E9" s="361" t="str">
        <f>IF(A9="","",VLOOKUP($D$6,TableStudyPeriods[],2,FALSE))</f>
        <v/>
      </c>
      <c r="F9" s="363" t="str">
        <f>IFERROR(IF(VLOOKUP($A9,TableHandbook[],6,FALSE)=0,"",VLOOKUP($A9,TableHandbook[],6,FALSE)),"")</f>
        <v/>
      </c>
      <c r="G9" s="361" t="str">
        <f>IFERROR(IF(VLOOKUP($A9,TableHandbook[],5,FALSE)=0,"",VLOOKUP($A9,TableHandbook[],5,FALSE)),"")</f>
        <v/>
      </c>
      <c r="H9" s="364" t="str">
        <f>IFERROR(VLOOKUP($A9,TableHandbook[],H$2,FALSE),"")</f>
        <v/>
      </c>
      <c r="I9" s="361" t="str">
        <f>IFERROR(VLOOKUP($A9,TableHandbook[],I$2,FALSE),"")</f>
        <v/>
      </c>
      <c r="J9" s="361" t="str">
        <f>IFERROR(VLOOKUP($A9,TableHandbook[],J$2,FALSE),"")</f>
        <v/>
      </c>
      <c r="K9" s="365" t="str">
        <f>IFERROR(VLOOKUP($A9,TableHandbook[],K$2,FALSE),"")</f>
        <v/>
      </c>
      <c r="L9" s="65"/>
      <c r="M9" s="366">
        <v>2</v>
      </c>
      <c r="N9" s="367"/>
      <c r="O9" s="367"/>
    </row>
    <row r="10" spans="1:16" s="368" customFormat="1" ht="20.100000000000001" customHeight="1" x14ac:dyDescent="0.15">
      <c r="A10" s="360" t="str">
        <f>IFERROR(IF(HLOOKUP($L$5,RangeHRIGHTUnitsets,M10,FALSE)=0,"",HLOOKUP($L$5,RangeHRIGHTUnitsets,M10,FALSE)),"")</f>
        <v/>
      </c>
      <c r="B10" s="361" t="str">
        <f>IFERROR(IF(VLOOKUP($A10,TableHandbook[],2,FALSE)=0,"",VLOOKUP($A10,TableHandbook[],2,FALSE)),"")</f>
        <v/>
      </c>
      <c r="C10" s="361" t="str">
        <f>IFERROR(IF(VLOOKUP($A10,TableHandbook[],3,FALSE)=0,"",VLOOKUP($A10,TableHandbook[],3,FALSE)),"")</f>
        <v/>
      </c>
      <c r="D10" s="362" t="str">
        <f>IFERROR(IF(VLOOKUP($A10,TableHandbook[],4,FALSE)=0,"",VLOOKUP($A10,TableHandbook[],4,FALSE)),"")</f>
        <v/>
      </c>
      <c r="E10" s="361" t="str">
        <f>IF(OR(A10="",A10="-"),"",E9)</f>
        <v/>
      </c>
      <c r="F10" s="363" t="str">
        <f>IFERROR(IF(VLOOKUP($A10,TableHandbook[],6,FALSE)=0,"",VLOOKUP($A10,TableHandbook[],6,FALSE)),"")</f>
        <v/>
      </c>
      <c r="G10" s="361" t="str">
        <f>IFERROR(IF(VLOOKUP($A10,TableHandbook[],5,FALSE)=0,"",VLOOKUP($A10,TableHandbook[],5,FALSE)),"")</f>
        <v/>
      </c>
      <c r="H10" s="364" t="str">
        <f>IFERROR(VLOOKUP($A10,TableHandbook[],H$2,FALSE),"")</f>
        <v/>
      </c>
      <c r="I10" s="361" t="str">
        <f>IFERROR(VLOOKUP($A10,TableHandbook[],I$2,FALSE),"")</f>
        <v/>
      </c>
      <c r="J10" s="361" t="str">
        <f>IFERROR(VLOOKUP($A10,TableHandbook[],J$2,FALSE),"")</f>
        <v/>
      </c>
      <c r="K10" s="365" t="str">
        <f>IFERROR(VLOOKUP($A10,TableHandbook[],K$2,FALSE),"")</f>
        <v/>
      </c>
      <c r="L10" s="65"/>
      <c r="M10" s="366">
        <v>3</v>
      </c>
      <c r="N10" s="367"/>
      <c r="O10" s="367"/>
    </row>
    <row r="11" spans="1:16" s="368" customFormat="1" ht="20.100000000000001" customHeight="1" x14ac:dyDescent="0.15">
      <c r="A11" s="360" t="str">
        <f>IFERROR(IF(HLOOKUP($L$5,RangeHRIGHTUnitsets,M11,FALSE)=0,"",HLOOKUP($L$5,RangeHRIGHTUnitsets,M11,FALSE)),"")</f>
        <v/>
      </c>
      <c r="B11" s="361" t="str">
        <f>IFERROR(IF(VLOOKUP($A11,TableHandbook[],2,FALSE)=0,"",VLOOKUP($A11,TableHandbook[],2,FALSE)),"")</f>
        <v/>
      </c>
      <c r="C11" s="361" t="str">
        <f>IFERROR(IF(VLOOKUP($A11,TableHandbook[],3,FALSE)=0,"",VLOOKUP($A11,TableHandbook[],3,FALSE)),"")</f>
        <v/>
      </c>
      <c r="D11" s="362" t="str">
        <f>IFERROR(IF(VLOOKUP($A11,TableHandbook[],4,FALSE)=0,"",VLOOKUP($A11,TableHandbook[],4,FALSE)),"")</f>
        <v/>
      </c>
      <c r="E11" s="361" t="str">
        <f t="shared" ref="E11:E12" si="0">IF(OR(A11="",A11="-"),"",E10)</f>
        <v/>
      </c>
      <c r="F11" s="363" t="str">
        <f>IFERROR(IF(VLOOKUP($A11,TableHandbook[],6,FALSE)=0,"",VLOOKUP($A11,TableHandbook[],6,FALSE)),"")</f>
        <v/>
      </c>
      <c r="G11" s="361" t="str">
        <f>IFERROR(IF(VLOOKUP($A11,TableHandbook[],5,FALSE)=0,"",VLOOKUP($A11,TableHandbook[],5,FALSE)),"")</f>
        <v/>
      </c>
      <c r="H11" s="364" t="str">
        <f>IFERROR(VLOOKUP($A11,TableHandbook[],H$2,FALSE),"")</f>
        <v/>
      </c>
      <c r="I11" s="361" t="str">
        <f>IFERROR(VLOOKUP($A11,TableHandbook[],I$2,FALSE),"")</f>
        <v/>
      </c>
      <c r="J11" s="361" t="str">
        <f>IFERROR(VLOOKUP($A11,TableHandbook[],J$2,FALSE),"")</f>
        <v/>
      </c>
      <c r="K11" s="365" t="str">
        <f>IFERROR(VLOOKUP($A11,TableHandbook[],K$2,FALSE),"")</f>
        <v/>
      </c>
      <c r="L11" s="66"/>
      <c r="M11" s="366">
        <v>4</v>
      </c>
      <c r="N11" s="367"/>
      <c r="O11" s="367"/>
    </row>
    <row r="12" spans="1:16" s="368" customFormat="1" ht="20.100000000000001" customHeight="1" x14ac:dyDescent="0.15">
      <c r="A12" s="360" t="str">
        <f>IFERROR(IF(HLOOKUP($L$5,RangeHRIGHTUnitsets,M12,FALSE)=0,"",HLOOKUP($L$5,RangeHRIGHTUnitsets,M12,FALSE)),"")</f>
        <v/>
      </c>
      <c r="B12" s="361" t="str">
        <f>IFERROR(IF(VLOOKUP($A12,TableHandbook[],2,FALSE)=0,"",VLOOKUP($A12,TableHandbook[],2,FALSE)),"")</f>
        <v/>
      </c>
      <c r="C12" s="361" t="str">
        <f>IFERROR(IF(VLOOKUP($A12,TableHandbook[],3,FALSE)=0,"",VLOOKUP($A12,TableHandbook[],3,FALSE)),"")</f>
        <v/>
      </c>
      <c r="D12" s="362" t="str">
        <f>IFERROR(IF(VLOOKUP($A12,TableHandbook[],4,FALSE)=0,"",VLOOKUP($A12,TableHandbook[],4,FALSE)),"")</f>
        <v/>
      </c>
      <c r="E12" s="361" t="str">
        <f t="shared" si="0"/>
        <v/>
      </c>
      <c r="F12" s="363" t="str">
        <f>IFERROR(IF(VLOOKUP($A12,TableHandbook[],6,FALSE)=0,"",VLOOKUP($A12,TableHandbook[],6,FALSE)),"")</f>
        <v/>
      </c>
      <c r="G12" s="361" t="str">
        <f>IFERROR(IF(VLOOKUP($A12,TableHandbook[],5,FALSE)=0,"",VLOOKUP($A12,TableHandbook[],5,FALSE)),"")</f>
        <v/>
      </c>
      <c r="H12" s="364" t="str">
        <f>IFERROR(VLOOKUP($A12,TableHandbook[],H$2,FALSE),"")</f>
        <v/>
      </c>
      <c r="I12" s="361" t="str">
        <f>IFERROR(VLOOKUP($A12,TableHandbook[],I$2,FALSE),"")</f>
        <v/>
      </c>
      <c r="J12" s="361" t="str">
        <f>IFERROR(VLOOKUP($A12,TableHandbook[],J$2,FALSE),"")</f>
        <v/>
      </c>
      <c r="K12" s="365" t="str">
        <f>IFERROR(VLOOKUP($A12,TableHandbook[],K$2,FALSE),"")</f>
        <v/>
      </c>
      <c r="L12" s="65"/>
      <c r="M12" s="366">
        <v>5</v>
      </c>
      <c r="N12" s="367"/>
      <c r="O12" s="367"/>
    </row>
    <row r="13" spans="1:16" s="368" customFormat="1" ht="5.0999999999999996" customHeight="1" x14ac:dyDescent="0.15">
      <c r="A13" s="369"/>
      <c r="B13" s="370"/>
      <c r="C13" s="370"/>
      <c r="D13" s="371"/>
      <c r="E13" s="370"/>
      <c r="F13" s="372"/>
      <c r="G13" s="370"/>
      <c r="H13" s="373"/>
      <c r="I13" s="370"/>
      <c r="J13" s="370"/>
      <c r="K13" s="374"/>
      <c r="L13" s="36"/>
      <c r="M13" s="366"/>
      <c r="N13" s="367"/>
      <c r="O13" s="367"/>
      <c r="P13" s="367"/>
    </row>
    <row r="14" spans="1:16" s="368" customFormat="1" ht="20.100000000000001" customHeight="1" x14ac:dyDescent="0.15">
      <c r="A14" s="360" t="str">
        <f>IFERROR(IF(HLOOKUP($L$5,RangeHRIGHTUnitsets,M14,FALSE)=0,"",HLOOKUP($L$5,RangeHRIGHTUnitsets,M14,FALSE)),"")</f>
        <v/>
      </c>
      <c r="B14" s="375" t="str">
        <f>IFERROR(IF(VLOOKUP($A14,TableHandbook[],2,FALSE)=0,"",VLOOKUP($A14,TableHandbook[],2,FALSE)),"")</f>
        <v/>
      </c>
      <c r="C14" s="375" t="str">
        <f>IFERROR(IF(VLOOKUP($A14,TableHandbook[],3,FALSE)=0,"",VLOOKUP($A14,TableHandbook[],3,FALSE)),"")</f>
        <v/>
      </c>
      <c r="D14" s="362" t="str">
        <f>IFERROR(IF(VLOOKUP($A14,TableHandbook[],4,FALSE)=0,"",VLOOKUP($A14,TableHandbook[],4,FALSE)),"")</f>
        <v/>
      </c>
      <c r="E14" s="361" t="str">
        <f>IF(A14="","",VLOOKUP($D$6,TableStudyPeriods[],3,FALSE))</f>
        <v/>
      </c>
      <c r="F14" s="363" t="str">
        <f>IFERROR(IF(VLOOKUP($A14,TableHandbook[],6,FALSE)=0,"",VLOOKUP($A14,TableHandbook[],6,FALSE)),"")</f>
        <v/>
      </c>
      <c r="G14" s="375" t="str">
        <f>IFERROR(IF(VLOOKUP($A14,TableHandbook[],5,FALSE)=0,"",VLOOKUP($A14,TableHandbook[],5,FALSE)),"")</f>
        <v/>
      </c>
      <c r="H14" s="376" t="str">
        <f>IFERROR(VLOOKUP($A14,TableHandbook[],H$2,FALSE),"")</f>
        <v/>
      </c>
      <c r="I14" s="375" t="str">
        <f>IFERROR(VLOOKUP($A14,TableHandbook[],I$2,FALSE),"")</f>
        <v/>
      </c>
      <c r="J14" s="375" t="str">
        <f>IFERROR(VLOOKUP($A14,TableHandbook[],J$2,FALSE),"")</f>
        <v/>
      </c>
      <c r="K14" s="377" t="str">
        <f>IFERROR(VLOOKUP($A14,TableHandbook[],K$2,FALSE),"")</f>
        <v/>
      </c>
      <c r="L14" s="66"/>
      <c r="M14" s="366">
        <v>6</v>
      </c>
      <c r="N14" s="367"/>
      <c r="O14" s="367"/>
    </row>
    <row r="15" spans="1:16" s="379" customFormat="1" ht="20.100000000000001" customHeight="1" x14ac:dyDescent="0.15">
      <c r="A15" s="360" t="str">
        <f>IFERROR(IF(HLOOKUP($L$5,RangeHRIGHTUnitsets,M15,FALSE)=0,"",HLOOKUP($L$5,RangeHRIGHTUnitsets,M15,FALSE)),"")</f>
        <v/>
      </c>
      <c r="B15" s="375" t="str">
        <f>IFERROR(IF(VLOOKUP($A15,TableHandbook[],2,FALSE)=0,"",VLOOKUP($A15,TableHandbook[],2,FALSE)),"")</f>
        <v/>
      </c>
      <c r="C15" s="375" t="str">
        <f>IFERROR(IF(VLOOKUP($A15,TableHandbook[],3,FALSE)=0,"",VLOOKUP($A15,TableHandbook[],3,FALSE)),"")</f>
        <v/>
      </c>
      <c r="D15" s="362" t="str">
        <f>IFERROR(IF(VLOOKUP($A15,TableHandbook[],4,FALSE)=0,"",VLOOKUP($A15,TableHandbook[],4,FALSE)),"")</f>
        <v/>
      </c>
      <c r="E15" s="361" t="str">
        <f>IF(OR(A15="",A15="-"),"",E14)</f>
        <v/>
      </c>
      <c r="F15" s="363" t="str">
        <f>IFERROR(IF(VLOOKUP($A15,TableHandbook[],6,FALSE)=0,"",VLOOKUP($A15,TableHandbook[],6,FALSE)),"")</f>
        <v/>
      </c>
      <c r="G15" s="375" t="str">
        <f>IFERROR(IF(VLOOKUP($A15,TableHandbook[],5,FALSE)=0,"",VLOOKUP($A15,TableHandbook[],5,FALSE)),"")</f>
        <v/>
      </c>
      <c r="H15" s="376" t="str">
        <f>IFERROR(VLOOKUP($A15,TableHandbook[],H$2,FALSE),"")</f>
        <v/>
      </c>
      <c r="I15" s="375" t="str">
        <f>IFERROR(VLOOKUP($A15,TableHandbook[],I$2,FALSE),"")</f>
        <v/>
      </c>
      <c r="J15" s="375" t="str">
        <f>IFERROR(VLOOKUP($A15,TableHandbook[],J$2,FALSE),"")</f>
        <v/>
      </c>
      <c r="K15" s="377" t="str">
        <f>IFERROR(VLOOKUP($A15,TableHandbook[],K$2,FALSE),"")</f>
        <v/>
      </c>
      <c r="L15" s="66"/>
      <c r="M15" s="366">
        <v>7</v>
      </c>
      <c r="N15" s="378"/>
      <c r="O15" s="378"/>
    </row>
    <row r="16" spans="1:16" s="379" customFormat="1" ht="20.100000000000001" customHeight="1" x14ac:dyDescent="0.15">
      <c r="A16" s="360" t="str">
        <f>IFERROR(IF(HLOOKUP($L$5,RangeHRIGHTUnitsets,M16,FALSE)=0,"",HLOOKUP($L$5,RangeHRIGHTUnitsets,M16,FALSE)),"")</f>
        <v/>
      </c>
      <c r="B16" s="375" t="str">
        <f>IFERROR(IF(VLOOKUP($A16,TableHandbook[],2,FALSE)=0,"",VLOOKUP($A16,TableHandbook[],2,FALSE)),"")</f>
        <v/>
      </c>
      <c r="C16" s="375" t="str">
        <f>IFERROR(IF(VLOOKUP($A16,TableHandbook[],3,FALSE)=0,"",VLOOKUP($A16,TableHandbook[],3,FALSE)),"")</f>
        <v/>
      </c>
      <c r="D16" s="362" t="str">
        <f>IFERROR(IF(VLOOKUP($A16,TableHandbook[],4,FALSE)=0,"",VLOOKUP($A16,TableHandbook[],4,FALSE)),"")</f>
        <v/>
      </c>
      <c r="E16" s="361" t="str">
        <f t="shared" ref="E16:E17" si="1">IF(OR(A16="",A16="-"),"",E15)</f>
        <v/>
      </c>
      <c r="F16" s="363" t="str">
        <f>IFERROR(IF(VLOOKUP($A16,TableHandbook[],6,FALSE)=0,"",VLOOKUP($A16,TableHandbook[],6,FALSE)),"")</f>
        <v/>
      </c>
      <c r="G16" s="375" t="str">
        <f>IFERROR(IF(VLOOKUP($A16,TableHandbook[],5,FALSE)=0,"",VLOOKUP($A16,TableHandbook[],5,FALSE)),"")</f>
        <v/>
      </c>
      <c r="H16" s="376" t="str">
        <f>IFERROR(VLOOKUP($A16,TableHandbook[],H$2,FALSE),"")</f>
        <v/>
      </c>
      <c r="I16" s="375" t="str">
        <f>IFERROR(VLOOKUP($A16,TableHandbook[],I$2,FALSE),"")</f>
        <v/>
      </c>
      <c r="J16" s="375" t="str">
        <f>IFERROR(VLOOKUP($A16,TableHandbook[],J$2,FALSE),"")</f>
        <v/>
      </c>
      <c r="K16" s="377" t="str">
        <f>IFERROR(VLOOKUP($A16,TableHandbook[],K$2,FALSE),"")</f>
        <v/>
      </c>
      <c r="L16" s="66"/>
      <c r="M16" s="366">
        <v>8</v>
      </c>
      <c r="N16" s="378"/>
      <c r="O16" s="378"/>
    </row>
    <row r="17" spans="1:16" s="379" customFormat="1" ht="20.100000000000001" customHeight="1" x14ac:dyDescent="0.15">
      <c r="A17" s="360" t="str">
        <f>IFERROR(IF(HLOOKUP($L$5,RangeHRIGHTUnitsets,M17,FALSE)=0,"",HLOOKUP($L$5,RangeHRIGHTUnitsets,M17,FALSE)),"")</f>
        <v/>
      </c>
      <c r="B17" s="375" t="str">
        <f>IFERROR(IF(VLOOKUP($A17,TableHandbook[],2,FALSE)=0,"",VLOOKUP($A17,TableHandbook[],2,FALSE)),"")</f>
        <v/>
      </c>
      <c r="C17" s="375" t="str">
        <f>IFERROR(IF(VLOOKUP($A17,TableHandbook[],3,FALSE)=0,"",VLOOKUP($A17,TableHandbook[],3,FALSE)),"")</f>
        <v/>
      </c>
      <c r="D17" s="380" t="str">
        <f>IFERROR(IF(VLOOKUP($A17,TableHandbook[],4,FALSE)=0,"",VLOOKUP($A17,TableHandbook[],4,FALSE)),"")</f>
        <v/>
      </c>
      <c r="E17" s="375" t="str">
        <f t="shared" si="1"/>
        <v/>
      </c>
      <c r="F17" s="363" t="str">
        <f>IFERROR(IF(VLOOKUP($A17,TableHandbook[],6,FALSE)=0,"",VLOOKUP($A17,TableHandbook[],6,FALSE)),"")</f>
        <v/>
      </c>
      <c r="G17" s="375" t="str">
        <f>IFERROR(IF(VLOOKUP($A17,TableHandbook[],5,FALSE)=0,"",VLOOKUP($A17,TableHandbook[],5,FALSE)),"")</f>
        <v/>
      </c>
      <c r="H17" s="376" t="str">
        <f>IFERROR(VLOOKUP($A17,TableHandbook[],H$2,FALSE),"")</f>
        <v/>
      </c>
      <c r="I17" s="375" t="str">
        <f>IFERROR(VLOOKUP($A17,TableHandbook[],I$2,FALSE),"")</f>
        <v/>
      </c>
      <c r="J17" s="375" t="str">
        <f>IFERROR(VLOOKUP($A17,TableHandbook[],J$2,FALSE),"")</f>
        <v/>
      </c>
      <c r="K17" s="377" t="str">
        <f>IFERROR(VLOOKUP($A17,TableHandbook[],K$2,FALSE),"")</f>
        <v/>
      </c>
      <c r="L17" s="66"/>
      <c r="M17" s="366">
        <v>9</v>
      </c>
      <c r="N17" s="378"/>
      <c r="O17" s="378"/>
    </row>
    <row r="18" spans="1:16" s="355" customFormat="1" ht="21" x14ac:dyDescent="0.25">
      <c r="A18" s="347" t="s">
        <v>29</v>
      </c>
      <c r="B18" s="347"/>
      <c r="C18" s="347"/>
      <c r="D18" s="348" t="s">
        <v>3</v>
      </c>
      <c r="E18" s="356" t="s">
        <v>21</v>
      </c>
      <c r="F18" s="357" t="s">
        <v>22</v>
      </c>
      <c r="G18" s="347" t="s">
        <v>23</v>
      </c>
      <c r="H18" s="358" t="str">
        <f>H$8</f>
        <v>Sem1 BEN</v>
      </c>
      <c r="I18" s="356" t="str">
        <f t="shared" ref="I18:L18" si="2">I$8</f>
        <v>Sem1 FO</v>
      </c>
      <c r="J18" s="356" t="str">
        <f t="shared" si="2"/>
        <v>Sem2 BEN</v>
      </c>
      <c r="K18" s="359" t="str">
        <f t="shared" si="2"/>
        <v>Sem2 FO</v>
      </c>
      <c r="L18" s="347" t="str">
        <f t="shared" si="2"/>
        <v>Notes / Progress</v>
      </c>
      <c r="M18" s="353"/>
      <c r="N18" s="354"/>
      <c r="O18" s="354"/>
    </row>
    <row r="19" spans="1:16" s="368" customFormat="1" ht="20.100000000000001" customHeight="1" x14ac:dyDescent="0.15">
      <c r="A19" s="360" t="str">
        <f>IFERROR(IF(HLOOKUP($L$5,RangeHRIGHTUnitsets,M19,FALSE)=0,"",HLOOKUP($L$5,RangeHRIGHTUnitsets,M19,FALSE)),"")</f>
        <v/>
      </c>
      <c r="B19" s="375" t="str">
        <f>IFERROR(IF(VLOOKUP($A19,TableHandbook[],2,FALSE)=0,"",VLOOKUP($A19,TableHandbook[],2,FALSE)),"")</f>
        <v/>
      </c>
      <c r="C19" s="375" t="str">
        <f>IFERROR(IF(VLOOKUP($A19,TableHandbook[],3,FALSE)=0,"",VLOOKUP($A19,TableHandbook[],3,FALSE)),"")</f>
        <v/>
      </c>
      <c r="D19" s="381" t="str">
        <f>IFERROR(IF(VLOOKUP($A19,TableHandbook[],4,FALSE)=0,"",VLOOKUP($A19,TableHandbook[],4,FALSE)),"")</f>
        <v/>
      </c>
      <c r="E19" s="375" t="str">
        <f>IF(A19="","",VLOOKUP($D$6,TableStudyPeriods[],2,FALSE))</f>
        <v/>
      </c>
      <c r="F19" s="363" t="str">
        <f>IFERROR(IF(VLOOKUP($A19,TableHandbook[],6,FALSE)=0,"",VLOOKUP($A19,TableHandbook[],6,FALSE)),"")</f>
        <v/>
      </c>
      <c r="G19" s="361" t="str">
        <f>IFERROR(IF(VLOOKUP($A19,TableHandbook[],5,FALSE)=0,"",VLOOKUP($A19,TableHandbook[],5,FALSE)),"")</f>
        <v/>
      </c>
      <c r="H19" s="364" t="str">
        <f>IFERROR(VLOOKUP($A19,TableHandbook[],H$2,FALSE),"")</f>
        <v/>
      </c>
      <c r="I19" s="361" t="str">
        <f>IFERROR(VLOOKUP($A19,TableHandbook[],I$2,FALSE),"")</f>
        <v/>
      </c>
      <c r="J19" s="361" t="str">
        <f>IFERROR(VLOOKUP($A19,TableHandbook[],J$2,FALSE),"")</f>
        <v/>
      </c>
      <c r="K19" s="365" t="str">
        <f>IFERROR(VLOOKUP($A19,TableHandbook[],K$2,FALSE),"")</f>
        <v/>
      </c>
      <c r="L19" s="65"/>
      <c r="M19" s="366">
        <v>10</v>
      </c>
      <c r="N19" s="367"/>
      <c r="O19" s="367"/>
    </row>
    <row r="20" spans="1:16" s="368" customFormat="1" ht="20.100000000000001" customHeight="1" x14ac:dyDescent="0.15">
      <c r="A20" s="360" t="str">
        <f>IFERROR(IF(HLOOKUP($L$5,RangeHRIGHTUnitsets,M20,FALSE)=0,"",HLOOKUP($L$5,RangeHRIGHTUnitsets,M20,FALSE)),"")</f>
        <v/>
      </c>
      <c r="B20" s="375" t="str">
        <f>IFERROR(IF(VLOOKUP($A20,TableHandbook[],2,FALSE)=0,"",VLOOKUP($A20,TableHandbook[],2,FALSE)),"")</f>
        <v/>
      </c>
      <c r="C20" s="375" t="str">
        <f>IFERROR(IF(VLOOKUP($A20,TableHandbook[],3,FALSE)=0,"",VLOOKUP($A20,TableHandbook[],3,FALSE)),"")</f>
        <v/>
      </c>
      <c r="D20" s="380" t="str">
        <f>IFERROR(IF(VLOOKUP($A20,TableHandbook[],4,FALSE)=0,"",VLOOKUP($A20,TableHandbook[],4,FALSE)),"")</f>
        <v/>
      </c>
      <c r="E20" s="375" t="str">
        <f>IF(OR(A20="",A20="-"),"",E19)</f>
        <v/>
      </c>
      <c r="F20" s="363" t="str">
        <f>IFERROR(IF(VLOOKUP($A20,TableHandbook[],6,FALSE)=0,"",VLOOKUP($A20,TableHandbook[],6,FALSE)),"")</f>
        <v/>
      </c>
      <c r="G20" s="361" t="str">
        <f>IFERROR(IF(VLOOKUP($A20,TableHandbook[],5,FALSE)=0,"",VLOOKUP($A20,TableHandbook[],5,FALSE)),"")</f>
        <v/>
      </c>
      <c r="H20" s="364" t="str">
        <f>IFERROR(VLOOKUP($A20,TableHandbook[],H$2,FALSE),"")</f>
        <v/>
      </c>
      <c r="I20" s="361" t="str">
        <f>IFERROR(VLOOKUP($A20,TableHandbook[],I$2,FALSE),"")</f>
        <v/>
      </c>
      <c r="J20" s="361" t="str">
        <f>IFERROR(VLOOKUP($A20,TableHandbook[],J$2,FALSE),"")</f>
        <v/>
      </c>
      <c r="K20" s="365" t="str">
        <f>IFERROR(VLOOKUP($A20,TableHandbook[],K$2,FALSE),"")</f>
        <v/>
      </c>
      <c r="L20" s="65"/>
      <c r="M20" s="366">
        <v>11</v>
      </c>
      <c r="N20" s="367"/>
      <c r="O20" s="367"/>
    </row>
    <row r="21" spans="1:16" s="368" customFormat="1" ht="20.100000000000001" customHeight="1" x14ac:dyDescent="0.15">
      <c r="A21" s="360" t="str">
        <f>IFERROR(IF(HLOOKUP($L$5,RangeHRIGHTUnitsets,M21,FALSE)=0,"",HLOOKUP($L$5,RangeHRIGHTUnitsets,M21,FALSE)),"")</f>
        <v/>
      </c>
      <c r="B21" s="375" t="str">
        <f>IFERROR(IF(VLOOKUP($A21,TableHandbook[],2,FALSE)=0,"",VLOOKUP($A21,TableHandbook[],2,FALSE)),"")</f>
        <v/>
      </c>
      <c r="C21" s="375" t="str">
        <f>IFERROR(IF(VLOOKUP($A21,TableHandbook[],3,FALSE)=0,"",VLOOKUP($A21,TableHandbook[],3,FALSE)),"")</f>
        <v/>
      </c>
      <c r="D21" s="380" t="str">
        <f>IFERROR(IF(VLOOKUP($A21,TableHandbook[],4,FALSE)=0,"",VLOOKUP($A21,TableHandbook[],4,FALSE)),"")</f>
        <v/>
      </c>
      <c r="E21" s="375" t="str">
        <f t="shared" ref="E21:E22" si="3">IF(OR(A21="",A21="-"),"",E20)</f>
        <v/>
      </c>
      <c r="F21" s="363" t="str">
        <f>IFERROR(IF(VLOOKUP($A21,TableHandbook[],6,FALSE)=0,"",VLOOKUP($A21,TableHandbook[],6,FALSE)),"")</f>
        <v/>
      </c>
      <c r="G21" s="361" t="str">
        <f>IFERROR(IF(VLOOKUP($A21,TableHandbook[],5,FALSE)=0,"",VLOOKUP($A21,TableHandbook[],5,FALSE)),"")</f>
        <v/>
      </c>
      <c r="H21" s="364" t="str">
        <f>IFERROR(VLOOKUP($A21,TableHandbook[],H$2,FALSE),"")</f>
        <v/>
      </c>
      <c r="I21" s="361" t="str">
        <f>IFERROR(VLOOKUP($A21,TableHandbook[],I$2,FALSE),"")</f>
        <v/>
      </c>
      <c r="J21" s="361" t="str">
        <f>IFERROR(VLOOKUP($A21,TableHandbook[],J$2,FALSE),"")</f>
        <v/>
      </c>
      <c r="K21" s="365" t="str">
        <f>IFERROR(VLOOKUP($A21,TableHandbook[],K$2,FALSE),"")</f>
        <v/>
      </c>
      <c r="L21" s="65"/>
      <c r="M21" s="366">
        <v>12</v>
      </c>
      <c r="N21" s="367"/>
      <c r="O21" s="367"/>
    </row>
    <row r="22" spans="1:16" s="368" customFormat="1" ht="20.100000000000001" customHeight="1" x14ac:dyDescent="0.15">
      <c r="A22" s="360" t="str">
        <f>IFERROR(IF(HLOOKUP($L$5,RangeHRIGHTUnitsets,M22,FALSE)=0,"",HLOOKUP($L$5,RangeHRIGHTUnitsets,M22,FALSE)),"")</f>
        <v/>
      </c>
      <c r="B22" s="375" t="str">
        <f>IFERROR(IF(VLOOKUP($A22,TableHandbook[],2,FALSE)=0,"",VLOOKUP($A22,TableHandbook[],2,FALSE)),"")</f>
        <v/>
      </c>
      <c r="C22" s="375" t="str">
        <f>IFERROR(IF(VLOOKUP($A22,TableHandbook[],3,FALSE)=0,"",VLOOKUP($A22,TableHandbook[],3,FALSE)),"")</f>
        <v/>
      </c>
      <c r="D22" s="380" t="str">
        <f>IFERROR(IF(VLOOKUP($A22,TableHandbook[],4,FALSE)=0,"",VLOOKUP($A22,TableHandbook[],4,FALSE)),"")</f>
        <v/>
      </c>
      <c r="E22" s="375" t="str">
        <f t="shared" si="3"/>
        <v/>
      </c>
      <c r="F22" s="363" t="str">
        <f>IFERROR(IF(VLOOKUP($A22,TableHandbook[],6,FALSE)=0,"",VLOOKUP($A22,TableHandbook[],6,FALSE)),"")</f>
        <v/>
      </c>
      <c r="G22" s="361" t="str">
        <f>IFERROR(IF(VLOOKUP($A22,TableHandbook[],5,FALSE)=0,"",VLOOKUP($A22,TableHandbook[],5,FALSE)),"")</f>
        <v/>
      </c>
      <c r="H22" s="364" t="str">
        <f>IFERROR(VLOOKUP($A22,TableHandbook[],H$2,FALSE),"")</f>
        <v/>
      </c>
      <c r="I22" s="361" t="str">
        <f>IFERROR(VLOOKUP($A22,TableHandbook[],I$2,FALSE),"")</f>
        <v/>
      </c>
      <c r="J22" s="361" t="str">
        <f>IFERROR(VLOOKUP($A22,TableHandbook[],J$2,FALSE),"")</f>
        <v/>
      </c>
      <c r="K22" s="365" t="str">
        <f>IFERROR(VLOOKUP($A22,TableHandbook[],K$2,FALSE),"")</f>
        <v/>
      </c>
      <c r="L22" s="65"/>
      <c r="M22" s="366">
        <v>13</v>
      </c>
      <c r="N22" s="367"/>
      <c r="O22" s="367"/>
    </row>
    <row r="23" spans="1:16" s="368" customFormat="1" ht="5.0999999999999996" customHeight="1" x14ac:dyDescent="0.15">
      <c r="A23" s="369"/>
      <c r="B23" s="370"/>
      <c r="C23" s="370"/>
      <c r="D23" s="371"/>
      <c r="E23" s="370"/>
      <c r="F23" s="372"/>
      <c r="G23" s="370"/>
      <c r="H23" s="373"/>
      <c r="I23" s="370"/>
      <c r="J23" s="370"/>
      <c r="K23" s="374"/>
      <c r="L23" s="36"/>
      <c r="M23" s="366"/>
      <c r="N23" s="367"/>
      <c r="O23" s="367"/>
      <c r="P23" s="367"/>
    </row>
    <row r="24" spans="1:16" s="368" customFormat="1" ht="20.100000000000001" customHeight="1" x14ac:dyDescent="0.15">
      <c r="A24" s="360" t="str">
        <f>IFERROR(IF(HLOOKUP($L$5,RangeHRIGHTUnitsets,M24,FALSE)=0,"",HLOOKUP($L$5,RangeHRIGHTUnitsets,M24,FALSE)),"")</f>
        <v/>
      </c>
      <c r="B24" s="375" t="str">
        <f>IFERROR(IF(VLOOKUP($A24,TableHandbook[],2,FALSE)=0,"",VLOOKUP($A24,TableHandbook[],2,FALSE)),"")</f>
        <v/>
      </c>
      <c r="C24" s="375" t="str">
        <f>IFERROR(IF(VLOOKUP($A24,TableHandbook[],3,FALSE)=0,"",VLOOKUP($A24,TableHandbook[],3,FALSE)),"")</f>
        <v/>
      </c>
      <c r="D24" s="380" t="str">
        <f>IFERROR(IF(VLOOKUP($A24,TableHandbook[],4,FALSE)=0,"",VLOOKUP($A24,TableHandbook[],4,FALSE)),"")</f>
        <v/>
      </c>
      <c r="E24" s="375" t="str">
        <f>IF(A24="","",VLOOKUP($D$6,TableStudyPeriods[],3,FALSE))</f>
        <v/>
      </c>
      <c r="F24" s="363" t="str">
        <f>IFERROR(IF(VLOOKUP($A24,TableHandbook[],6,FALSE)=0,"",VLOOKUP($A24,TableHandbook[],6,FALSE)),"")</f>
        <v/>
      </c>
      <c r="G24" s="361" t="str">
        <f>IFERROR(IF(VLOOKUP($A24,TableHandbook[],5,FALSE)=0,"",VLOOKUP($A24,TableHandbook[],5,FALSE)),"")</f>
        <v/>
      </c>
      <c r="H24" s="364" t="str">
        <f>IFERROR(VLOOKUP($A24,TableHandbook[],H$2,FALSE),"")</f>
        <v/>
      </c>
      <c r="I24" s="361" t="str">
        <f>IFERROR(VLOOKUP($A24,TableHandbook[],I$2,FALSE),"")</f>
        <v/>
      </c>
      <c r="J24" s="361" t="str">
        <f>IFERROR(VLOOKUP($A24,TableHandbook[],J$2,FALSE),"")</f>
        <v/>
      </c>
      <c r="K24" s="365" t="str">
        <f>IFERROR(VLOOKUP($A24,TableHandbook[],K$2,FALSE),"")</f>
        <v/>
      </c>
      <c r="L24" s="65"/>
      <c r="M24" s="366">
        <v>14</v>
      </c>
      <c r="N24" s="367"/>
      <c r="O24" s="367"/>
    </row>
    <row r="25" spans="1:16" s="368" customFormat="1" ht="20.100000000000001" customHeight="1" x14ac:dyDescent="0.15">
      <c r="A25" s="360" t="str">
        <f>IFERROR(IF(HLOOKUP($L$5,RangeHRIGHTUnitsets,M25,FALSE)=0,"",HLOOKUP($L$5,RangeHRIGHTUnitsets,M25,FALSE)),"")</f>
        <v/>
      </c>
      <c r="B25" s="375" t="str">
        <f>IFERROR(IF(VLOOKUP($A25,TableHandbook[],2,FALSE)=0,"",VLOOKUP($A25,TableHandbook[],2,FALSE)),"")</f>
        <v/>
      </c>
      <c r="C25" s="375" t="str">
        <f>IFERROR(IF(VLOOKUP($A25,TableHandbook[],3,FALSE)=0,"",VLOOKUP($A25,TableHandbook[],3,FALSE)),"")</f>
        <v/>
      </c>
      <c r="D25" s="380" t="str">
        <f>IFERROR(IF(VLOOKUP($A25,TableHandbook[],4,FALSE)=0,"",VLOOKUP($A25,TableHandbook[],4,FALSE)),"")</f>
        <v/>
      </c>
      <c r="E25" s="375" t="str">
        <f>IF(OR(A25="",A25="-"),"",E24)</f>
        <v/>
      </c>
      <c r="F25" s="363" t="str">
        <f>IFERROR(IF(VLOOKUP($A25,TableHandbook[],6,FALSE)=0,"",VLOOKUP($A25,TableHandbook[],6,FALSE)),"")</f>
        <v/>
      </c>
      <c r="G25" s="361" t="str">
        <f>IFERROR(IF(VLOOKUP($A25,TableHandbook[],5,FALSE)=0,"",VLOOKUP($A25,TableHandbook[],5,FALSE)),"")</f>
        <v/>
      </c>
      <c r="H25" s="364" t="str">
        <f>IFERROR(VLOOKUP($A25,TableHandbook[],H$2,FALSE),"")</f>
        <v/>
      </c>
      <c r="I25" s="361" t="str">
        <f>IFERROR(VLOOKUP($A25,TableHandbook[],I$2,FALSE),"")</f>
        <v/>
      </c>
      <c r="J25" s="361" t="str">
        <f>IFERROR(VLOOKUP($A25,TableHandbook[],J$2,FALSE),"")</f>
        <v/>
      </c>
      <c r="K25" s="365" t="str">
        <f>IFERROR(VLOOKUP($A25,TableHandbook[],K$2,FALSE),"")</f>
        <v/>
      </c>
      <c r="L25" s="65"/>
      <c r="M25" s="366">
        <v>15</v>
      </c>
      <c r="N25" s="367"/>
      <c r="O25" s="367"/>
    </row>
    <row r="26" spans="1:16" s="379" customFormat="1" ht="20.100000000000001" customHeight="1" x14ac:dyDescent="0.15">
      <c r="A26" s="360" t="str">
        <f>IFERROR(IF(HLOOKUP($L$5,RangeHRIGHTUnitsets,M26,FALSE)=0,"",HLOOKUP($L$5,RangeHRIGHTUnitsets,M26,FALSE)),"")</f>
        <v/>
      </c>
      <c r="B26" s="375" t="str">
        <f>IFERROR(IF(VLOOKUP($A26,TableHandbook[],2,FALSE)=0,"",VLOOKUP($A26,TableHandbook[],2,FALSE)),"")</f>
        <v/>
      </c>
      <c r="C26" s="375" t="str">
        <f>IFERROR(IF(VLOOKUP($A26,TableHandbook[],3,FALSE)=0,"",VLOOKUP($A26,TableHandbook[],3,FALSE)),"")</f>
        <v/>
      </c>
      <c r="D26" s="380" t="str">
        <f>IFERROR(IF(VLOOKUP($A26,TableHandbook[],4,FALSE)=0,"",VLOOKUP($A26,TableHandbook[],4,FALSE)),"")</f>
        <v/>
      </c>
      <c r="E26" s="375" t="str">
        <f t="shared" ref="E26:E27" si="4">IF(OR(A26="",A26="-"),"",E25)</f>
        <v/>
      </c>
      <c r="F26" s="363" t="str">
        <f>IFERROR(IF(VLOOKUP($A26,TableHandbook[],6,FALSE)=0,"",VLOOKUP($A26,TableHandbook[],6,FALSE)),"")</f>
        <v/>
      </c>
      <c r="G26" s="361" t="str">
        <f>IFERROR(IF(VLOOKUP($A26,TableHandbook[],5,FALSE)=0,"",VLOOKUP($A26,TableHandbook[],5,FALSE)),"")</f>
        <v/>
      </c>
      <c r="H26" s="364" t="str">
        <f>IFERROR(VLOOKUP($A26,TableHandbook[],H$2,FALSE),"")</f>
        <v/>
      </c>
      <c r="I26" s="361" t="str">
        <f>IFERROR(VLOOKUP($A26,TableHandbook[],I$2,FALSE),"")</f>
        <v/>
      </c>
      <c r="J26" s="361" t="str">
        <f>IFERROR(VLOOKUP($A26,TableHandbook[],J$2,FALSE),"")</f>
        <v/>
      </c>
      <c r="K26" s="365" t="str">
        <f>IFERROR(VLOOKUP($A26,TableHandbook[],K$2,FALSE),"")</f>
        <v/>
      </c>
      <c r="L26" s="65"/>
      <c r="M26" s="366">
        <v>16</v>
      </c>
      <c r="N26" s="378"/>
      <c r="O26" s="378"/>
    </row>
    <row r="27" spans="1:16" s="379" customFormat="1" ht="20.100000000000001" customHeight="1" x14ac:dyDescent="0.15">
      <c r="A27" s="360" t="str">
        <f>IFERROR(IF(HLOOKUP($L$5,RangeHRIGHTUnitsets,M27,FALSE)=0,"",HLOOKUP($L$5,RangeHRIGHTUnitsets,M27,FALSE)),"")</f>
        <v/>
      </c>
      <c r="B27" s="375" t="str">
        <f>IFERROR(IF(VLOOKUP($A27,TableHandbook[],2,FALSE)=0,"",VLOOKUP($A27,TableHandbook[],2,FALSE)),"")</f>
        <v/>
      </c>
      <c r="C27" s="375" t="str">
        <f>IFERROR(IF(VLOOKUP($A27,TableHandbook[],3,FALSE)=0,"",VLOOKUP($A27,TableHandbook[],3,FALSE)),"")</f>
        <v/>
      </c>
      <c r="D27" s="380" t="str">
        <f>IFERROR(IF(VLOOKUP($A27,TableHandbook[],4,FALSE)=0,"",VLOOKUP($A27,TableHandbook[],4,FALSE)),"")</f>
        <v/>
      </c>
      <c r="E27" s="361" t="str">
        <f t="shared" si="4"/>
        <v/>
      </c>
      <c r="F27" s="363" t="str">
        <f>IFERROR(IF(VLOOKUP($A27,TableHandbook[],6,FALSE)=0,"",VLOOKUP($A27,TableHandbook[],6,FALSE)),"")</f>
        <v/>
      </c>
      <c r="G27" s="361" t="str">
        <f>IFERROR(IF(VLOOKUP($A27,TableHandbook[],5,FALSE)=0,"",VLOOKUP($A27,TableHandbook[],5,FALSE)),"")</f>
        <v/>
      </c>
      <c r="H27" s="364" t="str">
        <f>IFERROR(VLOOKUP($A27,TableHandbook[],H$2,FALSE),"")</f>
        <v/>
      </c>
      <c r="I27" s="361" t="str">
        <f>IFERROR(VLOOKUP($A27,TableHandbook[],I$2,FALSE),"")</f>
        <v/>
      </c>
      <c r="J27" s="361" t="str">
        <f>IFERROR(VLOOKUP($A27,TableHandbook[],J$2,FALSE),"")</f>
        <v/>
      </c>
      <c r="K27" s="365" t="str">
        <f>IFERROR(VLOOKUP($A27,TableHandbook[],K$2,FALSE),"")</f>
        <v/>
      </c>
      <c r="L27" s="65"/>
      <c r="M27" s="366">
        <v>17</v>
      </c>
      <c r="N27" s="378"/>
      <c r="O27" s="378"/>
    </row>
    <row r="28" spans="1:16" s="379" customFormat="1" ht="20.100000000000001" customHeight="1" x14ac:dyDescent="0.15">
      <c r="A28" s="382"/>
      <c r="B28" s="383"/>
      <c r="C28" s="383"/>
      <c r="D28" s="384"/>
      <c r="E28" s="382"/>
      <c r="F28" s="385"/>
      <c r="G28" s="382"/>
      <c r="H28" s="382"/>
      <c r="I28" s="382"/>
      <c r="J28" s="382"/>
      <c r="K28" s="382"/>
      <c r="L28" s="345"/>
      <c r="M28" s="366"/>
      <c r="N28" s="378"/>
      <c r="O28" s="378"/>
    </row>
    <row r="29" spans="1:16" ht="20.25" x14ac:dyDescent="0.25">
      <c r="A29" s="386" t="s">
        <v>210</v>
      </c>
      <c r="B29" s="387"/>
      <c r="C29" s="387"/>
      <c r="D29" s="388"/>
      <c r="E29" s="389"/>
      <c r="F29" s="390"/>
      <c r="G29" s="389"/>
      <c r="H29" s="391" t="str">
        <f>H7</f>
        <v>2024 Availabilities</v>
      </c>
      <c r="I29" s="392"/>
      <c r="J29" s="393"/>
      <c r="K29" s="394"/>
      <c r="L29" s="395" t="str">
        <f>VLOOKUP(D5,TableCourses[],2,FALSE)</f>
        <v>MC-HRIGLO</v>
      </c>
      <c r="M29" s="325"/>
    </row>
    <row r="30" spans="1:16" s="396" customFormat="1" ht="21" x14ac:dyDescent="0.25">
      <c r="A30" s="347"/>
      <c r="B30" s="347"/>
      <c r="C30" s="347"/>
      <c r="D30" s="348" t="s">
        <v>3</v>
      </c>
      <c r="E30" s="356"/>
      <c r="F30" s="357" t="s">
        <v>22</v>
      </c>
      <c r="G30" s="347" t="s">
        <v>23</v>
      </c>
      <c r="H30" s="358" t="str">
        <f>H$8</f>
        <v>Sem1 BEN</v>
      </c>
      <c r="I30" s="356" t="str">
        <f t="shared" ref="I30:L30" si="5">I$8</f>
        <v>Sem1 FO</v>
      </c>
      <c r="J30" s="356" t="str">
        <f t="shared" si="5"/>
        <v>Sem2 BEN</v>
      </c>
      <c r="K30" s="359" t="str">
        <f t="shared" si="5"/>
        <v>Sem2 FO</v>
      </c>
      <c r="L30" s="347" t="str">
        <f t="shared" si="5"/>
        <v>Notes / Progress</v>
      </c>
      <c r="M30" s="325"/>
    </row>
    <row r="31" spans="1:16" x14ac:dyDescent="0.25">
      <c r="A31" s="397" t="str">
        <f t="shared" ref="A31:A37" si="6">IFERROR(IF(HLOOKUP($L$29,RangeHRIGHTOptions,$M31,FALSE)=0,"",HLOOKUP($L$29,RangeHRIGHTOptions,$M31,FALSE)),"")</f>
        <v>AC-HRIGLO1</v>
      </c>
      <c r="B31" s="398" t="str">
        <f>IFERROR(IF(VLOOKUP($A31,TableHandbook[],2,FALSE)=0,"",VLOOKUP($A31,TableHandbook[],2,FALSE)),"")</f>
        <v/>
      </c>
      <c r="C31" s="398" t="str">
        <f>IFERROR(IF(VLOOKUP($A31,TableHandbook[],3,FALSE)=0,"",VLOOKUP($A31,TableHandbook[],3,FALSE)),"")</f>
        <v/>
      </c>
      <c r="D31" s="399" t="str">
        <f>IFERROR(IF(VLOOKUP($A31,TableHandbook[],4,FALSE)=0,"",VLOOKUP($A31,TableHandbook[],4,FALSE)),"")</f>
        <v>Study either COMS6004 or HUMN6001 (see below)</v>
      </c>
      <c r="E31" s="400"/>
      <c r="F31" s="401" t="str">
        <f>IFERROR(IF(VLOOKUP($A31,TableHandbook[],6,FALSE)=0,"",VLOOKUP($A31,TableHandbook[],6,FALSE)),"")</f>
        <v>See below</v>
      </c>
      <c r="G31" s="402">
        <f>IFERROR(IF(VLOOKUP($A31,TableHandbook[],5,FALSE)=0,"",VLOOKUP($A31,TableHandbook[],5,FALSE)),"")</f>
        <v>50</v>
      </c>
      <c r="H31" s="364" t="str">
        <f>IFERROR(VLOOKUP($A31,TableHandbook[],H$2,FALSE),"")</f>
        <v>Y</v>
      </c>
      <c r="I31" s="361" t="str">
        <f>IFERROR(VLOOKUP($A31,TableHandbook[],I$2,FALSE),"")</f>
        <v>Y</v>
      </c>
      <c r="J31" s="361" t="str">
        <f>IFERROR(VLOOKUP($A31,TableHandbook[],J$2,FALSE),"")</f>
        <v>Y</v>
      </c>
      <c r="K31" s="365" t="str">
        <f>IFERROR(VLOOKUP($A31,TableHandbook[],K$2,FALSE),"")</f>
        <v>Y</v>
      </c>
      <c r="L31" s="66"/>
      <c r="M31" s="366">
        <v>2</v>
      </c>
    </row>
    <row r="32" spans="1:16" x14ac:dyDescent="0.25">
      <c r="A32" s="397" t="str">
        <f t="shared" si="6"/>
        <v>COMS6004</v>
      </c>
      <c r="B32" s="398">
        <f>IFERROR(IF(VLOOKUP($A32,TableHandbook[],2,FALSE)=0,"",VLOOKUP($A32,TableHandbook[],2,FALSE)),"")</f>
        <v>2</v>
      </c>
      <c r="C32" s="398" t="str">
        <f>IFERROR(IF(VLOOKUP($A32,TableHandbook[],3,FALSE)=0,"",VLOOKUP($A32,TableHandbook[],3,FALSE)),"")</f>
        <v/>
      </c>
      <c r="D32" s="399" t="str">
        <f>IFERROR(IF(VLOOKUP($A32,TableHandbook[],4,FALSE)=0,"",VLOOKUP($A32,TableHandbook[],4,FALSE)),"")</f>
        <v>Masters Professional or Creative Project</v>
      </c>
      <c r="E32" s="400"/>
      <c r="F32" s="401" t="str">
        <f>IFERROR(IF(VLOOKUP($A32,TableHandbook[],6,FALSE)=0,"",VLOOKUP($A32,TableHandbook[],6,FALSE)),"")</f>
        <v>Course specific - See Handbook</v>
      </c>
      <c r="G32" s="402">
        <f>IFERROR(IF(VLOOKUP($A32,TableHandbook[],5,FALSE)=0,"",VLOOKUP($A32,TableHandbook[],5,FALSE)),"")</f>
        <v>50</v>
      </c>
      <c r="H32" s="364" t="str">
        <f>IFERROR(VLOOKUP($A32,TableHandbook[],H$2,FALSE),"")</f>
        <v>Y</v>
      </c>
      <c r="I32" s="361" t="str">
        <f>IFERROR(VLOOKUP($A32,TableHandbook[],I$2,FALSE),"")</f>
        <v>Y</v>
      </c>
      <c r="J32" s="361" t="str">
        <f>IFERROR(VLOOKUP($A32,TableHandbook[],J$2,FALSE),"")</f>
        <v>Y</v>
      </c>
      <c r="K32" s="365" t="str">
        <f>IFERROR(VLOOKUP($A32,TableHandbook[],K$2,FALSE),"")</f>
        <v>Y</v>
      </c>
      <c r="L32" s="66"/>
      <c r="M32" s="366">
        <v>3</v>
      </c>
    </row>
    <row r="33" spans="1:15" x14ac:dyDescent="0.25">
      <c r="A33" s="397" t="str">
        <f t="shared" si="6"/>
        <v>HUMN6001</v>
      </c>
      <c r="B33" s="398">
        <f>IFERROR(IF(VLOOKUP($A33,TableHandbook[],2,FALSE)=0,"",VLOOKUP($A33,TableHandbook[],2,FALSE)),"")</f>
        <v>1</v>
      </c>
      <c r="C33" s="398" t="str">
        <f>IFERROR(IF(VLOOKUP($A33,TableHandbook[],3,FALSE)=0,"",VLOOKUP($A33,TableHandbook[],3,FALSE)),"")</f>
        <v/>
      </c>
      <c r="D33" s="399" t="str">
        <f>IFERROR(IF(VLOOKUP($A33,TableHandbook[],4,FALSE)=0,"",VLOOKUP($A33,TableHandbook[],4,FALSE)),"")</f>
        <v>Masters Research Project 1 (* pre requisite to HUMN6003)</v>
      </c>
      <c r="E33" s="400"/>
      <c r="F33" s="401" t="str">
        <f>IFERROR(IF(VLOOKUP($A33,TableHandbook[],6,FALSE)=0,"",VLOOKUP($A33,TableHandbook[],6,FALSE)),"")</f>
        <v>Course specific - See Handbook</v>
      </c>
      <c r="G33" s="402">
        <f>IFERROR(IF(VLOOKUP($A33,TableHandbook[],5,FALSE)=0,"",VLOOKUP($A33,TableHandbook[],5,FALSE)),"")</f>
        <v>50</v>
      </c>
      <c r="H33" s="364" t="str">
        <f>IFERROR(VLOOKUP($A33,TableHandbook[],H$2,FALSE),"")</f>
        <v>Y</v>
      </c>
      <c r="I33" s="361" t="str">
        <f>IFERROR(VLOOKUP($A33,TableHandbook[],I$2,FALSE),"")</f>
        <v>Y</v>
      </c>
      <c r="J33" s="361" t="str">
        <f>IFERROR(VLOOKUP($A33,TableHandbook[],J$2,FALSE),"")</f>
        <v>Y</v>
      </c>
      <c r="K33" s="365" t="str">
        <f>IFERROR(VLOOKUP($A33,TableHandbook[],K$2,FALSE),"")</f>
        <v>Y</v>
      </c>
      <c r="L33" s="66"/>
      <c r="M33" s="366">
        <v>4</v>
      </c>
    </row>
    <row r="34" spans="1:15" x14ac:dyDescent="0.25">
      <c r="A34" s="397" t="str">
        <f t="shared" si="6"/>
        <v xml:space="preserve"> </v>
      </c>
      <c r="B34" s="398" t="str">
        <f>IFERROR(IF(VLOOKUP($A34,TableHandbook[],2,FALSE)=0,"",VLOOKUP($A34,TableHandbook[],2,FALSE)),"")</f>
        <v/>
      </c>
      <c r="C34" s="398" t="str">
        <f>IFERROR(IF(VLOOKUP($A34,TableHandbook[],3,FALSE)=0,"",VLOOKUP($A34,TableHandbook[],3,FALSE)),"")</f>
        <v/>
      </c>
      <c r="D34" s="399" t="str">
        <f>IFERROR(IF(VLOOKUP($A34,TableHandbook[],4,FALSE)=0,"",VLOOKUP($A34,TableHandbook[],4,FALSE)),"")</f>
        <v/>
      </c>
      <c r="E34" s="400"/>
      <c r="F34" s="401" t="str">
        <f>IFERROR(IF(VLOOKUP($A34,TableHandbook[],6,FALSE)=0,"",VLOOKUP($A34,TableHandbook[],6,FALSE)),"")</f>
        <v/>
      </c>
      <c r="G34" s="402" t="str">
        <f>IFERROR(IF(VLOOKUP($A34,TableHandbook[],5,FALSE)=0,"",VLOOKUP($A34,TableHandbook[],5,FALSE)),"")</f>
        <v/>
      </c>
      <c r="H34" s="364" t="str">
        <f>IFERROR(VLOOKUP($A34,TableHandbook[],H$2,FALSE),"")</f>
        <v/>
      </c>
      <c r="I34" s="361" t="str">
        <f>IFERROR(VLOOKUP($A34,TableHandbook[],I$2,FALSE),"")</f>
        <v/>
      </c>
      <c r="J34" s="361" t="str">
        <f>IFERROR(VLOOKUP($A34,TableHandbook[],J$2,FALSE),"")</f>
        <v/>
      </c>
      <c r="K34" s="365" t="str">
        <f>IFERROR(VLOOKUP($A34,TableHandbook[],K$2,FALSE),"")</f>
        <v/>
      </c>
      <c r="L34" s="66"/>
      <c r="M34" s="366">
        <v>5</v>
      </c>
    </row>
    <row r="35" spans="1:15" x14ac:dyDescent="0.25">
      <c r="A35" s="397" t="str">
        <f t="shared" si="6"/>
        <v>AC-HRIGLO2</v>
      </c>
      <c r="B35" s="398" t="str">
        <f>IFERROR(IF(VLOOKUP($A35,TableHandbook[],2,FALSE)=0,"",VLOOKUP($A35,TableHandbook[],2,FALSE)),"")</f>
        <v/>
      </c>
      <c r="C35" s="398" t="str">
        <f>IFERROR(IF(VLOOKUP($A35,TableHandbook[],3,FALSE)=0,"",VLOOKUP($A35,TableHandbook[],3,FALSE)),"")</f>
        <v/>
      </c>
      <c r="D35" s="399" t="str">
        <f>IFERROR(IF(VLOOKUP($A35,TableHandbook[],4,FALSE)=0,"",VLOOKUP($A35,TableHandbook[],4,FALSE)),"")</f>
        <v>Study either COMS6002 or HUMN6003 (see below)</v>
      </c>
      <c r="E35" s="400"/>
      <c r="F35" s="401" t="str">
        <f>IFERROR(IF(VLOOKUP($A35,TableHandbook[],6,FALSE)=0,"",VLOOKUP($A35,TableHandbook[],6,FALSE)),"")</f>
        <v>See below</v>
      </c>
      <c r="G35" s="402">
        <f>IFERROR(IF(VLOOKUP($A35,TableHandbook[],5,FALSE)=0,"",VLOOKUP($A35,TableHandbook[],5,FALSE)),"")</f>
        <v>50</v>
      </c>
      <c r="H35" s="364" t="str">
        <f>IFERROR(VLOOKUP($A35,TableHandbook[],H$2,FALSE),"")</f>
        <v>Y</v>
      </c>
      <c r="I35" s="361" t="str">
        <f>IFERROR(VLOOKUP($A35,TableHandbook[],I$2,FALSE),"")</f>
        <v>Y</v>
      </c>
      <c r="J35" s="361" t="str">
        <f>IFERROR(VLOOKUP($A35,TableHandbook[],J$2,FALSE),"")</f>
        <v>Y</v>
      </c>
      <c r="K35" s="365" t="str">
        <f>IFERROR(VLOOKUP($A35,TableHandbook[],K$2,FALSE),"")</f>
        <v>Y</v>
      </c>
      <c r="L35" s="66"/>
      <c r="M35" s="366">
        <v>6</v>
      </c>
    </row>
    <row r="36" spans="1:15" x14ac:dyDescent="0.25">
      <c r="A36" s="397" t="str">
        <f t="shared" si="6"/>
        <v>COMS6002</v>
      </c>
      <c r="B36" s="398">
        <f>IFERROR(IF(VLOOKUP($A36,TableHandbook[],2,FALSE)=0,"",VLOOKUP($A36,TableHandbook[],2,FALSE)),"")</f>
        <v>3</v>
      </c>
      <c r="C36" s="398" t="str">
        <f>IFERROR(IF(VLOOKUP($A36,TableHandbook[],3,FALSE)=0,"",VLOOKUP($A36,TableHandbook[],3,FALSE)),"")</f>
        <v/>
      </c>
      <c r="D36" s="399" t="str">
        <f>IFERROR(IF(VLOOKUP($A36,TableHandbook[],4,FALSE)=0,"",VLOOKUP($A36,TableHandbook[],4,FALSE)),"")</f>
        <v>Masters Professional Experience</v>
      </c>
      <c r="E36" s="400"/>
      <c r="F36" s="401" t="str">
        <f>IFERROR(IF(VLOOKUP($A36,TableHandbook[],6,FALSE)=0,"",VLOOKUP($A36,TableHandbook[],6,FALSE)),"")</f>
        <v>Course specific - See Handbook</v>
      </c>
      <c r="G36" s="402">
        <f>IFERROR(IF(VLOOKUP($A36,TableHandbook[],5,FALSE)=0,"",VLOOKUP($A36,TableHandbook[],5,FALSE)),"")</f>
        <v>50</v>
      </c>
      <c r="H36" s="364" t="str">
        <f>IFERROR(VLOOKUP($A36,TableHandbook[],H$2,FALSE),"")</f>
        <v>Y</v>
      </c>
      <c r="I36" s="361" t="str">
        <f>IFERROR(VLOOKUP($A36,TableHandbook[],I$2,FALSE),"")</f>
        <v>Y</v>
      </c>
      <c r="J36" s="361" t="str">
        <f>IFERROR(VLOOKUP($A36,TableHandbook[],J$2,FALSE),"")</f>
        <v>Y</v>
      </c>
      <c r="K36" s="365" t="str">
        <f>IFERROR(VLOOKUP($A36,TableHandbook[],K$2,FALSE),"")</f>
        <v>Y</v>
      </c>
      <c r="L36" s="66"/>
      <c r="M36" s="366">
        <v>7</v>
      </c>
    </row>
    <row r="37" spans="1:15" x14ac:dyDescent="0.25">
      <c r="A37" s="397" t="str">
        <f t="shared" si="6"/>
        <v>HUMN6003</v>
      </c>
      <c r="B37" s="398">
        <f>IFERROR(IF(VLOOKUP($A37,TableHandbook[],2,FALSE)=0,"",VLOOKUP($A37,TableHandbook[],2,FALSE)),"")</f>
        <v>1</v>
      </c>
      <c r="C37" s="398" t="str">
        <f>IFERROR(IF(VLOOKUP($A37,TableHandbook[],3,FALSE)=0,"",VLOOKUP($A37,TableHandbook[],3,FALSE)),"")</f>
        <v/>
      </c>
      <c r="D37" s="399" t="str">
        <f>IFERROR(IF(VLOOKUP($A37,TableHandbook[],4,FALSE)=0,"",VLOOKUP($A37,TableHandbook[],4,FALSE)),"")</f>
        <v>Masters Research Project 2 (* must study HUMN6001 first)</v>
      </c>
      <c r="E37" s="400"/>
      <c r="F37" s="401" t="str">
        <f>IFERROR(IF(VLOOKUP($A37,TableHandbook[],6,FALSE)=0,"",VLOOKUP($A37,TableHandbook[],6,FALSE)),"")</f>
        <v>HUMN6001</v>
      </c>
      <c r="G37" s="402">
        <f>IFERROR(IF(VLOOKUP($A37,TableHandbook[],5,FALSE)=0,"",VLOOKUP($A37,TableHandbook[],5,FALSE)),"")</f>
        <v>50</v>
      </c>
      <c r="H37" s="364" t="str">
        <f>IFERROR(VLOOKUP($A37,TableHandbook[],H$2,FALSE),"")</f>
        <v>Y</v>
      </c>
      <c r="I37" s="361" t="str">
        <f>IFERROR(VLOOKUP($A37,TableHandbook[],I$2,FALSE),"")</f>
        <v>Y</v>
      </c>
      <c r="J37" s="361" t="str">
        <f>IFERROR(VLOOKUP($A37,TableHandbook[],J$2,FALSE),"")</f>
        <v>Y</v>
      </c>
      <c r="K37" s="365" t="str">
        <f>IFERROR(VLOOKUP($A37,TableHandbook[],K$2,FALSE),"")</f>
        <v>Y</v>
      </c>
      <c r="L37" s="66"/>
      <c r="M37" s="366">
        <v>8</v>
      </c>
    </row>
    <row r="38" spans="1:15" ht="32.25" customHeight="1" x14ac:dyDescent="0.25">
      <c r="A38" s="403" t="s">
        <v>30</v>
      </c>
      <c r="B38" s="403"/>
      <c r="C38" s="403"/>
      <c r="D38" s="403"/>
      <c r="E38" s="403"/>
      <c r="F38" s="403"/>
      <c r="G38" s="403"/>
      <c r="H38" s="403"/>
      <c r="I38" s="403"/>
      <c r="J38" s="403"/>
      <c r="K38" s="403"/>
      <c r="L38" s="403"/>
    </row>
    <row r="39" spans="1:15" s="406" customFormat="1" ht="24.95" customHeight="1" x14ac:dyDescent="0.3">
      <c r="A39" s="40" t="s">
        <v>31</v>
      </c>
      <c r="B39" s="40"/>
      <c r="C39" s="40"/>
      <c r="D39" s="41"/>
      <c r="E39" s="41"/>
      <c r="F39" s="41"/>
      <c r="G39" s="41"/>
      <c r="H39" s="41"/>
      <c r="I39" s="41"/>
      <c r="J39" s="41"/>
      <c r="K39" s="41"/>
      <c r="L39" s="41"/>
      <c r="M39" s="404"/>
      <c r="N39" s="405"/>
      <c r="O39" s="405"/>
    </row>
    <row r="40" spans="1:15" ht="15" customHeight="1" x14ac:dyDescent="0.25">
      <c r="A40" s="407" t="s">
        <v>32</v>
      </c>
      <c r="B40" s="407"/>
      <c r="C40" s="407"/>
      <c r="D40" s="407"/>
      <c r="E40" s="408"/>
      <c r="F40" s="409"/>
      <c r="G40" s="410"/>
      <c r="H40" s="410"/>
      <c r="I40" s="410"/>
      <c r="J40" s="410"/>
      <c r="K40" s="410"/>
      <c r="L40" s="410" t="s">
        <v>33</v>
      </c>
    </row>
  </sheetData>
  <sheetProtection algorithmName="SHA-512" hashValue="NIuq+rfqulCCudo5gjDpeZKa9LhXx0lZT3WIf/v3Omf3e8dNXj2Efm3u7oLg/adny97bkzBzllJzz9rHpKLIww==" saltValue="ID9INAJGYFxRLgohs85nrw==" spinCount="100000" sheet="1" objects="1" scenarios="1" formatCells="0"/>
  <mergeCells count="2">
    <mergeCell ref="A3:D3"/>
    <mergeCell ref="A38:L38"/>
  </mergeCells>
  <conditionalFormatting sqref="A31:L37">
    <cfRule type="expression" dxfId="451" priority="4">
      <formula>LEFT($D31,5)="Study"</formula>
    </cfRule>
  </conditionalFormatting>
  <conditionalFormatting sqref="D5:D6">
    <cfRule type="containsText" dxfId="450" priority="2" operator="containsText" text="Choose">
      <formula>NOT(ISERROR(SEARCH("Choose",D5)))</formula>
    </cfRule>
  </conditionalFormatting>
  <conditionalFormatting sqref="A9:L17 A19:L27 A31:L37">
    <cfRule type="expression" dxfId="449" priority="3">
      <formula>$A9=""</formula>
    </cfRule>
  </conditionalFormatting>
  <conditionalFormatting sqref="H9:K27">
    <cfRule type="expression" dxfId="448" priority="1">
      <formula>$E9=LEFT(H$8,4)</formula>
    </cfRule>
  </conditionalFormatting>
  <dataValidations count="1">
    <dataValidation type="list" allowBlank="1" showInputMessage="1" showErrorMessage="1" sqref="L23 L13"/>
  </dataValidations>
  <hyperlinks>
    <hyperlink ref="A39:L39"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Unitsets!$A$41:$A$43</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W43"/>
  <sheetViews>
    <sheetView showGridLines="0" topLeftCell="A3" zoomScaleNormal="100" workbookViewId="0">
      <selection activeCell="D5" sqref="D5"/>
    </sheetView>
  </sheetViews>
  <sheetFormatPr defaultRowHeight="15" x14ac:dyDescent="0.25"/>
  <cols>
    <col min="1" max="1" width="11.25" style="18" customWidth="1"/>
    <col min="2" max="2" width="3.25" style="18" customWidth="1"/>
    <col min="3" max="3" width="5.875" style="18" customWidth="1"/>
    <col min="4" max="4" width="56" style="17" customWidth="1"/>
    <col min="5" max="5" width="7.25" style="17" customWidth="1"/>
    <col min="6" max="6" width="23.5" style="17" customWidth="1"/>
    <col min="7" max="7" width="5.625" style="17" customWidth="1"/>
    <col min="8" max="11" width="4.625" style="17" customWidth="1"/>
    <col min="12" max="12" width="15.625" style="17" customWidth="1"/>
    <col min="13" max="13" width="2.5" style="17" bestFit="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67"/>
      <c r="E4" s="260" t="s">
        <v>9</v>
      </c>
      <c r="F4" s="258"/>
      <c r="G4" s="261"/>
      <c r="H4" s="261"/>
      <c r="I4" s="261"/>
      <c r="J4" s="261"/>
      <c r="K4" s="261"/>
      <c r="L4" s="261"/>
      <c r="M4" s="143"/>
    </row>
    <row r="5" spans="1:23" ht="20.100000000000001" customHeight="1" x14ac:dyDescent="0.25">
      <c r="B5" s="19"/>
      <c r="C5" s="129" t="s">
        <v>10</v>
      </c>
      <c r="D5" s="206" t="s">
        <v>211</v>
      </c>
      <c r="E5" s="20"/>
      <c r="F5" s="129" t="s">
        <v>12</v>
      </c>
      <c r="G5" s="20" t="str">
        <f>IFERROR(CONCATENATE(VLOOKUP(D5,TableCourses[],2,FALSE)," ",VLOOKUP(D5,TableCourses[],3,FALSE)),"")</f>
        <v/>
      </c>
      <c r="H5" s="20"/>
      <c r="I5" s="20"/>
      <c r="J5" s="20"/>
      <c r="K5" s="20"/>
      <c r="L5" s="147" t="e">
        <f>CONCATENATE(VLOOKUP(D5,TableCourses[],2,FALSE),VLOOKUP(D6,TableStudyPeriods[],2,FALSE))</f>
        <v>#N/A</v>
      </c>
      <c r="M5" s="143"/>
    </row>
    <row r="6" spans="1:23" ht="20.100000000000001" customHeight="1" x14ac:dyDescent="0.25">
      <c r="A6" s="22"/>
      <c r="B6" s="23"/>
      <c r="C6" s="129" t="s">
        <v>16</v>
      </c>
      <c r="D6" s="20" t="s">
        <v>177</v>
      </c>
      <c r="E6" s="24"/>
      <c r="F6" s="129" t="s">
        <v>18</v>
      </c>
      <c r="G6" s="20" t="str">
        <f>IFERROR(VLOOKUP($D$5,TableCourses[],4,FALSE),"")</f>
        <v/>
      </c>
      <c r="H6" s="77"/>
      <c r="I6" s="77"/>
      <c r="J6" s="77"/>
      <c r="K6" s="77"/>
      <c r="L6" s="77"/>
      <c r="M6" s="144"/>
      <c r="N6" s="25"/>
      <c r="O6" s="25"/>
      <c r="P6" s="25"/>
      <c r="Q6" s="25"/>
      <c r="R6" s="25"/>
      <c r="S6" s="25"/>
      <c r="T6" s="25"/>
      <c r="U6" s="25"/>
      <c r="V6" s="25"/>
      <c r="W6" s="25"/>
    </row>
    <row r="7" spans="1:23" s="28" customFormat="1" ht="14.1" customHeight="1" x14ac:dyDescent="0.25">
      <c r="A7" s="159"/>
      <c r="B7" s="159"/>
      <c r="C7" s="159"/>
      <c r="D7" s="160"/>
      <c r="E7" s="161"/>
      <c r="F7" s="159"/>
      <c r="G7" s="159"/>
      <c r="H7" s="201" t="s">
        <v>19</v>
      </c>
      <c r="I7" s="162"/>
      <c r="J7" s="162"/>
      <c r="K7" s="163"/>
      <c r="L7" s="164"/>
      <c r="M7" s="141"/>
      <c r="N7" s="26"/>
      <c r="O7" s="26"/>
      <c r="P7" s="27"/>
      <c r="Q7" s="27"/>
      <c r="R7" s="27"/>
      <c r="S7" s="27"/>
      <c r="T7" s="27"/>
      <c r="U7" s="27"/>
      <c r="V7" s="27"/>
      <c r="W7" s="27"/>
    </row>
    <row r="8" spans="1:23" s="28" customFormat="1" ht="21" x14ac:dyDescent="0.25">
      <c r="A8" s="159" t="s">
        <v>20</v>
      </c>
      <c r="B8" s="159"/>
      <c r="C8" s="159"/>
      <c r="D8" s="160" t="s">
        <v>3</v>
      </c>
      <c r="E8" s="165" t="s">
        <v>21</v>
      </c>
      <c r="F8" s="159" t="s">
        <v>22</v>
      </c>
      <c r="G8" s="159" t="s">
        <v>23</v>
      </c>
      <c r="H8" s="166" t="s">
        <v>24</v>
      </c>
      <c r="I8" s="165" t="s">
        <v>25</v>
      </c>
      <c r="J8" s="165" t="s">
        <v>26</v>
      </c>
      <c r="K8" s="167" t="s">
        <v>27</v>
      </c>
      <c r="L8" s="168" t="s">
        <v>28</v>
      </c>
      <c r="M8" s="141"/>
      <c r="N8" s="26"/>
      <c r="O8" s="26"/>
      <c r="P8" s="27"/>
      <c r="Q8" s="27"/>
      <c r="R8" s="27"/>
      <c r="S8" s="27"/>
      <c r="T8" s="27"/>
      <c r="U8" s="27"/>
      <c r="V8" s="27"/>
      <c r="W8" s="27"/>
    </row>
    <row r="9" spans="1:23" s="31" customFormat="1" ht="20.100000000000001" customHeight="1" x14ac:dyDescent="0.15">
      <c r="A9" s="63" t="str">
        <f>IFERROR(IF(HLOOKUP($L$5,RangeNETSCMUnitsets,M9,FALSE)=0,"",HLOOKUP($L$5,RangeNETSCMUnitsets,M9,FALSE)),"")</f>
        <v/>
      </c>
      <c r="B9" s="56" t="str">
        <f>IFERROR(IF(VLOOKUP($A9,TableHandbook[],2,FALSE)=0,"",VLOOKUP($A9,TableHandbook[],2,FALSE)),"")</f>
        <v/>
      </c>
      <c r="C9" s="56" t="str">
        <f>IFERROR(IF(VLOOKUP($A9,TableHandbook[],3,FALSE)=0,"",VLOOKUP($A9,TableHandbook[],3,FALSE)),"")</f>
        <v/>
      </c>
      <c r="D9" s="64" t="str">
        <f>IFERROR(IF(VLOOKUP($A9,TableHandbook[],4,FALSE)=0,"",VLOOKUP($A9,TableHandbook[],4,FALSE)),"")</f>
        <v/>
      </c>
      <c r="E9" s="56" t="str">
        <f>IF(A9="","",VLOOKUP($D$6,TableStudyPeriods[],2,FALSE))</f>
        <v/>
      </c>
      <c r="F9" s="55" t="str">
        <f>IFERROR(IF(VLOOKUP($A9,TableHandbook[],6,FALSE)=0,"",VLOOKUP($A9,TableHandbook[],6,FALSE)),"")</f>
        <v/>
      </c>
      <c r="G9" s="56" t="str">
        <f>IFERROR(IF(VLOOKUP($A9,TableHandbook[],5,FALSE)=0,"",VLOOKUP($A9,TableHandbook[],5,FALSE)),"")</f>
        <v/>
      </c>
      <c r="H9" s="67" t="str">
        <f>IFERROR(VLOOKUP($A9,TableHandbook[],H$2,FALSE),"")</f>
        <v/>
      </c>
      <c r="I9" s="56" t="str">
        <f>IFERROR(VLOOKUP($A9,TableHandbook[],I$2,FALSE),"")</f>
        <v/>
      </c>
      <c r="J9" s="56" t="str">
        <f>IFERROR(VLOOKUP($A9,TableHandbook[],J$2,FALSE),"")</f>
        <v/>
      </c>
      <c r="K9" s="68" t="str">
        <f>IFERROR(VLOOKUP($A9,TableHandbook[],K$2,FALSE),"")</f>
        <v/>
      </c>
      <c r="L9" s="65"/>
      <c r="M9" s="142">
        <v>2</v>
      </c>
      <c r="N9" s="29"/>
      <c r="O9" s="29"/>
      <c r="P9" s="30"/>
      <c r="Q9" s="30"/>
      <c r="R9" s="30"/>
      <c r="S9" s="30"/>
      <c r="T9" s="30"/>
      <c r="U9" s="30"/>
      <c r="V9" s="30"/>
      <c r="W9" s="30"/>
    </row>
    <row r="10" spans="1:23" s="31" customFormat="1" ht="20.100000000000001" customHeight="1" x14ac:dyDescent="0.15">
      <c r="A10" s="63" t="str">
        <f>IFERROR(IF(HLOOKUP($L$5,RangeNETSCMUnitsets,M10,FALSE)=0,"",HLOOKUP($L$5,RangeNETSCMUnitsets,M10,FALSE)),"")</f>
        <v/>
      </c>
      <c r="B10" s="56" t="str">
        <f>IFERROR(IF(VLOOKUP($A10,TableHandbook[],2,FALSE)=0,"",VLOOKUP($A10,TableHandbook[],2,FALSE)),"")</f>
        <v/>
      </c>
      <c r="C10" s="56" t="str">
        <f>IFERROR(IF(VLOOKUP($A10,TableHandbook[],3,FALSE)=0,"",VLOOKUP($A10,TableHandbook[],3,FALSE)),"")</f>
        <v/>
      </c>
      <c r="D10" s="64" t="str">
        <f>IFERROR(IF(VLOOKUP($A10,TableHandbook[],4,FALSE)=0,"",VLOOKUP($A10,TableHandbook[],4,FALSE)),"")</f>
        <v/>
      </c>
      <c r="E10" s="56" t="str">
        <f>IF(A10="","",E9)</f>
        <v/>
      </c>
      <c r="F10" s="55" t="str">
        <f>IFERROR(IF(VLOOKUP($A10,TableHandbook[],6,FALSE)=0,"",VLOOKUP($A10,TableHandbook[],6,FALSE)),"")</f>
        <v/>
      </c>
      <c r="G10" s="56" t="str">
        <f>IFERROR(IF(VLOOKUP($A10,TableHandbook[],5,FALSE)=0,"",VLOOKUP($A10,TableHandbook[],5,FALSE)),"")</f>
        <v/>
      </c>
      <c r="H10" s="67" t="str">
        <f>IFERROR(VLOOKUP($A10,TableHandbook[],H$2,FALSE),"")</f>
        <v/>
      </c>
      <c r="I10" s="56" t="str">
        <f>IFERROR(VLOOKUP($A10,TableHandbook[],I$2,FALSE),"")</f>
        <v/>
      </c>
      <c r="J10" s="56" t="str">
        <f>IFERROR(VLOOKUP($A10,TableHandbook[],J$2,FALSE),"")</f>
        <v/>
      </c>
      <c r="K10" s="68" t="str">
        <f>IFERROR(VLOOKUP($A10,TableHandbook[],K$2,FALSE),"")</f>
        <v/>
      </c>
      <c r="L10" s="65"/>
      <c r="M10" s="142">
        <v>3</v>
      </c>
      <c r="N10" s="29"/>
      <c r="O10" s="29"/>
      <c r="P10" s="30"/>
      <c r="Q10" s="30"/>
      <c r="R10" s="30"/>
      <c r="S10" s="30"/>
      <c r="T10" s="30"/>
      <c r="U10" s="30"/>
      <c r="V10" s="30"/>
      <c r="W10" s="30"/>
    </row>
    <row r="11" spans="1:23" s="31" customFormat="1" ht="20.100000000000001" customHeight="1" x14ac:dyDescent="0.15">
      <c r="A11" s="63" t="str">
        <f>IFERROR(IF(HLOOKUP($L$5,RangeNETSCMUnitsets,M11,FALSE)=0,"",HLOOKUP($L$5,RangeNETSCMUnitsets,M11,FALSE)),"")</f>
        <v/>
      </c>
      <c r="B11" s="56" t="str">
        <f>IFERROR(IF(VLOOKUP($A11,TableHandbook[],2,FALSE)=0,"",VLOOKUP($A11,TableHandbook[],2,FALSE)),"")</f>
        <v/>
      </c>
      <c r="C11" s="56" t="str">
        <f>IFERROR(IF(VLOOKUP($A11,TableHandbook[],3,FALSE)=0,"",VLOOKUP($A11,TableHandbook[],3,FALSE)),"")</f>
        <v/>
      </c>
      <c r="D11" s="64" t="str">
        <f>IFERROR(IF(VLOOKUP($A11,TableHandbook[],4,FALSE)=0,"",VLOOKUP($A11,TableHandbook[],4,FALSE)),"")</f>
        <v/>
      </c>
      <c r="E11" s="56" t="str">
        <f t="shared" ref="E11:E12" si="0">IF(A11="","",E10)</f>
        <v/>
      </c>
      <c r="F11" s="55" t="str">
        <f>IFERROR(IF(VLOOKUP($A11,TableHandbook[],6,FALSE)=0,"",VLOOKUP($A11,TableHandbook[],6,FALSE)),"")</f>
        <v/>
      </c>
      <c r="G11" s="56" t="str">
        <f>IFERROR(IF(VLOOKUP($A11,TableHandbook[],5,FALSE)=0,"",VLOOKUP($A11,TableHandbook[],5,FALSE)),"")</f>
        <v/>
      </c>
      <c r="H11" s="67" t="str">
        <f>IFERROR(VLOOKUP($A11,TableHandbook[],H$2,FALSE),"")</f>
        <v/>
      </c>
      <c r="I11" s="56" t="str">
        <f>IFERROR(VLOOKUP($A11,TableHandbook[],I$2,FALSE),"")</f>
        <v/>
      </c>
      <c r="J11" s="56" t="str">
        <f>IFERROR(VLOOKUP($A11,TableHandbook[],J$2,FALSE),"")</f>
        <v/>
      </c>
      <c r="K11" s="68" t="str">
        <f>IFERROR(VLOOKUP($A11,TableHandbook[],K$2,FALSE),"")</f>
        <v/>
      </c>
      <c r="L11" s="66"/>
      <c r="M11" s="142">
        <v>4</v>
      </c>
      <c r="N11" s="29"/>
      <c r="O11" s="29"/>
      <c r="P11" s="30"/>
      <c r="Q11" s="30"/>
      <c r="R11" s="30"/>
      <c r="S11" s="30"/>
      <c r="T11" s="30"/>
      <c r="U11" s="30"/>
      <c r="V11" s="30"/>
      <c r="W11" s="30"/>
    </row>
    <row r="12" spans="1:23" s="31" customFormat="1" ht="20.100000000000001" customHeight="1" x14ac:dyDescent="0.15">
      <c r="A12" s="63" t="str">
        <f>IFERROR(IF(HLOOKUP($L$5,RangeNETSCMUnitsets,M12,FALSE)=0,"",HLOOKUP($L$5,RangeNETSCMUnitsets,M12,FALSE)),"")</f>
        <v/>
      </c>
      <c r="B12" s="56" t="str">
        <f>IFERROR(IF(VLOOKUP($A12,TableHandbook[],2,FALSE)=0,"",VLOOKUP($A12,TableHandbook[],2,FALSE)),"")</f>
        <v/>
      </c>
      <c r="C12" s="56" t="str">
        <f>IFERROR(IF(VLOOKUP($A12,TableHandbook[],3,FALSE)=0,"",VLOOKUP($A12,TableHandbook[],3,FALSE)),"")</f>
        <v/>
      </c>
      <c r="D12" s="64" t="str">
        <f>IFERROR(IF(VLOOKUP($A12,TableHandbook[],4,FALSE)=0,"",VLOOKUP($A12,TableHandbook[],4,FALSE)),"")</f>
        <v/>
      </c>
      <c r="E12" s="56" t="str">
        <f t="shared" si="0"/>
        <v/>
      </c>
      <c r="F12" s="55" t="str">
        <f>IFERROR(IF(VLOOKUP($A12,TableHandbook[],6,FALSE)=0,"",VLOOKUP($A12,TableHandbook[],6,FALSE)),"")</f>
        <v/>
      </c>
      <c r="G12" s="56" t="str">
        <f>IFERROR(IF(VLOOKUP($A12,TableHandbook[],5,FALSE)=0,"",VLOOKUP($A12,TableHandbook[],5,FALSE)),"")</f>
        <v/>
      </c>
      <c r="H12" s="67" t="str">
        <f>IFERROR(VLOOKUP($A12,TableHandbook[],H$2,FALSE),"")</f>
        <v/>
      </c>
      <c r="I12" s="56" t="str">
        <f>IFERROR(VLOOKUP($A12,TableHandbook[],I$2,FALSE),"")</f>
        <v/>
      </c>
      <c r="J12" s="56" t="str">
        <f>IFERROR(VLOOKUP($A12,TableHandbook[],J$2,FALSE),"")</f>
        <v/>
      </c>
      <c r="K12" s="68" t="str">
        <f>IFERROR(VLOOKUP($A12,TableHandbook[],K$2,FALSE),"")</f>
        <v/>
      </c>
      <c r="L12" s="65"/>
      <c r="M12" s="142">
        <v>5</v>
      </c>
      <c r="N12" s="29"/>
      <c r="O12" s="29"/>
      <c r="P12" s="30"/>
      <c r="Q12" s="30"/>
      <c r="R12" s="30"/>
      <c r="S12" s="30"/>
      <c r="T12" s="30"/>
      <c r="U12" s="30"/>
      <c r="V12" s="30"/>
      <c r="W12" s="30"/>
    </row>
    <row r="13" spans="1:23" s="31" customFormat="1" ht="5.0999999999999996" customHeight="1" x14ac:dyDescent="0.15">
      <c r="A13" s="32"/>
      <c r="B13" s="33"/>
      <c r="C13" s="33"/>
      <c r="D13" s="34"/>
      <c r="E13" s="33"/>
      <c r="F13" s="35"/>
      <c r="G13" s="33"/>
      <c r="H13" s="69"/>
      <c r="I13" s="33"/>
      <c r="J13" s="33"/>
      <c r="K13" s="70"/>
      <c r="L13" s="36"/>
      <c r="M13" s="142"/>
      <c r="N13" s="29"/>
      <c r="O13" s="29"/>
      <c r="P13" s="29"/>
      <c r="Q13" s="30"/>
      <c r="R13" s="30"/>
      <c r="S13" s="30"/>
      <c r="T13" s="30"/>
      <c r="U13" s="30"/>
      <c r="V13" s="30"/>
      <c r="W13" s="30"/>
    </row>
    <row r="14" spans="1:23" s="31" customFormat="1" ht="20.100000000000001" customHeight="1" x14ac:dyDescent="0.15">
      <c r="A14" s="63" t="str">
        <f>IFERROR(IF(HLOOKUP($L$5,RangeNETSCMUnitsets,M14,FALSE)=0,"",HLOOKUP($L$5,RangeNETSCMUnitsets,M14,FALSE)),"")</f>
        <v/>
      </c>
      <c r="B14" s="58" t="str">
        <f>IFERROR(IF(VLOOKUP($A14,TableHandbook[],2,FALSE)=0,"",VLOOKUP($A14,TableHandbook[],2,FALSE)),"")</f>
        <v/>
      </c>
      <c r="C14" s="58" t="str">
        <f>IFERROR(IF(VLOOKUP($A14,TableHandbook[],3,FALSE)=0,"",VLOOKUP($A14,TableHandbook[],3,FALSE)),"")</f>
        <v/>
      </c>
      <c r="D14" s="64" t="str">
        <f>IFERROR(IF(VLOOKUP($A14,TableHandbook[],4,FALSE)=0,"",VLOOKUP($A14,TableHandbook[],4,FALSE)),"")</f>
        <v/>
      </c>
      <c r="E14" s="56" t="str">
        <f>IF(A14="","",VLOOKUP($D$6,TableStudyPeriods[],3,FALSE))</f>
        <v/>
      </c>
      <c r="F14" s="55" t="str">
        <f>IFERROR(IF(VLOOKUP($A14,TableHandbook[],6,FALSE)=0,"",VLOOKUP($A14,TableHandbook[],6,FALSE)),"")</f>
        <v/>
      </c>
      <c r="G14" s="58" t="str">
        <f>IFERROR(IF(VLOOKUP($A14,TableHandbook[],5,FALSE)=0,"",VLOOKUP($A14,TableHandbook[],5,FALSE)),"")</f>
        <v/>
      </c>
      <c r="H14" s="71" t="str">
        <f>IFERROR(VLOOKUP($A14,TableHandbook[],H$2,FALSE),"")</f>
        <v/>
      </c>
      <c r="I14" s="58" t="str">
        <f>IFERROR(VLOOKUP($A14,TableHandbook[],I$2,FALSE),"")</f>
        <v/>
      </c>
      <c r="J14" s="58" t="str">
        <f>IFERROR(VLOOKUP($A14,TableHandbook[],J$2,FALSE),"")</f>
        <v/>
      </c>
      <c r="K14" s="72" t="str">
        <f>IFERROR(VLOOKUP($A14,TableHandbook[],K$2,FALSE),"")</f>
        <v/>
      </c>
      <c r="L14" s="66"/>
      <c r="M14" s="142">
        <v>6</v>
      </c>
      <c r="N14" s="29"/>
      <c r="O14" s="29"/>
      <c r="P14" s="30"/>
      <c r="Q14" s="30"/>
      <c r="R14" s="30"/>
      <c r="S14" s="30"/>
      <c r="T14" s="30"/>
      <c r="U14" s="30"/>
      <c r="V14" s="30"/>
      <c r="W14" s="30"/>
    </row>
    <row r="15" spans="1:23" s="39" customFormat="1" ht="20.100000000000001" customHeight="1" x14ac:dyDescent="0.15">
      <c r="A15" s="63" t="str">
        <f>IFERROR(IF(HLOOKUP($L$5,RangeNETSCMUnitsets,M15,FALSE)=0,"",HLOOKUP($L$5,RangeNETSCMUnitsets,M15,FALSE)),"")</f>
        <v/>
      </c>
      <c r="B15" s="58" t="str">
        <f>IFERROR(IF(VLOOKUP($A15,TableHandbook[],2,FALSE)=0,"",VLOOKUP($A15,TableHandbook[],2,FALSE)),"")</f>
        <v/>
      </c>
      <c r="C15" s="58" t="str">
        <f>IFERROR(IF(VLOOKUP($A15,TableHandbook[],3,FALSE)=0,"",VLOOKUP($A15,TableHandbook[],3,FALSE)),"")</f>
        <v/>
      </c>
      <c r="D15" s="64" t="str">
        <f>IFERROR(IF(VLOOKUP($A15,TableHandbook[],4,FALSE)=0,"",VLOOKUP($A15,TableHandbook[],4,FALSE)),"")</f>
        <v/>
      </c>
      <c r="E15" s="56" t="str">
        <f>IF(A15="","",E14)</f>
        <v/>
      </c>
      <c r="F15" s="55" t="str">
        <f>IFERROR(IF(VLOOKUP($A15,TableHandbook[],6,FALSE)=0,"",VLOOKUP($A15,TableHandbook[],6,FALSE)),"")</f>
        <v/>
      </c>
      <c r="G15" s="58" t="str">
        <f>IFERROR(IF(VLOOKUP($A15,TableHandbook[],5,FALSE)=0,"",VLOOKUP($A15,TableHandbook[],5,FALSE)),"")</f>
        <v/>
      </c>
      <c r="H15" s="71" t="str">
        <f>IFERROR(VLOOKUP($A15,TableHandbook[],H$2,FALSE),"")</f>
        <v/>
      </c>
      <c r="I15" s="58" t="str">
        <f>IFERROR(VLOOKUP($A15,TableHandbook[],I$2,FALSE),"")</f>
        <v/>
      </c>
      <c r="J15" s="58" t="str">
        <f>IFERROR(VLOOKUP($A15,TableHandbook[],J$2,FALSE),"")</f>
        <v/>
      </c>
      <c r="K15" s="72" t="str">
        <f>IFERROR(VLOOKUP($A15,TableHandbook[],K$2,FALSE),"")</f>
        <v/>
      </c>
      <c r="L15" s="66"/>
      <c r="M15" s="142">
        <v>7</v>
      </c>
      <c r="N15" s="37"/>
      <c r="O15" s="37"/>
      <c r="P15" s="38"/>
      <c r="Q15" s="38"/>
      <c r="R15" s="38"/>
      <c r="S15" s="38"/>
      <c r="T15" s="38"/>
      <c r="U15" s="38"/>
      <c r="V15" s="38"/>
      <c r="W15" s="38"/>
    </row>
    <row r="16" spans="1:23" s="39" customFormat="1" ht="20.100000000000001" customHeight="1" x14ac:dyDescent="0.15">
      <c r="A16" s="63" t="str">
        <f>IFERROR(IF(HLOOKUP($L$5,RangeNETSCMUnitsets,M16,FALSE)=0,"",HLOOKUP($L$5,RangeNETSCMUnitsets,M16,FALSE)),"")</f>
        <v/>
      </c>
      <c r="B16" s="58" t="str">
        <f>IFERROR(IF(VLOOKUP($A16,TableHandbook[],2,FALSE)=0,"",VLOOKUP($A16,TableHandbook[],2,FALSE)),"")</f>
        <v/>
      </c>
      <c r="C16" s="58" t="str">
        <f>IFERROR(IF(VLOOKUP($A16,TableHandbook[],3,FALSE)=0,"",VLOOKUP($A16,TableHandbook[],3,FALSE)),"")</f>
        <v/>
      </c>
      <c r="D16" s="64" t="str">
        <f>IFERROR(IF(VLOOKUP($A16,TableHandbook[],4,FALSE)=0,"",VLOOKUP($A16,TableHandbook[],4,FALSE)),"")</f>
        <v/>
      </c>
      <c r="E16" s="56" t="str">
        <f t="shared" ref="E16:E17" si="1">IF(A16="","",E15)</f>
        <v/>
      </c>
      <c r="F16" s="55" t="str">
        <f>IFERROR(IF(VLOOKUP($A16,TableHandbook[],6,FALSE)=0,"",VLOOKUP($A16,TableHandbook[],6,FALSE)),"")</f>
        <v/>
      </c>
      <c r="G16" s="58" t="str">
        <f>IFERROR(IF(VLOOKUP($A16,TableHandbook[],5,FALSE)=0,"",VLOOKUP($A16,TableHandbook[],5,FALSE)),"")</f>
        <v/>
      </c>
      <c r="H16" s="71" t="str">
        <f>IFERROR(VLOOKUP($A16,TableHandbook[],H$2,FALSE),"")</f>
        <v/>
      </c>
      <c r="I16" s="58" t="str">
        <f>IFERROR(VLOOKUP($A16,TableHandbook[],I$2,FALSE),"")</f>
        <v/>
      </c>
      <c r="J16" s="58" t="str">
        <f>IFERROR(VLOOKUP($A16,TableHandbook[],J$2,FALSE),"")</f>
        <v/>
      </c>
      <c r="K16" s="72" t="str">
        <f>IFERROR(VLOOKUP($A16,TableHandbook[],K$2,FALSE),"")</f>
        <v/>
      </c>
      <c r="L16" s="66"/>
      <c r="M16" s="142">
        <v>8</v>
      </c>
      <c r="N16" s="37"/>
      <c r="O16" s="37"/>
      <c r="P16" s="38"/>
      <c r="Q16" s="38"/>
      <c r="R16" s="38"/>
      <c r="S16" s="38"/>
      <c r="T16" s="38"/>
      <c r="U16" s="38"/>
      <c r="V16" s="38"/>
      <c r="W16" s="38"/>
    </row>
    <row r="17" spans="1:23" s="39" customFormat="1" ht="20.100000000000001" customHeight="1" x14ac:dyDescent="0.15">
      <c r="A17" s="63" t="str">
        <f>IFERROR(IF(HLOOKUP($L$5,RangeNETSCMUnitsets,M17,FALSE)=0,"",HLOOKUP($L$5,RangeNETSCMUnitsets,M17,FALSE)),"")</f>
        <v/>
      </c>
      <c r="B17" s="58" t="str">
        <f>IFERROR(IF(VLOOKUP($A17,TableHandbook[],2,FALSE)=0,"",VLOOKUP($A17,TableHandbook[],2,FALSE)),"")</f>
        <v/>
      </c>
      <c r="C17" s="58" t="str">
        <f>IFERROR(IF(VLOOKUP($A17,TableHandbook[],3,FALSE)=0,"",VLOOKUP($A17,TableHandbook[],3,FALSE)),"")</f>
        <v/>
      </c>
      <c r="D17" s="62" t="str">
        <f>IFERROR(IF(VLOOKUP($A17,TableHandbook[],4,FALSE)=0,"",VLOOKUP($A17,TableHandbook[],4,FALSE)),"")</f>
        <v/>
      </c>
      <c r="E17" s="58" t="str">
        <f t="shared" si="1"/>
        <v/>
      </c>
      <c r="F17" s="55" t="str">
        <f>IFERROR(IF(VLOOKUP($A17,TableHandbook[],6,FALSE)=0,"",VLOOKUP($A17,TableHandbook[],6,FALSE)),"")</f>
        <v/>
      </c>
      <c r="G17" s="58" t="str">
        <f>IFERROR(IF(VLOOKUP($A17,TableHandbook[],5,FALSE)=0,"",VLOOKUP($A17,TableHandbook[],5,FALSE)),"")</f>
        <v/>
      </c>
      <c r="H17" s="71" t="str">
        <f>IFERROR(VLOOKUP($A17,TableHandbook[],H$2,FALSE),"")</f>
        <v/>
      </c>
      <c r="I17" s="58" t="str">
        <f>IFERROR(VLOOKUP($A17,TableHandbook[],I$2,FALSE),"")</f>
        <v/>
      </c>
      <c r="J17" s="58" t="str">
        <f>IFERROR(VLOOKUP($A17,TableHandbook[],J$2,FALSE),"")</f>
        <v/>
      </c>
      <c r="K17" s="72" t="str">
        <f>IFERROR(VLOOKUP($A17,TableHandbook[],K$2,FALSE),"")</f>
        <v/>
      </c>
      <c r="L17" s="66"/>
      <c r="M17" s="142">
        <v>9</v>
      </c>
      <c r="N17" s="37"/>
      <c r="O17" s="37"/>
      <c r="P17" s="38"/>
      <c r="Q17" s="38"/>
      <c r="R17" s="38"/>
      <c r="S17" s="38"/>
      <c r="T17" s="38"/>
      <c r="U17" s="38"/>
      <c r="V17" s="38"/>
      <c r="W17" s="38"/>
    </row>
    <row r="18" spans="1:23" s="28" customFormat="1" ht="21" x14ac:dyDescent="0.25">
      <c r="A18" s="159" t="s">
        <v>29</v>
      </c>
      <c r="B18" s="159"/>
      <c r="C18" s="159"/>
      <c r="D18" s="160" t="s">
        <v>3</v>
      </c>
      <c r="E18" s="165" t="s">
        <v>21</v>
      </c>
      <c r="F18" s="159" t="s">
        <v>22</v>
      </c>
      <c r="G18" s="159" t="s">
        <v>23</v>
      </c>
      <c r="H18" s="166" t="s">
        <v>24</v>
      </c>
      <c r="I18" s="165" t="s">
        <v>25</v>
      </c>
      <c r="J18" s="165" t="s">
        <v>26</v>
      </c>
      <c r="K18" s="167" t="s">
        <v>27</v>
      </c>
      <c r="L18" s="168" t="s">
        <v>28</v>
      </c>
      <c r="M18" s="141"/>
      <c r="N18" s="26"/>
      <c r="O18" s="26"/>
      <c r="P18" s="27"/>
      <c r="Q18" s="27"/>
      <c r="R18" s="27"/>
      <c r="S18" s="27"/>
      <c r="T18" s="27"/>
      <c r="U18" s="27"/>
      <c r="V18" s="27"/>
      <c r="W18" s="27"/>
    </row>
    <row r="19" spans="1:23" s="31" customFormat="1" ht="20.100000000000001" customHeight="1" x14ac:dyDescent="0.15">
      <c r="A19" s="63" t="str">
        <f>IFERROR(IF(HLOOKUP($L$5,RangeNETSCMUnitsets,M19,FALSE)=0,"",HLOOKUP($L$5,RangeNETSCMUnitsets,M19,FALSE)),"")</f>
        <v/>
      </c>
      <c r="B19" s="58" t="str">
        <f>IFERROR(IF(VLOOKUP($A19,TableHandbook[],2,FALSE)=0,"",VLOOKUP($A19,TableHandbook[],2,FALSE)),"")</f>
        <v/>
      </c>
      <c r="C19" s="58" t="str">
        <f>IFERROR(IF(VLOOKUP($A19,TableHandbook[],3,FALSE)=0,"",VLOOKUP($A19,TableHandbook[],3,FALSE)),"")</f>
        <v/>
      </c>
      <c r="D19" s="60" t="str">
        <f>IFERROR(IF(VLOOKUP($A19,TableHandbook[],4,FALSE)=0,"",VLOOKUP($A19,TableHandbook[],4,FALSE)),"")</f>
        <v/>
      </c>
      <c r="E19" s="58" t="str">
        <f>IF(A19="","",VLOOKUP($D$6,TableStudyPeriods[],2,FALSE))</f>
        <v/>
      </c>
      <c r="F19" s="55" t="str">
        <f>IFERROR(IF(VLOOKUP($A19,TableHandbook[],6,FALSE)=0,"",VLOOKUP($A19,TableHandbook[],6,FALSE)),"")</f>
        <v/>
      </c>
      <c r="G19" s="56" t="str">
        <f>IFERROR(IF(VLOOKUP($A19,TableHandbook[],5,FALSE)=0,"",VLOOKUP($A19,TableHandbook[],5,FALSE)),"")</f>
        <v/>
      </c>
      <c r="H19" s="67" t="str">
        <f>IFERROR(VLOOKUP($A19,TableHandbook[],H$2,FALSE),"")</f>
        <v/>
      </c>
      <c r="I19" s="56" t="str">
        <f>IFERROR(VLOOKUP($A19,TableHandbook[],I$2,FALSE),"")</f>
        <v/>
      </c>
      <c r="J19" s="56" t="str">
        <f>IFERROR(VLOOKUP($A19,TableHandbook[],J$2,FALSE),"")</f>
        <v/>
      </c>
      <c r="K19" s="68" t="str">
        <f>IFERROR(VLOOKUP($A19,TableHandbook[],K$2,FALSE),"")</f>
        <v/>
      </c>
      <c r="L19" s="65"/>
      <c r="M19" s="142">
        <v>10</v>
      </c>
      <c r="N19" s="29"/>
      <c r="O19" s="29"/>
      <c r="P19" s="30"/>
      <c r="Q19" s="30"/>
      <c r="R19" s="30"/>
      <c r="S19" s="30"/>
      <c r="T19" s="30"/>
      <c r="U19" s="30"/>
      <c r="V19" s="30"/>
      <c r="W19" s="30"/>
    </row>
    <row r="20" spans="1:23" s="31" customFormat="1" ht="20.100000000000001" customHeight="1" x14ac:dyDescent="0.15">
      <c r="A20" s="63" t="str">
        <f>IFERROR(IF(HLOOKUP($L$5,RangeNETSCMUnitsets,M20,FALSE)=0,"",HLOOKUP($L$5,RangeNETSCMUnitsets,M20,FALSE)),"")</f>
        <v/>
      </c>
      <c r="B20" s="58" t="str">
        <f>IFERROR(IF(VLOOKUP($A20,TableHandbook[],2,FALSE)=0,"",VLOOKUP($A20,TableHandbook[],2,FALSE)),"")</f>
        <v/>
      </c>
      <c r="C20" s="58" t="str">
        <f>IFERROR(IF(VLOOKUP($A20,TableHandbook[],3,FALSE)=0,"",VLOOKUP($A20,TableHandbook[],3,FALSE)),"")</f>
        <v/>
      </c>
      <c r="D20" s="62" t="str">
        <f>IFERROR(IF(VLOOKUP($A20,TableHandbook[],4,FALSE)=0,"",VLOOKUP($A20,TableHandbook[],4,FALSE)),"")</f>
        <v/>
      </c>
      <c r="E20" s="58" t="str">
        <f>IF(A20="","",E19)</f>
        <v/>
      </c>
      <c r="F20" s="55" t="str">
        <f>IFERROR(IF(VLOOKUP($A20,TableHandbook[],6,FALSE)=0,"",VLOOKUP($A20,TableHandbook[],6,FALSE)),"")</f>
        <v/>
      </c>
      <c r="G20" s="56" t="str">
        <f>IFERROR(IF(VLOOKUP($A20,TableHandbook[],5,FALSE)=0,"",VLOOKUP($A20,TableHandbook[],5,FALSE)),"")</f>
        <v/>
      </c>
      <c r="H20" s="67" t="str">
        <f>IFERROR(VLOOKUP($A20,TableHandbook[],H$2,FALSE),"")</f>
        <v/>
      </c>
      <c r="I20" s="56" t="str">
        <f>IFERROR(VLOOKUP($A20,TableHandbook[],I$2,FALSE),"")</f>
        <v/>
      </c>
      <c r="J20" s="56" t="str">
        <f>IFERROR(VLOOKUP($A20,TableHandbook[],J$2,FALSE),"")</f>
        <v/>
      </c>
      <c r="K20" s="68" t="str">
        <f>IFERROR(VLOOKUP($A20,TableHandbook[],K$2,FALSE),"")</f>
        <v/>
      </c>
      <c r="L20" s="65"/>
      <c r="M20" s="142">
        <v>11</v>
      </c>
      <c r="N20" s="29"/>
      <c r="O20" s="29"/>
      <c r="P20" s="30"/>
      <c r="Q20" s="30"/>
      <c r="R20" s="30"/>
      <c r="S20" s="30"/>
      <c r="T20" s="30"/>
      <c r="U20" s="30"/>
      <c r="V20" s="30"/>
      <c r="W20" s="30"/>
    </row>
    <row r="21" spans="1:23" s="31" customFormat="1" ht="20.100000000000001" customHeight="1" x14ac:dyDescent="0.15">
      <c r="A21" s="63" t="str">
        <f>IFERROR(IF(HLOOKUP($L$5,RangeNETSCMUnitsets,M21,FALSE)=0,"",HLOOKUP($L$5,RangeNETSCMUnitsets,M21,FALSE)),"")</f>
        <v/>
      </c>
      <c r="B21" s="58" t="str">
        <f>IFERROR(IF(VLOOKUP($A21,TableHandbook[],2,FALSE)=0,"",VLOOKUP($A21,TableHandbook[],2,FALSE)),"")</f>
        <v/>
      </c>
      <c r="C21" s="58" t="str">
        <f>IFERROR(IF(VLOOKUP($A21,TableHandbook[],3,FALSE)=0,"",VLOOKUP($A21,TableHandbook[],3,FALSE)),"")</f>
        <v/>
      </c>
      <c r="D21" s="62" t="str">
        <f>IFERROR(IF(VLOOKUP($A21,TableHandbook[],4,FALSE)=0,"",VLOOKUP($A21,TableHandbook[],4,FALSE)),"")</f>
        <v/>
      </c>
      <c r="E21" s="58" t="str">
        <f t="shared" ref="E21:E22" si="2">IF(A21="","",E20)</f>
        <v/>
      </c>
      <c r="F21" s="55" t="str">
        <f>IFERROR(IF(VLOOKUP($A21,TableHandbook[],6,FALSE)=0,"",VLOOKUP($A21,TableHandbook[],6,FALSE)),"")</f>
        <v/>
      </c>
      <c r="G21" s="56" t="str">
        <f>IFERROR(IF(VLOOKUP($A21,TableHandbook[],5,FALSE)=0,"",VLOOKUP($A21,TableHandbook[],5,FALSE)),"")</f>
        <v/>
      </c>
      <c r="H21" s="67" t="str">
        <f>IFERROR(VLOOKUP($A21,TableHandbook[],H$2,FALSE),"")</f>
        <v/>
      </c>
      <c r="I21" s="56" t="str">
        <f>IFERROR(VLOOKUP($A21,TableHandbook[],I$2,FALSE),"")</f>
        <v/>
      </c>
      <c r="J21" s="56" t="str">
        <f>IFERROR(VLOOKUP($A21,TableHandbook[],J$2,FALSE),"")</f>
        <v/>
      </c>
      <c r="K21" s="68" t="str">
        <f>IFERROR(VLOOKUP($A21,TableHandbook[],K$2,FALSE),"")</f>
        <v/>
      </c>
      <c r="L21" s="65"/>
      <c r="M21" s="142">
        <v>12</v>
      </c>
      <c r="N21" s="29"/>
      <c r="O21" s="29"/>
      <c r="P21" s="30"/>
      <c r="Q21" s="30"/>
      <c r="R21" s="30"/>
      <c r="S21" s="30"/>
      <c r="T21" s="30"/>
      <c r="U21" s="30"/>
      <c r="V21" s="30"/>
      <c r="W21" s="30"/>
    </row>
    <row r="22" spans="1:23" s="31" customFormat="1" ht="20.100000000000001" customHeight="1" x14ac:dyDescent="0.15">
      <c r="A22" s="63" t="str">
        <f>IFERROR(IF(HLOOKUP($L$5,RangeNETSCMUnitsets,M22,FALSE)=0,"",HLOOKUP($L$5,RangeNETSCMUnitsets,M22,FALSE)),"")</f>
        <v/>
      </c>
      <c r="B22" s="58" t="str">
        <f>IFERROR(IF(VLOOKUP($A22,TableHandbook[],2,FALSE)=0,"",VLOOKUP($A22,TableHandbook[],2,FALSE)),"")</f>
        <v/>
      </c>
      <c r="C22" s="58" t="str">
        <f>IFERROR(IF(VLOOKUP($A22,TableHandbook[],3,FALSE)=0,"",VLOOKUP($A22,TableHandbook[],3,FALSE)),"")</f>
        <v/>
      </c>
      <c r="D22" s="62" t="str">
        <f>IFERROR(IF(VLOOKUP($A22,TableHandbook[],4,FALSE)=0,"",VLOOKUP($A22,TableHandbook[],4,FALSE)),"")</f>
        <v/>
      </c>
      <c r="E22" s="58" t="str">
        <f t="shared" si="2"/>
        <v/>
      </c>
      <c r="F22" s="55" t="str">
        <f>IFERROR(IF(VLOOKUP($A22,TableHandbook[],6,FALSE)=0,"",VLOOKUP($A22,TableHandbook[],6,FALSE)),"")</f>
        <v/>
      </c>
      <c r="G22" s="56" t="str">
        <f>IFERROR(IF(VLOOKUP($A22,TableHandbook[],5,FALSE)=0,"",VLOOKUP($A22,TableHandbook[],5,FALSE)),"")</f>
        <v/>
      </c>
      <c r="H22" s="67" t="str">
        <f>IFERROR(VLOOKUP($A22,TableHandbook[],H$2,FALSE),"")</f>
        <v/>
      </c>
      <c r="I22" s="56" t="str">
        <f>IFERROR(VLOOKUP($A22,TableHandbook[],I$2,FALSE),"")</f>
        <v/>
      </c>
      <c r="J22" s="56" t="str">
        <f>IFERROR(VLOOKUP($A22,TableHandbook[],J$2,FALSE),"")</f>
        <v/>
      </c>
      <c r="K22" s="68" t="str">
        <f>IFERROR(VLOOKUP($A22,TableHandbook[],K$2,FALSE),"")</f>
        <v/>
      </c>
      <c r="L22" s="65"/>
      <c r="M22" s="142">
        <v>13</v>
      </c>
      <c r="N22" s="29"/>
      <c r="O22" s="29"/>
      <c r="P22" s="30"/>
      <c r="Q22" s="30"/>
      <c r="R22" s="30"/>
      <c r="S22" s="30"/>
      <c r="T22" s="30"/>
      <c r="U22" s="30"/>
      <c r="V22" s="30"/>
      <c r="W22" s="30"/>
    </row>
    <row r="23" spans="1:23" s="39" customFormat="1" ht="20.100000000000001" customHeight="1" x14ac:dyDescent="0.15">
      <c r="A23" s="148"/>
      <c r="B23" s="149"/>
      <c r="C23" s="149"/>
      <c r="D23" s="173"/>
      <c r="E23" s="148"/>
      <c r="F23" s="174"/>
      <c r="G23" s="148"/>
      <c r="H23" s="148"/>
      <c r="I23" s="148"/>
      <c r="J23" s="148"/>
      <c r="K23" s="148"/>
      <c r="L23" s="175"/>
      <c r="M23" s="142"/>
      <c r="N23" s="37"/>
      <c r="O23" s="37"/>
      <c r="P23" s="38"/>
      <c r="Q23" s="38"/>
      <c r="R23" s="38"/>
      <c r="S23" s="38"/>
      <c r="T23" s="38"/>
      <c r="U23" s="38"/>
      <c r="V23" s="38"/>
      <c r="W23" s="38"/>
    </row>
    <row r="24" spans="1:23" ht="20.25" x14ac:dyDescent="0.25">
      <c r="A24" s="203" t="s">
        <v>212</v>
      </c>
      <c r="B24" s="150"/>
      <c r="C24" s="150"/>
      <c r="D24" s="151"/>
      <c r="E24" s="152"/>
      <c r="F24" s="152"/>
      <c r="G24" s="152"/>
      <c r="H24" s="202" t="s">
        <v>19</v>
      </c>
      <c r="I24" s="153"/>
      <c r="J24" s="154"/>
      <c r="K24" s="155"/>
      <c r="L24" s="204" t="e">
        <f>VLOOKUP(D5,TableCourses[],2,FALSE)</f>
        <v>#N/A</v>
      </c>
      <c r="M24" s="144"/>
      <c r="N24" s="25"/>
      <c r="O24" s="25"/>
      <c r="P24" s="25"/>
      <c r="Q24" s="25"/>
      <c r="R24" s="25"/>
      <c r="S24" s="25"/>
      <c r="T24" s="25"/>
      <c r="U24" s="25"/>
      <c r="V24" s="25"/>
      <c r="W24" s="25"/>
    </row>
    <row r="25" spans="1:23" s="48" customFormat="1" ht="21" x14ac:dyDescent="0.25">
      <c r="A25" s="159"/>
      <c r="B25" s="159"/>
      <c r="C25" s="159"/>
      <c r="D25" s="160" t="s">
        <v>3</v>
      </c>
      <c r="E25" s="165"/>
      <c r="F25" s="276" t="s">
        <v>22</v>
      </c>
      <c r="G25" s="159" t="s">
        <v>23</v>
      </c>
      <c r="H25" s="166" t="s">
        <v>24</v>
      </c>
      <c r="I25" s="165" t="s">
        <v>25</v>
      </c>
      <c r="J25" s="165" t="s">
        <v>26</v>
      </c>
      <c r="K25" s="167" t="s">
        <v>27</v>
      </c>
      <c r="L25" s="158"/>
      <c r="M25" s="144"/>
      <c r="N25" s="47"/>
      <c r="O25" s="47"/>
      <c r="P25" s="47"/>
      <c r="Q25" s="47"/>
      <c r="R25" s="47"/>
      <c r="S25" s="47"/>
      <c r="T25" s="47"/>
      <c r="U25" s="47"/>
      <c r="V25" s="47"/>
      <c r="W25" s="47"/>
    </row>
    <row r="26" spans="1:23" x14ac:dyDescent="0.25">
      <c r="A26" s="199" t="str">
        <f t="shared" ref="A26:A40" si="3">IFERROR(IF(HLOOKUP($L$24,RangeNETSCMOptions,$M26,FALSE)=0,"",HLOOKUP($L$24,RangeNETSCMOptions,$M26,FALSE)),"")</f>
        <v/>
      </c>
      <c r="B26" s="125" t="str">
        <f>IFERROR(IF(VLOOKUP($A26,TableHandbook[],2,FALSE)=0,"",VLOOKUP($A26,TableHandbook[],2,FALSE)),"")</f>
        <v/>
      </c>
      <c r="C26" s="125" t="str">
        <f>IFERROR(IF(VLOOKUP($A26,TableHandbook[],3,FALSE)=0,"",VLOOKUP($A26,TableHandbook[],3,FALSE)),"")</f>
        <v/>
      </c>
      <c r="D26" s="49" t="str">
        <f>IFERROR(IF(VLOOKUP($A26,TableHandbook[],4,FALSE)=0,"",VLOOKUP($A26,TableHandbook[],4,FALSE)),"")</f>
        <v/>
      </c>
      <c r="E26" s="50"/>
      <c r="F26" s="277" t="str">
        <f>IFERROR(IF(VLOOKUP($A26,TableHandbook[],6,FALSE)=0,"",VLOOKUP($A26,TableHandbook[],6,FALSE)),"")</f>
        <v/>
      </c>
      <c r="G26" s="51" t="str">
        <f>IFERROR(IF(VLOOKUP($A26,TableHandbook[],5,FALSE)=0,"",VLOOKUP($A26,TableHandbook[],5,FALSE)),"")</f>
        <v/>
      </c>
      <c r="H26" s="67" t="str">
        <f>IFERROR(VLOOKUP($A26,TableHandbook[],H$2,FALSE),"")</f>
        <v/>
      </c>
      <c r="I26" s="56" t="str">
        <f>IFERROR(VLOOKUP($A26,TableHandbook[],I$2,FALSE),"")</f>
        <v/>
      </c>
      <c r="J26" s="56" t="str">
        <f>IFERROR(VLOOKUP($A26,TableHandbook[],J$2,FALSE),"")</f>
        <v/>
      </c>
      <c r="K26" s="68" t="str">
        <f>IFERROR(VLOOKUP($A26,TableHandbook[],K$2,FALSE),"")</f>
        <v/>
      </c>
      <c r="L26" s="57"/>
      <c r="M26" s="142">
        <v>2</v>
      </c>
      <c r="N26" s="25"/>
      <c r="O26" s="25"/>
      <c r="P26" s="25"/>
      <c r="Q26" s="25"/>
      <c r="R26" s="25"/>
      <c r="S26" s="25"/>
      <c r="T26" s="25"/>
      <c r="U26" s="25"/>
      <c r="V26" s="25"/>
      <c r="W26" s="25"/>
    </row>
    <row r="27" spans="1:23" x14ac:dyDescent="0.25">
      <c r="A27" s="199" t="str">
        <f t="shared" si="3"/>
        <v/>
      </c>
      <c r="B27" s="125" t="str">
        <f>IFERROR(IF(VLOOKUP($A27,TableHandbook[],2,FALSE)=0,"",VLOOKUP($A27,TableHandbook[],2,FALSE)),"")</f>
        <v/>
      </c>
      <c r="C27" s="125" t="str">
        <f>IFERROR(IF(VLOOKUP($A27,TableHandbook[],3,FALSE)=0,"",VLOOKUP($A27,TableHandbook[],3,FALSE)),"")</f>
        <v/>
      </c>
      <c r="D27" s="49" t="str">
        <f>IFERROR(IF(VLOOKUP($A27,TableHandbook[],4,FALSE)=0,"",VLOOKUP($A27,TableHandbook[],4,FALSE)),"")</f>
        <v/>
      </c>
      <c r="E27" s="50"/>
      <c r="F27" s="277" t="str">
        <f>IFERROR(IF(VLOOKUP($A27,TableHandbook[],6,FALSE)=0,"",VLOOKUP($A27,TableHandbook[],6,FALSE)),"")</f>
        <v/>
      </c>
      <c r="G27" s="51"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57"/>
      <c r="M27" s="142">
        <v>3</v>
      </c>
      <c r="N27" s="25"/>
      <c r="O27" s="25"/>
      <c r="P27" s="25"/>
      <c r="Q27" s="25"/>
      <c r="R27" s="25"/>
      <c r="S27" s="25"/>
      <c r="T27" s="25"/>
      <c r="U27" s="25"/>
      <c r="V27" s="25"/>
      <c r="W27" s="25"/>
    </row>
    <row r="28" spans="1:23" x14ac:dyDescent="0.25">
      <c r="A28" s="199" t="str">
        <f t="shared" si="3"/>
        <v/>
      </c>
      <c r="B28" s="125" t="str">
        <f>IFERROR(IF(VLOOKUP($A28,TableHandbook[],2,FALSE)=0,"",VLOOKUP($A28,TableHandbook[],2,FALSE)),"")</f>
        <v/>
      </c>
      <c r="C28" s="125" t="str">
        <f>IFERROR(IF(VLOOKUP($A28,TableHandbook[],3,FALSE)=0,"",VLOOKUP($A28,TableHandbook[],3,FALSE)),"")</f>
        <v/>
      </c>
      <c r="D28" s="49" t="str">
        <f>IFERROR(IF(VLOOKUP($A28,TableHandbook[],4,FALSE)=0,"",VLOOKUP($A28,TableHandbook[],4,FALSE)),"")</f>
        <v/>
      </c>
      <c r="E28" s="50"/>
      <c r="F28" s="277" t="str">
        <f>IFERROR(IF(VLOOKUP($A28,TableHandbook[],6,FALSE)=0,"",VLOOKUP($A28,TableHandbook[],6,FALSE)),"")</f>
        <v/>
      </c>
      <c r="G28" s="51" t="str">
        <f>IFERROR(IF(VLOOKUP($A28,TableHandbook[],5,FALSE)=0,"",VLOOKUP($A28,TableHandbook[],5,FALSE)),"")</f>
        <v/>
      </c>
      <c r="H28" s="67" t="str">
        <f>IFERROR(VLOOKUP($A28,TableHandbook[],H$2,FALSE),"")</f>
        <v/>
      </c>
      <c r="I28" s="56" t="str">
        <f>IFERROR(VLOOKUP($A28,TableHandbook[],I$2,FALSE),"")</f>
        <v/>
      </c>
      <c r="J28" s="56" t="str">
        <f>IFERROR(VLOOKUP($A28,TableHandbook[],J$2,FALSE),"")</f>
        <v/>
      </c>
      <c r="K28" s="68" t="str">
        <f>IFERROR(VLOOKUP($A28,TableHandbook[],K$2,FALSE),"")</f>
        <v/>
      </c>
      <c r="L28" s="57"/>
      <c r="M28" s="142">
        <v>4</v>
      </c>
      <c r="N28" s="25"/>
      <c r="O28" s="25"/>
      <c r="P28" s="25"/>
      <c r="Q28" s="25"/>
      <c r="R28" s="25"/>
      <c r="S28" s="25"/>
      <c r="T28" s="25"/>
      <c r="U28" s="25"/>
      <c r="V28" s="25"/>
      <c r="W28" s="25"/>
    </row>
    <row r="29" spans="1:23" x14ac:dyDescent="0.25">
      <c r="A29" s="199" t="str">
        <f t="shared" si="3"/>
        <v/>
      </c>
      <c r="B29" s="125" t="str">
        <f>IFERROR(IF(VLOOKUP($A29,TableHandbook[],2,FALSE)=0,"",VLOOKUP($A29,TableHandbook[],2,FALSE)),"")</f>
        <v/>
      </c>
      <c r="C29" s="125" t="str">
        <f>IFERROR(IF(VLOOKUP($A29,TableHandbook[],3,FALSE)=0,"",VLOOKUP($A29,TableHandbook[],3,FALSE)),"")</f>
        <v/>
      </c>
      <c r="D29" s="49" t="str">
        <f>IFERROR(IF(VLOOKUP($A29,TableHandbook[],4,FALSE)=0,"",VLOOKUP($A29,TableHandbook[],4,FALSE)),"")</f>
        <v/>
      </c>
      <c r="E29" s="50"/>
      <c r="F29" s="277" t="str">
        <f>IFERROR(IF(VLOOKUP($A29,TableHandbook[],6,FALSE)=0,"",VLOOKUP($A29,TableHandbook[],6,FALSE)),"")</f>
        <v/>
      </c>
      <c r="G29" s="51" t="str">
        <f>IFERROR(IF(VLOOKUP($A29,TableHandbook[],5,FALSE)=0,"",VLOOKUP($A29,TableHandbook[],5,FALSE)),"")</f>
        <v/>
      </c>
      <c r="H29" s="67" t="str">
        <f>IFERROR(VLOOKUP($A29,TableHandbook[],H$2,FALSE),"")</f>
        <v/>
      </c>
      <c r="I29" s="56" t="str">
        <f>IFERROR(VLOOKUP($A29,TableHandbook[],I$2,FALSE),"")</f>
        <v/>
      </c>
      <c r="J29" s="56" t="str">
        <f>IFERROR(VLOOKUP($A29,TableHandbook[],J$2,FALSE),"")</f>
        <v/>
      </c>
      <c r="K29" s="68" t="str">
        <f>IFERROR(VLOOKUP($A29,TableHandbook[],K$2,FALSE),"")</f>
        <v/>
      </c>
      <c r="L29" s="57"/>
      <c r="M29" s="142">
        <v>5</v>
      </c>
      <c r="N29" s="25"/>
      <c r="O29" s="25"/>
      <c r="P29" s="25"/>
      <c r="Q29" s="25"/>
      <c r="R29" s="25"/>
      <c r="S29" s="25"/>
      <c r="T29" s="25"/>
      <c r="U29" s="25"/>
      <c r="V29" s="25"/>
      <c r="W29" s="25"/>
    </row>
    <row r="30" spans="1:23" x14ac:dyDescent="0.25">
      <c r="A30" s="199" t="str">
        <f t="shared" si="3"/>
        <v/>
      </c>
      <c r="B30" s="125" t="str">
        <f>IFERROR(IF(VLOOKUP($A30,TableHandbook[],2,FALSE)=0,"",VLOOKUP($A30,TableHandbook[],2,FALSE)),"")</f>
        <v/>
      </c>
      <c r="C30" s="125" t="str">
        <f>IFERROR(IF(VLOOKUP($A30,TableHandbook[],3,FALSE)=0,"",VLOOKUP($A30,TableHandbook[],3,FALSE)),"")</f>
        <v/>
      </c>
      <c r="D30" s="49" t="str">
        <f>IFERROR(IF(VLOOKUP($A30,TableHandbook[],4,FALSE)=0,"",VLOOKUP($A30,TableHandbook[],4,FALSE)),"")</f>
        <v/>
      </c>
      <c r="E30" s="50"/>
      <c r="F30" s="277" t="str">
        <f>IFERROR(IF(VLOOKUP($A30,TableHandbook[],6,FALSE)=0,"",VLOOKUP($A30,TableHandbook[],6,FALSE)),"")</f>
        <v/>
      </c>
      <c r="G30" s="51" t="str">
        <f>IFERROR(IF(VLOOKUP($A30,TableHandbook[],5,FALSE)=0,"",VLOOKUP($A30,TableHandbook[],5,FALSE)),"")</f>
        <v/>
      </c>
      <c r="H30" s="67" t="str">
        <f>IFERROR(VLOOKUP($A30,TableHandbook[],H$2,FALSE),"")</f>
        <v/>
      </c>
      <c r="I30" s="56" t="str">
        <f>IFERROR(VLOOKUP($A30,TableHandbook[],I$2,FALSE),"")</f>
        <v/>
      </c>
      <c r="J30" s="56" t="str">
        <f>IFERROR(VLOOKUP($A30,TableHandbook[],J$2,FALSE),"")</f>
        <v/>
      </c>
      <c r="K30" s="68" t="str">
        <f>IFERROR(VLOOKUP($A30,TableHandbook[],K$2,FALSE),"")</f>
        <v/>
      </c>
      <c r="L30" s="57"/>
      <c r="M30" s="142">
        <v>6</v>
      </c>
      <c r="N30" s="25"/>
      <c r="O30" s="25"/>
      <c r="P30" s="25"/>
      <c r="Q30" s="25"/>
      <c r="R30" s="25"/>
      <c r="S30" s="25"/>
      <c r="T30" s="25"/>
      <c r="U30" s="25"/>
      <c r="V30" s="25"/>
      <c r="W30" s="25"/>
    </row>
    <row r="31" spans="1:23" x14ac:dyDescent="0.25">
      <c r="A31" s="199" t="str">
        <f t="shared" si="3"/>
        <v/>
      </c>
      <c r="B31" s="125" t="str">
        <f>IFERROR(IF(VLOOKUP($A31,TableHandbook[],2,FALSE)=0,"",VLOOKUP($A31,TableHandbook[],2,FALSE)),"")</f>
        <v/>
      </c>
      <c r="C31" s="125" t="str">
        <f>IFERROR(IF(VLOOKUP($A31,TableHandbook[],3,FALSE)=0,"",VLOOKUP($A31,TableHandbook[],3,FALSE)),"")</f>
        <v/>
      </c>
      <c r="D31" s="49" t="str">
        <f>IFERROR(IF(VLOOKUP($A31,TableHandbook[],4,FALSE)=0,"",VLOOKUP($A31,TableHandbook[],4,FALSE)),"")</f>
        <v/>
      </c>
      <c r="E31" s="50"/>
      <c r="F31" s="277" t="str">
        <f>IFERROR(IF(VLOOKUP($A31,TableHandbook[],6,FALSE)=0,"",VLOOKUP($A31,TableHandbook[],6,FALSE)),"")</f>
        <v/>
      </c>
      <c r="G31" s="51" t="str">
        <f>IFERROR(IF(VLOOKUP($A31,TableHandbook[],5,FALSE)=0,"",VLOOKUP($A31,TableHandbook[],5,FALSE)),"")</f>
        <v/>
      </c>
      <c r="H31" s="67" t="str">
        <f>IFERROR(VLOOKUP($A31,TableHandbook[],H$2,FALSE),"")</f>
        <v/>
      </c>
      <c r="I31" s="56" t="str">
        <f>IFERROR(VLOOKUP($A31,TableHandbook[],I$2,FALSE),"")</f>
        <v/>
      </c>
      <c r="J31" s="56" t="str">
        <f>IFERROR(VLOOKUP($A31,TableHandbook[],J$2,FALSE),"")</f>
        <v/>
      </c>
      <c r="K31" s="68" t="str">
        <f>IFERROR(VLOOKUP($A31,TableHandbook[],K$2,FALSE),"")</f>
        <v/>
      </c>
      <c r="L31" s="57"/>
      <c r="M31" s="142">
        <v>7</v>
      </c>
      <c r="N31" s="25"/>
      <c r="O31" s="25"/>
      <c r="P31" s="25"/>
      <c r="Q31" s="25"/>
      <c r="R31" s="25"/>
      <c r="S31" s="25"/>
      <c r="T31" s="25"/>
      <c r="U31" s="25"/>
      <c r="V31" s="25"/>
      <c r="W31" s="25"/>
    </row>
    <row r="32" spans="1:23" x14ac:dyDescent="0.25">
      <c r="A32" s="199" t="str">
        <f t="shared" si="3"/>
        <v/>
      </c>
      <c r="B32" s="125" t="str">
        <f>IFERROR(IF(VLOOKUP($A32,TableHandbook[],2,FALSE)=0,"",VLOOKUP($A32,TableHandbook[],2,FALSE)),"")</f>
        <v/>
      </c>
      <c r="C32" s="125" t="str">
        <f>IFERROR(IF(VLOOKUP($A32,TableHandbook[],3,FALSE)=0,"",VLOOKUP($A32,TableHandbook[],3,FALSE)),"")</f>
        <v/>
      </c>
      <c r="D32" s="49" t="str">
        <f>IFERROR(IF(VLOOKUP($A32,TableHandbook[],4,FALSE)=0,"",VLOOKUP($A32,TableHandbook[],4,FALSE)),"")</f>
        <v/>
      </c>
      <c r="E32" s="50"/>
      <c r="F32" s="277" t="str">
        <f>IFERROR(IF(VLOOKUP($A32,TableHandbook[],6,FALSE)=0,"",VLOOKUP($A32,TableHandbook[],6,FALSE)),"")</f>
        <v/>
      </c>
      <c r="G32" s="51" t="str">
        <f>IFERROR(IF(VLOOKUP($A32,TableHandbook[],5,FALSE)=0,"",VLOOKUP($A32,TableHandbook[],5,FALSE)),"")</f>
        <v/>
      </c>
      <c r="H32" s="67" t="str">
        <f>IFERROR(VLOOKUP($A32,TableHandbook[],H$2,FALSE),"")</f>
        <v/>
      </c>
      <c r="I32" s="56" t="str">
        <f>IFERROR(VLOOKUP($A32,TableHandbook[],I$2,FALSE),"")</f>
        <v/>
      </c>
      <c r="J32" s="56" t="str">
        <f>IFERROR(VLOOKUP($A32,TableHandbook[],J$2,FALSE),"")</f>
        <v/>
      </c>
      <c r="K32" s="68" t="str">
        <f>IFERROR(VLOOKUP($A32,TableHandbook[],K$2,FALSE),"")</f>
        <v/>
      </c>
      <c r="L32" s="57"/>
      <c r="M32" s="142">
        <v>8</v>
      </c>
      <c r="N32" s="25"/>
      <c r="O32" s="25"/>
      <c r="P32" s="25"/>
      <c r="Q32" s="25"/>
      <c r="R32" s="25"/>
      <c r="S32" s="25"/>
      <c r="T32" s="25"/>
      <c r="U32" s="25"/>
      <c r="V32" s="25"/>
      <c r="W32" s="25"/>
    </row>
    <row r="33" spans="1:23" x14ac:dyDescent="0.25">
      <c r="A33" s="199" t="str">
        <f t="shared" si="3"/>
        <v/>
      </c>
      <c r="B33" s="125" t="str">
        <f>IFERROR(IF(VLOOKUP($A33,TableHandbook[],2,FALSE)=0,"",VLOOKUP($A33,TableHandbook[],2,FALSE)),"")</f>
        <v/>
      </c>
      <c r="C33" s="125" t="str">
        <f>IFERROR(IF(VLOOKUP($A33,TableHandbook[],3,FALSE)=0,"",VLOOKUP($A33,TableHandbook[],3,FALSE)),"")</f>
        <v/>
      </c>
      <c r="D33" s="49" t="str">
        <f>IFERROR(IF(VLOOKUP($A33,TableHandbook[],4,FALSE)=0,"",VLOOKUP($A33,TableHandbook[],4,FALSE)),"")</f>
        <v/>
      </c>
      <c r="E33" s="50"/>
      <c r="F33" s="277" t="str">
        <f>IFERROR(IF(VLOOKUP($A33,TableHandbook[],6,FALSE)=0,"",VLOOKUP($A33,TableHandbook[],6,FALSE)),"")</f>
        <v/>
      </c>
      <c r="G33" s="51" t="str">
        <f>IFERROR(IF(VLOOKUP($A33,TableHandbook[],5,FALSE)=0,"",VLOOKUP($A33,TableHandbook[],5,FALSE)),"")</f>
        <v/>
      </c>
      <c r="H33" s="67" t="str">
        <f>IFERROR(VLOOKUP($A33,TableHandbook[],H$2,FALSE),"")</f>
        <v/>
      </c>
      <c r="I33" s="56" t="str">
        <f>IFERROR(VLOOKUP($A33,TableHandbook[],I$2,FALSE),"")</f>
        <v/>
      </c>
      <c r="J33" s="56" t="str">
        <f>IFERROR(VLOOKUP($A33,TableHandbook[],J$2,FALSE),"")</f>
        <v/>
      </c>
      <c r="K33" s="68" t="str">
        <f>IFERROR(VLOOKUP($A33,TableHandbook[],K$2,FALSE),"")</f>
        <v/>
      </c>
      <c r="L33" s="57"/>
      <c r="M33" s="142">
        <v>9</v>
      </c>
      <c r="N33" s="25"/>
      <c r="O33" s="25"/>
      <c r="P33" s="25"/>
      <c r="Q33" s="25"/>
      <c r="R33" s="25"/>
      <c r="S33" s="25"/>
      <c r="T33" s="25"/>
      <c r="U33" s="25"/>
      <c r="V33" s="25"/>
      <c r="W33" s="25"/>
    </row>
    <row r="34" spans="1:23" x14ac:dyDescent="0.25">
      <c r="A34" s="199" t="str">
        <f t="shared" si="3"/>
        <v/>
      </c>
      <c r="B34" s="125" t="str">
        <f>IFERROR(IF(VLOOKUP($A34,TableHandbook[],2,FALSE)=0,"",VLOOKUP($A34,TableHandbook[],2,FALSE)),"")</f>
        <v/>
      </c>
      <c r="C34" s="125" t="str">
        <f>IFERROR(IF(VLOOKUP($A34,TableHandbook[],3,FALSE)=0,"",VLOOKUP($A34,TableHandbook[],3,FALSE)),"")</f>
        <v/>
      </c>
      <c r="D34" s="49" t="str">
        <f>IFERROR(IF(VLOOKUP($A34,TableHandbook[],4,FALSE)=0,"",VLOOKUP($A34,TableHandbook[],4,FALSE)),"")</f>
        <v/>
      </c>
      <c r="E34" s="50"/>
      <c r="F34" s="277" t="str">
        <f>IFERROR(IF(VLOOKUP($A34,TableHandbook[],6,FALSE)=0,"",VLOOKUP($A34,TableHandbook[],6,FALSE)),"")</f>
        <v/>
      </c>
      <c r="G34" s="51" t="str">
        <f>IFERROR(IF(VLOOKUP($A34,TableHandbook[],5,FALSE)=0,"",VLOOKUP($A34,TableHandbook[],5,FALSE)),"")</f>
        <v/>
      </c>
      <c r="H34" s="67" t="str">
        <f>IFERROR(VLOOKUP($A34,TableHandbook[],H$2,FALSE),"")</f>
        <v/>
      </c>
      <c r="I34" s="56" t="str">
        <f>IFERROR(VLOOKUP($A34,TableHandbook[],I$2,FALSE),"")</f>
        <v/>
      </c>
      <c r="J34" s="56" t="str">
        <f>IFERROR(VLOOKUP($A34,TableHandbook[],J$2,FALSE),"")</f>
        <v/>
      </c>
      <c r="K34" s="68" t="str">
        <f>IFERROR(VLOOKUP($A34,TableHandbook[],K$2,FALSE),"")</f>
        <v/>
      </c>
      <c r="L34" s="57"/>
      <c r="M34" s="142">
        <v>10</v>
      </c>
      <c r="N34" s="25"/>
      <c r="O34" s="25"/>
      <c r="P34" s="25"/>
      <c r="Q34" s="25"/>
      <c r="R34" s="25"/>
      <c r="S34" s="25"/>
      <c r="T34" s="25"/>
      <c r="U34" s="25"/>
      <c r="V34" s="25"/>
      <c r="W34" s="25"/>
    </row>
    <row r="35" spans="1:23" x14ac:dyDescent="0.25">
      <c r="A35" s="199" t="str">
        <f t="shared" si="3"/>
        <v/>
      </c>
      <c r="B35" s="125" t="str">
        <f>IFERROR(IF(VLOOKUP($A35,TableHandbook[],2,FALSE)=0,"",VLOOKUP($A35,TableHandbook[],2,FALSE)),"")</f>
        <v/>
      </c>
      <c r="C35" s="125" t="str">
        <f>IFERROR(IF(VLOOKUP($A35,TableHandbook[],3,FALSE)=0,"",VLOOKUP($A35,TableHandbook[],3,FALSE)),"")</f>
        <v/>
      </c>
      <c r="D35" s="49" t="str">
        <f>IFERROR(IF(VLOOKUP($A35,TableHandbook[],4,FALSE)=0,"",VLOOKUP($A35,TableHandbook[],4,FALSE)),"")</f>
        <v/>
      </c>
      <c r="E35" s="50"/>
      <c r="F35" s="277" t="str">
        <f>IFERROR(IF(VLOOKUP($A35,TableHandbook[],6,FALSE)=0,"",VLOOKUP($A35,TableHandbook[],6,FALSE)),"")</f>
        <v/>
      </c>
      <c r="G35" s="51" t="str">
        <f>IFERROR(IF(VLOOKUP($A35,TableHandbook[],5,FALSE)=0,"",VLOOKUP($A35,TableHandbook[],5,FALSE)),"")</f>
        <v/>
      </c>
      <c r="H35" s="67" t="str">
        <f>IFERROR(VLOOKUP($A35,TableHandbook[],H$2,FALSE),"")</f>
        <v/>
      </c>
      <c r="I35" s="56" t="str">
        <f>IFERROR(VLOOKUP($A35,TableHandbook[],I$2,FALSE),"")</f>
        <v/>
      </c>
      <c r="J35" s="56" t="str">
        <f>IFERROR(VLOOKUP($A35,TableHandbook[],J$2,FALSE),"")</f>
        <v/>
      </c>
      <c r="K35" s="68" t="str">
        <f>IFERROR(VLOOKUP($A35,TableHandbook[],K$2,FALSE),"")</f>
        <v/>
      </c>
      <c r="L35" s="57"/>
      <c r="M35" s="142">
        <v>11</v>
      </c>
      <c r="N35" s="25"/>
      <c r="O35" s="25"/>
      <c r="P35" s="25"/>
      <c r="Q35" s="25"/>
      <c r="R35" s="25"/>
      <c r="S35" s="25"/>
      <c r="T35" s="25"/>
      <c r="U35" s="25"/>
      <c r="V35" s="25"/>
      <c r="W35" s="25"/>
    </row>
    <row r="36" spans="1:23" x14ac:dyDescent="0.25">
      <c r="A36" s="199" t="str">
        <f t="shared" si="3"/>
        <v/>
      </c>
      <c r="B36" s="125" t="str">
        <f>IFERROR(IF(VLOOKUP($A36,TableHandbook[],2,FALSE)=0,"",VLOOKUP($A36,TableHandbook[],2,FALSE)),"")</f>
        <v/>
      </c>
      <c r="C36" s="125" t="str">
        <f>IFERROR(IF(VLOOKUP($A36,TableHandbook[],3,FALSE)=0,"",VLOOKUP($A36,TableHandbook[],3,FALSE)),"")</f>
        <v/>
      </c>
      <c r="D36" s="49" t="str">
        <f>IFERROR(IF(VLOOKUP($A36,TableHandbook[],4,FALSE)=0,"",VLOOKUP($A36,TableHandbook[],4,FALSE)),"")</f>
        <v/>
      </c>
      <c r="E36" s="50"/>
      <c r="F36" s="277" t="str">
        <f>IFERROR(IF(VLOOKUP($A36,TableHandbook[],6,FALSE)=0,"",VLOOKUP($A36,TableHandbook[],6,FALSE)),"")</f>
        <v/>
      </c>
      <c r="G36" s="51" t="str">
        <f>IFERROR(IF(VLOOKUP($A36,TableHandbook[],5,FALSE)=0,"",VLOOKUP($A36,TableHandbook[],5,FALSE)),"")</f>
        <v/>
      </c>
      <c r="H36" s="67" t="str">
        <f>IFERROR(VLOOKUP($A36,TableHandbook[],H$2,FALSE),"")</f>
        <v/>
      </c>
      <c r="I36" s="56" t="str">
        <f>IFERROR(VLOOKUP($A36,TableHandbook[],I$2,FALSE),"")</f>
        <v/>
      </c>
      <c r="J36" s="56" t="str">
        <f>IFERROR(VLOOKUP($A36,TableHandbook[],J$2,FALSE),"")</f>
        <v/>
      </c>
      <c r="K36" s="68" t="str">
        <f>IFERROR(VLOOKUP($A36,TableHandbook[],K$2,FALSE),"")</f>
        <v/>
      </c>
      <c r="L36" s="57"/>
      <c r="M36" s="142">
        <v>12</v>
      </c>
      <c r="N36" s="25"/>
      <c r="O36" s="25"/>
      <c r="P36" s="25"/>
      <c r="Q36" s="25"/>
      <c r="R36" s="25"/>
      <c r="S36" s="25"/>
      <c r="T36" s="25"/>
      <c r="U36" s="25"/>
      <c r="V36" s="25"/>
      <c r="W36" s="25"/>
    </row>
    <row r="37" spans="1:23" x14ac:dyDescent="0.25">
      <c r="A37" s="199" t="str">
        <f t="shared" si="3"/>
        <v/>
      </c>
      <c r="B37" s="125" t="str">
        <f>IFERROR(IF(VLOOKUP($A37,TableHandbook[],2,FALSE)=0,"",VLOOKUP($A37,TableHandbook[],2,FALSE)),"")</f>
        <v/>
      </c>
      <c r="C37" s="125" t="str">
        <f>IFERROR(IF(VLOOKUP($A37,TableHandbook[],3,FALSE)=0,"",VLOOKUP($A37,TableHandbook[],3,FALSE)),"")</f>
        <v/>
      </c>
      <c r="D37" s="49" t="str">
        <f>IFERROR(IF(VLOOKUP($A37,TableHandbook[],4,FALSE)=0,"",VLOOKUP($A37,TableHandbook[],4,FALSE)),"")</f>
        <v/>
      </c>
      <c r="E37" s="50"/>
      <c r="F37" s="277" t="str">
        <f>IFERROR(IF(VLOOKUP($A37,TableHandbook[],6,FALSE)=0,"",VLOOKUP($A37,TableHandbook[],6,FALSE)),"")</f>
        <v/>
      </c>
      <c r="G37" s="51" t="str">
        <f>IFERROR(IF(VLOOKUP($A37,TableHandbook[],5,FALSE)=0,"",VLOOKUP($A37,TableHandbook[],5,FALSE)),"")</f>
        <v/>
      </c>
      <c r="H37" s="67" t="str">
        <f>IFERROR(VLOOKUP($A37,TableHandbook[],H$2,FALSE),"")</f>
        <v/>
      </c>
      <c r="I37" s="56" t="str">
        <f>IFERROR(VLOOKUP($A37,TableHandbook[],I$2,FALSE),"")</f>
        <v/>
      </c>
      <c r="J37" s="56" t="str">
        <f>IFERROR(VLOOKUP($A37,TableHandbook[],J$2,FALSE),"")</f>
        <v/>
      </c>
      <c r="K37" s="68" t="str">
        <f>IFERROR(VLOOKUP($A37,TableHandbook[],K$2,FALSE),"")</f>
        <v/>
      </c>
      <c r="L37" s="57"/>
      <c r="M37" s="142">
        <v>13</v>
      </c>
      <c r="N37" s="25"/>
      <c r="O37" s="25"/>
      <c r="P37" s="25"/>
      <c r="Q37" s="25"/>
      <c r="R37" s="25"/>
      <c r="S37" s="25"/>
      <c r="T37" s="25"/>
      <c r="U37" s="25"/>
      <c r="V37" s="25"/>
      <c r="W37" s="25"/>
    </row>
    <row r="38" spans="1:23" x14ac:dyDescent="0.25">
      <c r="A38" s="199" t="str">
        <f t="shared" si="3"/>
        <v/>
      </c>
      <c r="B38" s="125" t="str">
        <f>IFERROR(IF(VLOOKUP($A38,TableHandbook[],2,FALSE)=0,"",VLOOKUP($A38,TableHandbook[],2,FALSE)),"")</f>
        <v/>
      </c>
      <c r="C38" s="125" t="str">
        <f>IFERROR(IF(VLOOKUP($A38,TableHandbook[],3,FALSE)=0,"",VLOOKUP($A38,TableHandbook[],3,FALSE)),"")</f>
        <v/>
      </c>
      <c r="D38" s="49" t="str">
        <f>IFERROR(IF(VLOOKUP($A38,TableHandbook[],4,FALSE)=0,"",VLOOKUP($A38,TableHandbook[],4,FALSE)),"")</f>
        <v/>
      </c>
      <c r="E38" s="50"/>
      <c r="F38" s="277" t="str">
        <f>IFERROR(IF(VLOOKUP($A38,TableHandbook[],6,FALSE)=0,"",VLOOKUP($A38,TableHandbook[],6,FALSE)),"")</f>
        <v/>
      </c>
      <c r="G38" s="51" t="str">
        <f>IFERROR(IF(VLOOKUP($A38,TableHandbook[],5,FALSE)=0,"",VLOOKUP($A38,TableHandbook[],5,FALSE)),"")</f>
        <v/>
      </c>
      <c r="H38" s="67" t="str">
        <f>IFERROR(VLOOKUP($A38,TableHandbook[],H$2,FALSE),"")</f>
        <v/>
      </c>
      <c r="I38" s="56" t="str">
        <f>IFERROR(VLOOKUP($A38,TableHandbook[],I$2,FALSE),"")</f>
        <v/>
      </c>
      <c r="J38" s="56" t="str">
        <f>IFERROR(VLOOKUP($A38,TableHandbook[],J$2,FALSE),"")</f>
        <v/>
      </c>
      <c r="K38" s="68" t="str">
        <f>IFERROR(VLOOKUP($A38,TableHandbook[],K$2,FALSE),"")</f>
        <v/>
      </c>
      <c r="L38" s="57"/>
      <c r="M38" s="142">
        <v>14</v>
      </c>
      <c r="N38" s="25"/>
      <c r="O38" s="25"/>
      <c r="P38" s="25"/>
      <c r="Q38" s="25"/>
      <c r="R38" s="25"/>
      <c r="S38" s="25"/>
      <c r="T38" s="25"/>
      <c r="U38" s="25"/>
      <c r="V38" s="25"/>
      <c r="W38" s="25"/>
    </row>
    <row r="39" spans="1:23" x14ac:dyDescent="0.25">
      <c r="A39" s="199" t="str">
        <f t="shared" si="3"/>
        <v/>
      </c>
      <c r="B39" s="125" t="str">
        <f>IFERROR(IF(VLOOKUP($A39,TableHandbook[],2,FALSE)=0,"",VLOOKUP($A39,TableHandbook[],2,FALSE)),"")</f>
        <v/>
      </c>
      <c r="C39" s="125" t="str">
        <f>IFERROR(IF(VLOOKUP($A39,TableHandbook[],3,FALSE)=0,"",VLOOKUP($A39,TableHandbook[],3,FALSE)),"")</f>
        <v/>
      </c>
      <c r="D39" s="49" t="str">
        <f>IFERROR(IF(VLOOKUP($A39,TableHandbook[],4,FALSE)=0,"",VLOOKUP($A39,TableHandbook[],4,FALSE)),"")</f>
        <v/>
      </c>
      <c r="E39" s="50"/>
      <c r="F39" s="277" t="str">
        <f>IFERROR(IF(VLOOKUP($A39,TableHandbook[],6,FALSE)=0,"",VLOOKUP($A39,TableHandbook[],6,FALSE)),"")</f>
        <v/>
      </c>
      <c r="G39" s="51" t="str">
        <f>IFERROR(IF(VLOOKUP($A39,TableHandbook[],5,FALSE)=0,"",VLOOKUP($A39,TableHandbook[],5,FALSE)),"")</f>
        <v/>
      </c>
      <c r="H39" s="67" t="str">
        <f>IFERROR(VLOOKUP($A39,TableHandbook[],H$2,FALSE),"")</f>
        <v/>
      </c>
      <c r="I39" s="56" t="str">
        <f>IFERROR(VLOOKUP($A39,TableHandbook[],I$2,FALSE),"")</f>
        <v/>
      </c>
      <c r="J39" s="56" t="str">
        <f>IFERROR(VLOOKUP($A39,TableHandbook[],J$2,FALSE),"")</f>
        <v/>
      </c>
      <c r="K39" s="68" t="str">
        <f>IFERROR(VLOOKUP($A39,TableHandbook[],K$2,FALSE),"")</f>
        <v/>
      </c>
      <c r="L39" s="57"/>
      <c r="M39" s="142">
        <v>15</v>
      </c>
      <c r="N39" s="25"/>
      <c r="O39" s="25"/>
      <c r="P39" s="25"/>
      <c r="Q39" s="25"/>
      <c r="R39" s="25"/>
      <c r="S39" s="25"/>
      <c r="T39" s="25"/>
      <c r="U39" s="25"/>
      <c r="V39" s="25"/>
      <c r="W39" s="25"/>
    </row>
    <row r="40" spans="1:23" x14ac:dyDescent="0.25">
      <c r="A40" s="199" t="str">
        <f t="shared" si="3"/>
        <v/>
      </c>
      <c r="B40" s="125" t="str">
        <f>IFERROR(IF(VLOOKUP($A40,TableHandbook[],2,FALSE)=0,"",VLOOKUP($A40,TableHandbook[],2,FALSE)),"")</f>
        <v/>
      </c>
      <c r="C40" s="125" t="str">
        <f>IFERROR(IF(VLOOKUP($A40,TableHandbook[],3,FALSE)=0,"",VLOOKUP($A40,TableHandbook[],3,FALSE)),"")</f>
        <v/>
      </c>
      <c r="D40" s="49" t="str">
        <f>IFERROR(IF(VLOOKUP($A40,TableHandbook[],4,FALSE)=0,"",VLOOKUP($A40,TableHandbook[],4,FALSE)),"")</f>
        <v/>
      </c>
      <c r="E40" s="50"/>
      <c r="F40" s="277" t="str">
        <f>IFERROR(IF(VLOOKUP($A40,TableHandbook[],6,FALSE)=0,"",VLOOKUP($A40,TableHandbook[],6,FALSE)),"")</f>
        <v/>
      </c>
      <c r="G40" s="51" t="str">
        <f>IFERROR(IF(VLOOKUP($A40,TableHandbook[],5,FALSE)=0,"",VLOOKUP($A40,TableHandbook[],5,FALSE)),"")</f>
        <v/>
      </c>
      <c r="H40" s="67" t="str">
        <f>IFERROR(VLOOKUP($A40,TableHandbook[],H$2,FALSE),"")</f>
        <v/>
      </c>
      <c r="I40" s="56" t="str">
        <f>IFERROR(VLOOKUP($A40,TableHandbook[],I$2,FALSE),"")</f>
        <v/>
      </c>
      <c r="J40" s="56" t="str">
        <f>IFERROR(VLOOKUP($A40,TableHandbook[],J$2,FALSE),"")</f>
        <v/>
      </c>
      <c r="K40" s="68" t="str">
        <f>IFERROR(VLOOKUP($A40,TableHandbook[],K$2,FALSE),"")</f>
        <v/>
      </c>
      <c r="L40" s="57"/>
      <c r="M40" s="142">
        <v>16</v>
      </c>
      <c r="N40" s="25"/>
      <c r="O40" s="25"/>
      <c r="P40" s="25"/>
      <c r="Q40" s="25"/>
      <c r="R40" s="25"/>
      <c r="S40" s="25"/>
      <c r="T40" s="25"/>
      <c r="U40" s="25"/>
      <c r="V40" s="25"/>
      <c r="W40" s="25"/>
    </row>
    <row r="41" spans="1:23" s="25" customFormat="1" ht="32.25" customHeight="1" x14ac:dyDescent="0.25">
      <c r="A41" s="320" t="s">
        <v>30</v>
      </c>
      <c r="B41" s="320"/>
      <c r="C41" s="320"/>
      <c r="D41" s="320"/>
      <c r="E41" s="320"/>
      <c r="F41" s="320"/>
      <c r="G41" s="320"/>
      <c r="H41" s="320"/>
      <c r="I41" s="320"/>
      <c r="J41" s="320"/>
      <c r="K41" s="320"/>
      <c r="L41" s="320"/>
    </row>
    <row r="42" spans="1:23" s="44" customFormat="1" ht="24.95" customHeight="1" x14ac:dyDescent="0.3">
      <c r="A42" s="40" t="s">
        <v>31</v>
      </c>
      <c r="B42" s="40"/>
      <c r="C42" s="40"/>
      <c r="D42" s="41"/>
      <c r="E42" s="41"/>
      <c r="F42" s="41"/>
      <c r="G42" s="41"/>
      <c r="H42" s="41"/>
      <c r="I42" s="41"/>
      <c r="J42" s="41"/>
      <c r="K42" s="41"/>
      <c r="L42" s="41"/>
      <c r="M42" s="145"/>
      <c r="N42" s="42"/>
      <c r="O42" s="42"/>
      <c r="P42" s="43"/>
      <c r="Q42" s="43"/>
      <c r="R42" s="43"/>
      <c r="S42" s="43"/>
      <c r="T42" s="43"/>
      <c r="U42" s="43"/>
      <c r="V42" s="43"/>
      <c r="W42" s="43"/>
    </row>
    <row r="43" spans="1:23" s="25" customFormat="1" ht="15" customHeight="1" x14ac:dyDescent="0.25">
      <c r="A43" s="45" t="s">
        <v>32</v>
      </c>
      <c r="B43" s="45"/>
      <c r="C43" s="45"/>
      <c r="D43" s="45"/>
      <c r="E43" s="52"/>
      <c r="F43" s="46"/>
      <c r="G43" s="53"/>
      <c r="H43" s="53"/>
      <c r="I43" s="53"/>
      <c r="J43" s="53"/>
      <c r="K43" s="53"/>
      <c r="L43" s="53" t="s">
        <v>33</v>
      </c>
    </row>
  </sheetData>
  <sheetProtection formatCells="0"/>
  <mergeCells count="2">
    <mergeCell ref="A3:D3"/>
    <mergeCell ref="A41:L41"/>
  </mergeCells>
  <conditionalFormatting sqref="D5:D6">
    <cfRule type="containsText" dxfId="447" priority="2" operator="containsText" text="Choose">
      <formula>NOT(ISERROR(SEARCH("Choose",D5)))</formula>
    </cfRule>
  </conditionalFormatting>
  <conditionalFormatting sqref="A9:L17 A26:L40 A19:L22">
    <cfRule type="expression" dxfId="446" priority="3">
      <formula>$A9=""</formula>
    </cfRule>
  </conditionalFormatting>
  <conditionalFormatting sqref="A26:L40">
    <cfRule type="expression" dxfId="445" priority="4">
      <formula>LEFT($D26,5)="Study"</formula>
    </cfRule>
  </conditionalFormatting>
  <conditionalFormatting sqref="H9:K22">
    <cfRule type="expression" dxfId="444" priority="1">
      <formula>$E9=LEFT(H$8,4)</formula>
    </cfRule>
  </conditionalFormatting>
  <dataValidations count="1">
    <dataValidation type="list" allowBlank="1" showInputMessage="1" showErrorMessage="1" sqref="L13"/>
  </dataValidations>
  <hyperlinks>
    <hyperlink ref="A42:L4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7"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Unitsets!$A$41:$A$43</xm:f>
          </x14:formula1>
          <xm:sqref>D6</xm:sqref>
        </x14:dataValidation>
        <x14:dataValidation type="list" showInputMessage="1" showErrorMessage="1">
          <x14:formula1>
            <xm:f>'Unitsets Other'!$A$68:$A$71</xm:f>
          </x14:formula1>
          <xm:sqref>D5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W57"/>
  <sheetViews>
    <sheetView showGridLines="0" topLeftCell="A3" zoomScaleNormal="100" workbookViewId="0">
      <selection activeCell="D5" sqref="D5"/>
    </sheetView>
  </sheetViews>
  <sheetFormatPr defaultRowHeight="15" x14ac:dyDescent="0.25"/>
  <cols>
    <col min="1" max="1" width="11.125" style="18" customWidth="1"/>
    <col min="2" max="2" width="3.25" style="18" customWidth="1"/>
    <col min="3" max="3" width="5.875" style="18" customWidth="1"/>
    <col min="4" max="4" width="54" style="17" customWidth="1"/>
    <col min="5" max="5" width="7.25" style="17" customWidth="1"/>
    <col min="6" max="6" width="22.25" style="17" bestFit="1" customWidth="1"/>
    <col min="7" max="7" width="5.625" style="17" customWidth="1"/>
    <col min="8" max="11" width="4.625" style="17" customWidth="1"/>
    <col min="12" max="12" width="15.625" style="17" customWidth="1"/>
    <col min="13" max="13" width="2.5" style="17" hidden="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67"/>
      <c r="E4" s="260" t="s">
        <v>9</v>
      </c>
      <c r="F4" s="258"/>
      <c r="G4" s="261"/>
      <c r="H4" s="261"/>
      <c r="I4" s="261"/>
      <c r="J4" s="261"/>
      <c r="K4" s="261"/>
      <c r="L4" s="261"/>
      <c r="M4" s="143"/>
    </row>
    <row r="5" spans="1:23" ht="20.100000000000001" customHeight="1" x14ac:dyDescent="0.25">
      <c r="B5" s="19"/>
      <c r="C5" s="129" t="s">
        <v>10</v>
      </c>
      <c r="D5" s="288" t="s">
        <v>213</v>
      </c>
      <c r="E5" s="20"/>
      <c r="F5" s="129" t="s">
        <v>12</v>
      </c>
      <c r="G5" s="20" t="str">
        <f>IFERROR(CONCATENATE(VLOOKUP(D5,TableCourses[],2,FALSE)," ",VLOOKUP(D5,TableCourses[],3,FALSE)),"")</f>
        <v/>
      </c>
      <c r="H5" s="20"/>
      <c r="I5" s="20"/>
      <c r="J5" s="20"/>
      <c r="K5" s="20"/>
      <c r="L5" s="147" t="e">
        <f>CONCATENATE(VLOOKUP(D5,TableCourses[],2,FALSE),VLOOKUP(D6,TableStudyPeriods[],2,FALSE))</f>
        <v>#N/A</v>
      </c>
      <c r="M5" s="143"/>
    </row>
    <row r="6" spans="1:23" ht="20.100000000000001" customHeight="1" x14ac:dyDescent="0.25">
      <c r="A6" s="22"/>
      <c r="B6" s="23"/>
      <c r="C6" s="129" t="s">
        <v>16</v>
      </c>
      <c r="D6" s="20" t="s">
        <v>177</v>
      </c>
      <c r="E6" s="24"/>
      <c r="F6" s="129" t="s">
        <v>18</v>
      </c>
      <c r="G6" s="20" t="str">
        <f>IFERROR(VLOOKUP($D$5,TableCourses[],4,FALSE),"")</f>
        <v/>
      </c>
      <c r="H6" s="77"/>
      <c r="I6" s="77"/>
      <c r="J6" s="77"/>
      <c r="K6" s="77"/>
      <c r="L6" s="77"/>
      <c r="M6" s="144"/>
      <c r="N6" s="25"/>
      <c r="O6" s="25"/>
      <c r="P6" s="25"/>
      <c r="Q6" s="25"/>
      <c r="R6" s="25"/>
      <c r="S6" s="25"/>
      <c r="T6" s="25"/>
      <c r="U6" s="25"/>
      <c r="V6" s="25"/>
      <c r="W6" s="25"/>
    </row>
    <row r="7" spans="1:23" s="28" customFormat="1" ht="14.1" customHeight="1" x14ac:dyDescent="0.25">
      <c r="A7" s="159"/>
      <c r="B7" s="159"/>
      <c r="C7" s="159"/>
      <c r="D7" s="160"/>
      <c r="E7" s="161"/>
      <c r="F7" s="159"/>
      <c r="G7" s="159"/>
      <c r="H7" s="201" t="s">
        <v>19</v>
      </c>
      <c r="I7" s="162"/>
      <c r="J7" s="162"/>
      <c r="K7" s="163"/>
      <c r="L7" s="164"/>
      <c r="M7" s="141"/>
      <c r="N7" s="26"/>
      <c r="O7" s="26"/>
      <c r="P7" s="27"/>
      <c r="Q7" s="27"/>
      <c r="R7" s="27"/>
      <c r="S7" s="27"/>
      <c r="T7" s="27"/>
      <c r="U7" s="27"/>
      <c r="V7" s="27"/>
      <c r="W7" s="27"/>
    </row>
    <row r="8" spans="1:23" s="28" customFormat="1" ht="21" x14ac:dyDescent="0.25">
      <c r="A8" s="276" t="s">
        <v>20</v>
      </c>
      <c r="B8" s="159"/>
      <c r="C8" s="159"/>
      <c r="D8" s="160" t="s">
        <v>3</v>
      </c>
      <c r="E8" s="165" t="s">
        <v>21</v>
      </c>
      <c r="F8" s="159" t="s">
        <v>22</v>
      </c>
      <c r="G8" s="159" t="s">
        <v>23</v>
      </c>
      <c r="H8" s="166" t="s">
        <v>24</v>
      </c>
      <c r="I8" s="165" t="s">
        <v>25</v>
      </c>
      <c r="J8" s="165" t="s">
        <v>26</v>
      </c>
      <c r="K8" s="167" t="s">
        <v>27</v>
      </c>
      <c r="L8" s="168" t="s">
        <v>28</v>
      </c>
      <c r="M8" s="141"/>
      <c r="N8" s="26"/>
      <c r="O8" s="26"/>
      <c r="P8" s="27"/>
      <c r="Q8" s="27"/>
      <c r="R8" s="27"/>
      <c r="S8" s="27"/>
      <c r="T8" s="27"/>
      <c r="U8" s="27"/>
      <c r="V8" s="27"/>
      <c r="W8" s="27"/>
    </row>
    <row r="9" spans="1:23" s="31" customFormat="1" ht="20.100000000000001" customHeight="1" x14ac:dyDescent="0.15">
      <c r="A9" s="278" t="str">
        <f>IFERROR(IF(HLOOKUP($L$5,RangeINTRNSUnitsets,M9,FALSE)=0,"",HLOOKUP($L$5,RangeINTRNSUnitsets,M9,FALSE)),"")</f>
        <v/>
      </c>
      <c r="B9" s="56" t="str">
        <f>IFERROR(IF(VLOOKUP($A9,TableHandbook[],2,FALSE)=0,"",VLOOKUP($A9,TableHandbook[],2,FALSE)),"")</f>
        <v/>
      </c>
      <c r="C9" s="56" t="str">
        <f>IFERROR(IF(VLOOKUP($A9,TableHandbook[],3,FALSE)=0,"",VLOOKUP($A9,TableHandbook[],3,FALSE)),"")</f>
        <v/>
      </c>
      <c r="D9" s="64" t="str">
        <f>IFERROR(IF(VLOOKUP($A9,TableHandbook[],4,FALSE)=0,"",VLOOKUP($A9,TableHandbook[],4,FALSE)),"")</f>
        <v/>
      </c>
      <c r="E9" s="56" t="str">
        <f>IF(A9="","",VLOOKUP($D$6,TableStudyPeriods[],2,FALSE))</f>
        <v/>
      </c>
      <c r="F9" s="55" t="str">
        <f>IFERROR(IF(VLOOKUP($A9,TableHandbook[],6,FALSE)=0,"",VLOOKUP($A9,TableHandbook[],6,FALSE)),"")</f>
        <v/>
      </c>
      <c r="G9" s="56" t="str">
        <f>IFERROR(IF(VLOOKUP($A9,TableHandbook[],5,FALSE)=0,"",VLOOKUP($A9,TableHandbook[],5,FALSE)),"")</f>
        <v/>
      </c>
      <c r="H9" s="67" t="str">
        <f>IFERROR(VLOOKUP($A9,TableHandbook[],H$2,FALSE),"")</f>
        <v/>
      </c>
      <c r="I9" s="56" t="str">
        <f>IFERROR(VLOOKUP($A9,TableHandbook[],I$2,FALSE),"")</f>
        <v/>
      </c>
      <c r="J9" s="56" t="str">
        <f>IFERROR(VLOOKUP($A9,TableHandbook[],J$2,FALSE),"")</f>
        <v/>
      </c>
      <c r="K9" s="68" t="str">
        <f>IFERROR(VLOOKUP($A9,TableHandbook[],K$2,FALSE),"")</f>
        <v/>
      </c>
      <c r="L9" s="65"/>
      <c r="M9" s="142">
        <v>2</v>
      </c>
      <c r="N9" s="29"/>
      <c r="O9" s="29"/>
      <c r="P9" s="30"/>
      <c r="Q9" s="30"/>
      <c r="R9" s="30"/>
      <c r="S9" s="30"/>
      <c r="T9" s="30"/>
      <c r="U9" s="30"/>
      <c r="V9" s="30"/>
      <c r="W9" s="30"/>
    </row>
    <row r="10" spans="1:23" s="31" customFormat="1" ht="20.100000000000001" customHeight="1" x14ac:dyDescent="0.15">
      <c r="A10" s="278" t="str">
        <f>IFERROR(IF(HLOOKUP($L$5,RangeINTRNSUnitsets,M10,FALSE)=0,"",HLOOKUP($L$5,RangeINTRNSUnitsets,M10,FALSE)),"")</f>
        <v/>
      </c>
      <c r="B10" s="56" t="str">
        <f>IFERROR(IF(VLOOKUP($A10,TableHandbook[],2,FALSE)=0,"",VLOOKUP($A10,TableHandbook[],2,FALSE)),"")</f>
        <v/>
      </c>
      <c r="C10" s="56" t="str">
        <f>IFERROR(IF(VLOOKUP($A10,TableHandbook[],3,FALSE)=0,"",VLOOKUP($A10,TableHandbook[],3,FALSE)),"")</f>
        <v/>
      </c>
      <c r="D10" s="64" t="str">
        <f>IFERROR(IF(VLOOKUP($A10,TableHandbook[],4,FALSE)=0,"",VLOOKUP($A10,TableHandbook[],4,FALSE)),"")</f>
        <v/>
      </c>
      <c r="E10" s="56" t="str">
        <f>IF(A10="","",E9)</f>
        <v/>
      </c>
      <c r="F10" s="55" t="str">
        <f>IFERROR(IF(VLOOKUP($A10,TableHandbook[],6,FALSE)=0,"",VLOOKUP($A10,TableHandbook[],6,FALSE)),"")</f>
        <v/>
      </c>
      <c r="G10" s="56" t="str">
        <f>IFERROR(IF(VLOOKUP($A10,TableHandbook[],5,FALSE)=0,"",VLOOKUP($A10,TableHandbook[],5,FALSE)),"")</f>
        <v/>
      </c>
      <c r="H10" s="67" t="str">
        <f>IFERROR(VLOOKUP($A10,TableHandbook[],H$2,FALSE),"")</f>
        <v/>
      </c>
      <c r="I10" s="56" t="str">
        <f>IFERROR(VLOOKUP($A10,TableHandbook[],I$2,FALSE),"")</f>
        <v/>
      </c>
      <c r="J10" s="56" t="str">
        <f>IFERROR(VLOOKUP($A10,TableHandbook[],J$2,FALSE),"")</f>
        <v/>
      </c>
      <c r="K10" s="68" t="str">
        <f>IFERROR(VLOOKUP($A10,TableHandbook[],K$2,FALSE),"")</f>
        <v/>
      </c>
      <c r="L10" s="65"/>
      <c r="M10" s="142">
        <v>3</v>
      </c>
      <c r="N10" s="29"/>
      <c r="O10" s="29"/>
      <c r="P10" s="30"/>
      <c r="Q10" s="30"/>
      <c r="R10" s="30"/>
      <c r="S10" s="30"/>
      <c r="T10" s="30"/>
      <c r="U10" s="30"/>
      <c r="V10" s="30"/>
      <c r="W10" s="30"/>
    </row>
    <row r="11" spans="1:23" s="31" customFormat="1" ht="20.100000000000001" customHeight="1" x14ac:dyDescent="0.15">
      <c r="A11" s="278" t="str">
        <f>IFERROR(IF(HLOOKUP($L$5,RangeINTRNSUnitsets,M11,FALSE)=0,"",HLOOKUP($L$5,RangeINTRNSUnitsets,M11,FALSE)),"")</f>
        <v/>
      </c>
      <c r="B11" s="56" t="str">
        <f>IFERROR(IF(VLOOKUP($A11,TableHandbook[],2,FALSE)=0,"",VLOOKUP($A11,TableHandbook[],2,FALSE)),"")</f>
        <v/>
      </c>
      <c r="C11" s="56" t="str">
        <f>IFERROR(IF(VLOOKUP($A11,TableHandbook[],3,FALSE)=0,"",VLOOKUP($A11,TableHandbook[],3,FALSE)),"")</f>
        <v/>
      </c>
      <c r="D11" s="64" t="str">
        <f>IFERROR(IF(VLOOKUP($A11,TableHandbook[],4,FALSE)=0,"",VLOOKUP($A11,TableHandbook[],4,FALSE)),"")</f>
        <v/>
      </c>
      <c r="E11" s="56" t="str">
        <f t="shared" ref="E11:E12" si="0">IF(A11="","",E10)</f>
        <v/>
      </c>
      <c r="F11" s="55" t="str">
        <f>IFERROR(IF(VLOOKUP($A11,TableHandbook[],6,FALSE)=0,"",VLOOKUP($A11,TableHandbook[],6,FALSE)),"")</f>
        <v/>
      </c>
      <c r="G11" s="56" t="str">
        <f>IFERROR(IF(VLOOKUP($A11,TableHandbook[],5,FALSE)=0,"",VLOOKUP($A11,TableHandbook[],5,FALSE)),"")</f>
        <v/>
      </c>
      <c r="H11" s="67" t="str">
        <f>IFERROR(VLOOKUP($A11,TableHandbook[],H$2,FALSE),"")</f>
        <v/>
      </c>
      <c r="I11" s="56" t="str">
        <f>IFERROR(VLOOKUP($A11,TableHandbook[],I$2,FALSE),"")</f>
        <v/>
      </c>
      <c r="J11" s="56" t="str">
        <f>IFERROR(VLOOKUP($A11,TableHandbook[],J$2,FALSE),"")</f>
        <v/>
      </c>
      <c r="K11" s="68" t="str">
        <f>IFERROR(VLOOKUP($A11,TableHandbook[],K$2,FALSE),"")</f>
        <v/>
      </c>
      <c r="L11" s="66"/>
      <c r="M11" s="142">
        <v>4</v>
      </c>
      <c r="N11" s="29"/>
      <c r="O11" s="29"/>
      <c r="P11" s="30"/>
      <c r="Q11" s="30"/>
      <c r="R11" s="30"/>
      <c r="S11" s="30"/>
      <c r="T11" s="30"/>
      <c r="U11" s="30"/>
      <c r="V11" s="30"/>
      <c r="W11" s="30"/>
    </row>
    <row r="12" spans="1:23" s="31" customFormat="1" ht="20.100000000000001" customHeight="1" x14ac:dyDescent="0.15">
      <c r="A12" s="278" t="str">
        <f>IFERROR(IF(HLOOKUP($L$5,RangeINTRNSUnitsets,M12,FALSE)=0,"",HLOOKUP($L$5,RangeINTRNSUnitsets,M12,FALSE)),"")</f>
        <v/>
      </c>
      <c r="B12" s="56" t="str">
        <f>IFERROR(IF(VLOOKUP($A12,TableHandbook[],2,FALSE)=0,"",VLOOKUP($A12,TableHandbook[],2,FALSE)),"")</f>
        <v/>
      </c>
      <c r="C12" s="56" t="str">
        <f>IFERROR(IF(VLOOKUP($A12,TableHandbook[],3,FALSE)=0,"",VLOOKUP($A12,TableHandbook[],3,FALSE)),"")</f>
        <v/>
      </c>
      <c r="D12" s="64" t="str">
        <f>IFERROR(IF(VLOOKUP($A12,TableHandbook[],4,FALSE)=0,"",VLOOKUP($A12,TableHandbook[],4,FALSE)),"")</f>
        <v/>
      </c>
      <c r="E12" s="56" t="str">
        <f t="shared" si="0"/>
        <v/>
      </c>
      <c r="F12" s="55" t="str">
        <f>IFERROR(IF(VLOOKUP($A12,TableHandbook[],6,FALSE)=0,"",VLOOKUP($A12,TableHandbook[],6,FALSE)),"")</f>
        <v/>
      </c>
      <c r="G12" s="56" t="str">
        <f>IFERROR(IF(VLOOKUP($A12,TableHandbook[],5,FALSE)=0,"",VLOOKUP($A12,TableHandbook[],5,FALSE)),"")</f>
        <v/>
      </c>
      <c r="H12" s="67" t="str">
        <f>IFERROR(VLOOKUP($A12,TableHandbook[],H$2,FALSE),"")</f>
        <v/>
      </c>
      <c r="I12" s="56" t="str">
        <f>IFERROR(VLOOKUP($A12,TableHandbook[],I$2,FALSE),"")</f>
        <v/>
      </c>
      <c r="J12" s="56" t="str">
        <f>IFERROR(VLOOKUP($A12,TableHandbook[],J$2,FALSE),"")</f>
        <v/>
      </c>
      <c r="K12" s="68" t="str">
        <f>IFERROR(VLOOKUP($A12,TableHandbook[],K$2,FALSE),"")</f>
        <v/>
      </c>
      <c r="L12" s="65"/>
      <c r="M12" s="142">
        <v>5</v>
      </c>
      <c r="N12" s="29"/>
      <c r="O12" s="29"/>
      <c r="P12" s="30"/>
      <c r="Q12" s="30"/>
      <c r="R12" s="30"/>
      <c r="S12" s="30"/>
      <c r="T12" s="30"/>
      <c r="U12" s="30"/>
      <c r="V12" s="30"/>
      <c r="W12" s="30"/>
    </row>
    <row r="13" spans="1:23" s="31" customFormat="1" ht="5.0999999999999996" customHeight="1" x14ac:dyDescent="0.15">
      <c r="A13" s="279"/>
      <c r="B13" s="33"/>
      <c r="C13" s="33"/>
      <c r="D13" s="34"/>
      <c r="E13" s="33"/>
      <c r="F13" s="35"/>
      <c r="G13" s="33"/>
      <c r="H13" s="69"/>
      <c r="I13" s="33"/>
      <c r="J13" s="33"/>
      <c r="K13" s="70"/>
      <c r="L13" s="36"/>
      <c r="M13" s="142"/>
      <c r="N13" s="29"/>
      <c r="O13" s="29"/>
      <c r="P13" s="29"/>
      <c r="Q13" s="30"/>
      <c r="R13" s="30"/>
      <c r="S13" s="30"/>
      <c r="T13" s="30"/>
      <c r="U13" s="30"/>
      <c r="V13" s="30"/>
      <c r="W13" s="30"/>
    </row>
    <row r="14" spans="1:23" s="31" customFormat="1" ht="20.100000000000001" customHeight="1" x14ac:dyDescent="0.15">
      <c r="A14" s="278" t="str">
        <f>IFERROR(IF(HLOOKUP($L$5,RangeINTRNSUnitsets,M14,FALSE)=0,"",HLOOKUP($L$5,RangeINTRNSUnitsets,M14,FALSE)),"")</f>
        <v/>
      </c>
      <c r="B14" s="58" t="str">
        <f>IFERROR(IF(VLOOKUP($A14,TableHandbook[],2,FALSE)=0,"",VLOOKUP($A14,TableHandbook[],2,FALSE)),"")</f>
        <v/>
      </c>
      <c r="C14" s="58" t="str">
        <f>IFERROR(IF(VLOOKUP($A14,TableHandbook[],3,FALSE)=0,"",VLOOKUP($A14,TableHandbook[],3,FALSE)),"")</f>
        <v/>
      </c>
      <c r="D14" s="64" t="str">
        <f>IFERROR(IF(VLOOKUP($A14,TableHandbook[],4,FALSE)=0,"",VLOOKUP($A14,TableHandbook[],4,FALSE)),"")</f>
        <v/>
      </c>
      <c r="E14" s="56" t="str">
        <f>IF(A14="","",VLOOKUP($D$6,TableStudyPeriods[],3,FALSE))</f>
        <v/>
      </c>
      <c r="F14" s="55" t="str">
        <f>IFERROR(IF(VLOOKUP($A14,TableHandbook[],6,FALSE)=0,"",VLOOKUP($A14,TableHandbook[],6,FALSE)),"")</f>
        <v/>
      </c>
      <c r="G14" s="58" t="str">
        <f>IFERROR(IF(VLOOKUP($A14,TableHandbook[],5,FALSE)=0,"",VLOOKUP($A14,TableHandbook[],5,FALSE)),"")</f>
        <v/>
      </c>
      <c r="H14" s="71" t="str">
        <f>IFERROR(VLOOKUP($A14,TableHandbook[],H$2,FALSE),"")</f>
        <v/>
      </c>
      <c r="I14" s="58" t="str">
        <f>IFERROR(VLOOKUP($A14,TableHandbook[],I$2,FALSE),"")</f>
        <v/>
      </c>
      <c r="J14" s="58" t="str">
        <f>IFERROR(VLOOKUP($A14,TableHandbook[],J$2,FALSE),"")</f>
        <v/>
      </c>
      <c r="K14" s="72" t="str">
        <f>IFERROR(VLOOKUP($A14,TableHandbook[],K$2,FALSE),"")</f>
        <v/>
      </c>
      <c r="L14" s="66"/>
      <c r="M14" s="142">
        <v>6</v>
      </c>
      <c r="N14" s="29"/>
      <c r="O14" s="29"/>
      <c r="P14" s="30"/>
      <c r="Q14" s="30"/>
      <c r="R14" s="30"/>
      <c r="S14" s="30"/>
      <c r="T14" s="30"/>
      <c r="U14" s="30"/>
      <c r="V14" s="30"/>
      <c r="W14" s="30"/>
    </row>
    <row r="15" spans="1:23" s="39" customFormat="1" ht="20.100000000000001" customHeight="1" x14ac:dyDescent="0.15">
      <c r="A15" s="278" t="str">
        <f>IFERROR(IF(HLOOKUP($L$5,RangeINTRNSUnitsets,M15,FALSE)=0,"",HLOOKUP($L$5,RangeINTRNSUnitsets,M15,FALSE)),"")</f>
        <v/>
      </c>
      <c r="B15" s="58" t="str">
        <f>IFERROR(IF(VLOOKUP($A15,TableHandbook[],2,FALSE)=0,"",VLOOKUP($A15,TableHandbook[],2,FALSE)),"")</f>
        <v/>
      </c>
      <c r="C15" s="58" t="str">
        <f>IFERROR(IF(VLOOKUP($A15,TableHandbook[],3,FALSE)=0,"",VLOOKUP($A15,TableHandbook[],3,FALSE)),"")</f>
        <v/>
      </c>
      <c r="D15" s="64" t="str">
        <f>IFERROR(IF(VLOOKUP($A15,TableHandbook[],4,FALSE)=0,"",VLOOKUP($A15,TableHandbook[],4,FALSE)),"")</f>
        <v/>
      </c>
      <c r="E15" s="56" t="str">
        <f>IF(A15="","",E14)</f>
        <v/>
      </c>
      <c r="F15" s="55" t="str">
        <f>IFERROR(IF(VLOOKUP($A15,TableHandbook[],6,FALSE)=0,"",VLOOKUP($A15,TableHandbook[],6,FALSE)),"")</f>
        <v/>
      </c>
      <c r="G15" s="58" t="str">
        <f>IFERROR(IF(VLOOKUP($A15,TableHandbook[],5,FALSE)=0,"",VLOOKUP($A15,TableHandbook[],5,FALSE)),"")</f>
        <v/>
      </c>
      <c r="H15" s="71" t="str">
        <f>IFERROR(VLOOKUP($A15,TableHandbook[],H$2,FALSE),"")</f>
        <v/>
      </c>
      <c r="I15" s="58" t="str">
        <f>IFERROR(VLOOKUP($A15,TableHandbook[],I$2,FALSE),"")</f>
        <v/>
      </c>
      <c r="J15" s="58" t="str">
        <f>IFERROR(VLOOKUP($A15,TableHandbook[],J$2,FALSE),"")</f>
        <v/>
      </c>
      <c r="K15" s="72" t="str">
        <f>IFERROR(VLOOKUP($A15,TableHandbook[],K$2,FALSE),"")</f>
        <v/>
      </c>
      <c r="L15" s="66"/>
      <c r="M15" s="142">
        <v>7</v>
      </c>
      <c r="N15" s="37"/>
      <c r="O15" s="37"/>
      <c r="P15" s="38"/>
      <c r="Q15" s="38"/>
      <c r="R15" s="38"/>
      <c r="S15" s="38"/>
      <c r="T15" s="38"/>
      <c r="U15" s="38"/>
      <c r="V15" s="38"/>
      <c r="W15" s="38"/>
    </row>
    <row r="16" spans="1:23" s="39" customFormat="1" ht="20.100000000000001" customHeight="1" x14ac:dyDescent="0.15">
      <c r="A16" s="278" t="str">
        <f>IFERROR(IF(HLOOKUP($L$5,RangeINTRNSUnitsets,M16,FALSE)=0,"",HLOOKUP($L$5,RangeINTRNSUnitsets,M16,FALSE)),"")</f>
        <v/>
      </c>
      <c r="B16" s="58" t="str">
        <f>IFERROR(IF(VLOOKUP($A16,TableHandbook[],2,FALSE)=0,"",VLOOKUP($A16,TableHandbook[],2,FALSE)),"")</f>
        <v/>
      </c>
      <c r="C16" s="58" t="str">
        <f>IFERROR(IF(VLOOKUP($A16,TableHandbook[],3,FALSE)=0,"",VLOOKUP($A16,TableHandbook[],3,FALSE)),"")</f>
        <v/>
      </c>
      <c r="D16" s="64" t="str">
        <f>IFERROR(IF(VLOOKUP($A16,TableHandbook[],4,FALSE)=0,"",VLOOKUP($A16,TableHandbook[],4,FALSE)),"")</f>
        <v/>
      </c>
      <c r="E16" s="56" t="str">
        <f t="shared" ref="E16:E17" si="1">IF(A16="","",E15)</f>
        <v/>
      </c>
      <c r="F16" s="55" t="str">
        <f>IFERROR(IF(VLOOKUP($A16,TableHandbook[],6,FALSE)=0,"",VLOOKUP($A16,TableHandbook[],6,FALSE)),"")</f>
        <v/>
      </c>
      <c r="G16" s="58" t="str">
        <f>IFERROR(IF(VLOOKUP($A16,TableHandbook[],5,FALSE)=0,"",VLOOKUP($A16,TableHandbook[],5,FALSE)),"")</f>
        <v/>
      </c>
      <c r="H16" s="71" t="str">
        <f>IFERROR(VLOOKUP($A16,TableHandbook[],H$2,FALSE),"")</f>
        <v/>
      </c>
      <c r="I16" s="58" t="str">
        <f>IFERROR(VLOOKUP($A16,TableHandbook[],I$2,FALSE),"")</f>
        <v/>
      </c>
      <c r="J16" s="58" t="str">
        <f>IFERROR(VLOOKUP($A16,TableHandbook[],J$2,FALSE),"")</f>
        <v/>
      </c>
      <c r="K16" s="72" t="str">
        <f>IFERROR(VLOOKUP($A16,TableHandbook[],K$2,FALSE),"")</f>
        <v/>
      </c>
      <c r="L16" s="66"/>
      <c r="M16" s="142">
        <v>8</v>
      </c>
      <c r="N16" s="37"/>
      <c r="O16" s="37"/>
      <c r="P16" s="38"/>
      <c r="Q16" s="38"/>
      <c r="R16" s="38"/>
      <c r="S16" s="38"/>
      <c r="T16" s="38"/>
      <c r="U16" s="38"/>
      <c r="V16" s="38"/>
      <c r="W16" s="38"/>
    </row>
    <row r="17" spans="1:23" s="39" customFormat="1" ht="20.100000000000001" customHeight="1" x14ac:dyDescent="0.15">
      <c r="A17" s="278" t="str">
        <f>IFERROR(IF(HLOOKUP($L$5,RangeINTRNSUnitsets,M17,FALSE)=0,"",HLOOKUP($L$5,RangeINTRNSUnitsets,M17,FALSE)),"")</f>
        <v/>
      </c>
      <c r="B17" s="58" t="str">
        <f>IFERROR(IF(VLOOKUP($A17,TableHandbook[],2,FALSE)=0,"",VLOOKUP($A17,TableHandbook[],2,FALSE)),"")</f>
        <v/>
      </c>
      <c r="C17" s="58" t="str">
        <f>IFERROR(IF(VLOOKUP($A17,TableHandbook[],3,FALSE)=0,"",VLOOKUP($A17,TableHandbook[],3,FALSE)),"")</f>
        <v/>
      </c>
      <c r="D17" s="62" t="str">
        <f>IFERROR(IF(VLOOKUP($A17,TableHandbook[],4,FALSE)=0,"",VLOOKUP($A17,TableHandbook[],4,FALSE)),"")</f>
        <v/>
      </c>
      <c r="E17" s="58" t="str">
        <f t="shared" si="1"/>
        <v/>
      </c>
      <c r="F17" s="55" t="str">
        <f>IFERROR(IF(VLOOKUP($A17,TableHandbook[],6,FALSE)=0,"",VLOOKUP($A17,TableHandbook[],6,FALSE)),"")</f>
        <v/>
      </c>
      <c r="G17" s="58" t="str">
        <f>IFERROR(IF(VLOOKUP($A17,TableHandbook[],5,FALSE)=0,"",VLOOKUP($A17,TableHandbook[],5,FALSE)),"")</f>
        <v/>
      </c>
      <c r="H17" s="71" t="str">
        <f>IFERROR(VLOOKUP($A17,TableHandbook[],H$2,FALSE),"")</f>
        <v/>
      </c>
      <c r="I17" s="58" t="str">
        <f>IFERROR(VLOOKUP($A17,TableHandbook[],I$2,FALSE),"")</f>
        <v/>
      </c>
      <c r="J17" s="58" t="str">
        <f>IFERROR(VLOOKUP($A17,TableHandbook[],J$2,FALSE),"")</f>
        <v/>
      </c>
      <c r="K17" s="72" t="str">
        <f>IFERROR(VLOOKUP($A17,TableHandbook[],K$2,FALSE),"")</f>
        <v/>
      </c>
      <c r="L17" s="66"/>
      <c r="M17" s="142">
        <v>9</v>
      </c>
      <c r="N17" s="37"/>
      <c r="O17" s="37"/>
      <c r="P17" s="38"/>
      <c r="Q17" s="38"/>
      <c r="R17" s="38"/>
      <c r="S17" s="38"/>
      <c r="T17" s="38"/>
      <c r="U17" s="38"/>
      <c r="V17" s="38"/>
      <c r="W17" s="38"/>
    </row>
    <row r="18" spans="1:23" s="28" customFormat="1" ht="21" x14ac:dyDescent="0.25">
      <c r="A18" s="159" t="s">
        <v>29</v>
      </c>
      <c r="B18" s="159"/>
      <c r="C18" s="159"/>
      <c r="D18" s="160" t="s">
        <v>3</v>
      </c>
      <c r="E18" s="165" t="s">
        <v>21</v>
      </c>
      <c r="F18" s="159" t="s">
        <v>22</v>
      </c>
      <c r="G18" s="159" t="s">
        <v>23</v>
      </c>
      <c r="H18" s="166" t="s">
        <v>24</v>
      </c>
      <c r="I18" s="165" t="s">
        <v>25</v>
      </c>
      <c r="J18" s="165" t="s">
        <v>26</v>
      </c>
      <c r="K18" s="167" t="s">
        <v>27</v>
      </c>
      <c r="L18" s="168" t="s">
        <v>28</v>
      </c>
      <c r="M18" s="141"/>
      <c r="N18" s="26"/>
      <c r="O18" s="26"/>
      <c r="P18" s="27"/>
      <c r="Q18" s="27"/>
      <c r="R18" s="27"/>
      <c r="S18" s="27"/>
      <c r="T18" s="27"/>
      <c r="U18" s="27"/>
      <c r="V18" s="27"/>
      <c r="W18" s="27"/>
    </row>
    <row r="19" spans="1:23" s="31" customFormat="1" ht="20.100000000000001" customHeight="1" x14ac:dyDescent="0.15">
      <c r="A19" s="278" t="str">
        <f>IFERROR(IF(HLOOKUP($L$5,RangeINTRNSUnitsets,M19,FALSE)=0,"",HLOOKUP($L$5,RangeINTRNSUnitsets,M19,FALSE)),"")</f>
        <v/>
      </c>
      <c r="B19" s="58" t="str">
        <f>IFERROR(IF(VLOOKUP($A19,TableHandbook[],2,FALSE)=0,"",VLOOKUP($A19,TableHandbook[],2,FALSE)),"")</f>
        <v/>
      </c>
      <c r="C19" s="58" t="str">
        <f>IFERROR(IF(VLOOKUP($A19,TableHandbook[],3,FALSE)=0,"",VLOOKUP($A19,TableHandbook[],3,FALSE)),"")</f>
        <v/>
      </c>
      <c r="D19" s="60" t="str">
        <f>IFERROR(IF(VLOOKUP($A19,TableHandbook[],4,FALSE)=0,"",VLOOKUP($A19,TableHandbook[],4,FALSE)),"")</f>
        <v/>
      </c>
      <c r="E19" s="58" t="str">
        <f>IF(A19="","",VLOOKUP($D$6,TableStudyPeriods[],2,FALSE))</f>
        <v/>
      </c>
      <c r="F19" s="55" t="str">
        <f>IFERROR(IF(VLOOKUP($A19,TableHandbook[],6,FALSE)=0,"",VLOOKUP($A19,TableHandbook[],6,FALSE)),"")</f>
        <v/>
      </c>
      <c r="G19" s="56" t="str">
        <f>IFERROR(IF(VLOOKUP($A19,TableHandbook[],5,FALSE)=0,"",VLOOKUP($A19,TableHandbook[],5,FALSE)),"")</f>
        <v/>
      </c>
      <c r="H19" s="67" t="str">
        <f>IFERROR(VLOOKUP($A19,TableHandbook[],H$2,FALSE),"")</f>
        <v/>
      </c>
      <c r="I19" s="56" t="str">
        <f>IFERROR(VLOOKUP($A19,TableHandbook[],I$2,FALSE),"")</f>
        <v/>
      </c>
      <c r="J19" s="56" t="str">
        <f>IFERROR(VLOOKUP($A19,TableHandbook[],J$2,FALSE),"")</f>
        <v/>
      </c>
      <c r="K19" s="68" t="str">
        <f>IFERROR(VLOOKUP($A19,TableHandbook[],K$2,FALSE),"")</f>
        <v/>
      </c>
      <c r="L19" s="61"/>
      <c r="M19" s="142">
        <v>10</v>
      </c>
      <c r="N19" s="29"/>
      <c r="O19" s="29"/>
      <c r="P19" s="30"/>
      <c r="Q19" s="30"/>
      <c r="R19" s="30"/>
      <c r="S19" s="30"/>
      <c r="T19" s="30"/>
      <c r="U19" s="30"/>
      <c r="V19" s="30"/>
      <c r="W19" s="30"/>
    </row>
    <row r="20" spans="1:23" s="31" customFormat="1" ht="20.100000000000001" customHeight="1" x14ac:dyDescent="0.15">
      <c r="A20" s="278" t="str">
        <f>IFERROR(IF(HLOOKUP($L$5,RangeINTRNSUnitsets,M20,FALSE)=0,"",HLOOKUP($L$5,RangeINTRNSUnitsets,M20,FALSE)),"")</f>
        <v/>
      </c>
      <c r="B20" s="58" t="str">
        <f>IFERROR(IF(VLOOKUP($A20,TableHandbook[],2,FALSE)=0,"",VLOOKUP($A20,TableHandbook[],2,FALSE)),"")</f>
        <v/>
      </c>
      <c r="C20" s="58" t="str">
        <f>IFERROR(IF(VLOOKUP($A20,TableHandbook[],3,FALSE)=0,"",VLOOKUP($A20,TableHandbook[],3,FALSE)),"")</f>
        <v/>
      </c>
      <c r="D20" s="62" t="str">
        <f>IFERROR(IF(VLOOKUP($A20,TableHandbook[],4,FALSE)=0,"",VLOOKUP($A20,TableHandbook[],4,FALSE)),"")</f>
        <v/>
      </c>
      <c r="E20" s="58" t="str">
        <f>IF(A20="","",E19)</f>
        <v/>
      </c>
      <c r="F20" s="55" t="str">
        <f>IFERROR(IF(VLOOKUP($A20,TableHandbook[],6,FALSE)=0,"",VLOOKUP($A20,TableHandbook[],6,FALSE)),"")</f>
        <v/>
      </c>
      <c r="G20" s="56" t="str">
        <f>IFERROR(IF(VLOOKUP($A20,TableHandbook[],5,FALSE)=0,"",VLOOKUP($A20,TableHandbook[],5,FALSE)),"")</f>
        <v/>
      </c>
      <c r="H20" s="67" t="str">
        <f>IFERROR(VLOOKUP($A20,TableHandbook[],H$2,FALSE),"")</f>
        <v/>
      </c>
      <c r="I20" s="56" t="str">
        <f>IFERROR(VLOOKUP($A20,TableHandbook[],I$2,FALSE),"")</f>
        <v/>
      </c>
      <c r="J20" s="56" t="str">
        <f>IFERROR(VLOOKUP($A20,TableHandbook[],J$2,FALSE),"")</f>
        <v/>
      </c>
      <c r="K20" s="68" t="str">
        <f>IFERROR(VLOOKUP($A20,TableHandbook[],K$2,FALSE),"")</f>
        <v/>
      </c>
      <c r="L20" s="61"/>
      <c r="M20" s="142">
        <v>11</v>
      </c>
      <c r="N20" s="29"/>
      <c r="O20" s="29"/>
      <c r="P20" s="30"/>
      <c r="Q20" s="30"/>
      <c r="R20" s="30"/>
      <c r="S20" s="30"/>
      <c r="T20" s="30"/>
      <c r="U20" s="30"/>
      <c r="V20" s="30"/>
      <c r="W20" s="30"/>
    </row>
    <row r="21" spans="1:23" s="31" customFormat="1" ht="20.100000000000001" customHeight="1" x14ac:dyDescent="0.15">
      <c r="A21" s="278" t="str">
        <f>IFERROR(IF(HLOOKUP($L$5,RangeINTRNSUnitsets,M21,FALSE)=0,"",HLOOKUP($L$5,RangeINTRNSUnitsets,M21,FALSE)),"")</f>
        <v/>
      </c>
      <c r="B21" s="58" t="str">
        <f>IFERROR(IF(VLOOKUP($A21,TableHandbook[],2,FALSE)=0,"",VLOOKUP($A21,TableHandbook[],2,FALSE)),"")</f>
        <v/>
      </c>
      <c r="C21" s="58" t="str">
        <f>IFERROR(IF(VLOOKUP($A21,TableHandbook[],3,FALSE)=0,"",VLOOKUP($A21,TableHandbook[],3,FALSE)),"")</f>
        <v/>
      </c>
      <c r="D21" s="62" t="str">
        <f>IFERROR(IF(VLOOKUP($A21,TableHandbook[],4,FALSE)=0,"",VLOOKUP($A21,TableHandbook[],4,FALSE)),"")</f>
        <v/>
      </c>
      <c r="E21" s="58" t="str">
        <f t="shared" ref="E21:E22" si="2">IF(A21="","",E20)</f>
        <v/>
      </c>
      <c r="F21" s="55" t="str">
        <f>IFERROR(IF(VLOOKUP($A21,TableHandbook[],6,FALSE)=0,"",VLOOKUP($A21,TableHandbook[],6,FALSE)),"")</f>
        <v/>
      </c>
      <c r="G21" s="56" t="str">
        <f>IFERROR(IF(VLOOKUP($A21,TableHandbook[],5,FALSE)=0,"",VLOOKUP($A21,TableHandbook[],5,FALSE)),"")</f>
        <v/>
      </c>
      <c r="H21" s="67" t="str">
        <f>IFERROR(VLOOKUP($A21,TableHandbook[],H$2,FALSE),"")</f>
        <v/>
      </c>
      <c r="I21" s="56" t="str">
        <f>IFERROR(VLOOKUP($A21,TableHandbook[],I$2,FALSE),"")</f>
        <v/>
      </c>
      <c r="J21" s="56" t="str">
        <f>IFERROR(VLOOKUP($A21,TableHandbook[],J$2,FALSE),"")</f>
        <v/>
      </c>
      <c r="K21" s="68" t="str">
        <f>IFERROR(VLOOKUP($A21,TableHandbook[],K$2,FALSE),"")</f>
        <v/>
      </c>
      <c r="L21" s="61"/>
      <c r="M21" s="142">
        <v>12</v>
      </c>
      <c r="N21" s="29"/>
      <c r="O21" s="29"/>
      <c r="P21" s="30"/>
      <c r="Q21" s="30"/>
      <c r="R21" s="30"/>
      <c r="S21" s="30"/>
      <c r="T21" s="30"/>
      <c r="U21" s="30"/>
      <c r="V21" s="30"/>
      <c r="W21" s="30"/>
    </row>
    <row r="22" spans="1:23" s="31" customFormat="1" ht="20.100000000000001" customHeight="1" x14ac:dyDescent="0.15">
      <c r="A22" s="278" t="str">
        <f>IFERROR(IF(HLOOKUP($L$5,RangeINTRNSUnitsets,M22,FALSE)=0,"",HLOOKUP($L$5,RangeINTRNSUnitsets,M22,FALSE)),"")</f>
        <v/>
      </c>
      <c r="B22" s="58" t="str">
        <f>IFERROR(IF(VLOOKUP($A22,TableHandbook[],2,FALSE)=0,"",VLOOKUP($A22,TableHandbook[],2,FALSE)),"")</f>
        <v/>
      </c>
      <c r="C22" s="58" t="str">
        <f>IFERROR(IF(VLOOKUP($A22,TableHandbook[],3,FALSE)=0,"",VLOOKUP($A22,TableHandbook[],3,FALSE)),"")</f>
        <v/>
      </c>
      <c r="D22" s="62" t="str">
        <f>IFERROR(IF(VLOOKUP($A22,TableHandbook[],4,FALSE)=0,"",VLOOKUP($A22,TableHandbook[],4,FALSE)),"")</f>
        <v/>
      </c>
      <c r="E22" s="58" t="str">
        <f t="shared" si="2"/>
        <v/>
      </c>
      <c r="F22" s="55" t="str">
        <f>IFERROR(IF(VLOOKUP($A22,TableHandbook[],6,FALSE)=0,"",VLOOKUP($A22,TableHandbook[],6,FALSE)),"")</f>
        <v/>
      </c>
      <c r="G22" s="56" t="str">
        <f>IFERROR(IF(VLOOKUP($A22,TableHandbook[],5,FALSE)=0,"",VLOOKUP($A22,TableHandbook[],5,FALSE)),"")</f>
        <v/>
      </c>
      <c r="H22" s="67" t="str">
        <f>IFERROR(VLOOKUP($A22,TableHandbook[],H$2,FALSE),"")</f>
        <v/>
      </c>
      <c r="I22" s="56" t="str">
        <f>IFERROR(VLOOKUP($A22,TableHandbook[],I$2,FALSE),"")</f>
        <v/>
      </c>
      <c r="J22" s="56" t="str">
        <f>IFERROR(VLOOKUP($A22,TableHandbook[],J$2,FALSE),"")</f>
        <v/>
      </c>
      <c r="K22" s="68" t="str">
        <f>IFERROR(VLOOKUP($A22,TableHandbook[],K$2,FALSE),"")</f>
        <v/>
      </c>
      <c r="L22" s="61"/>
      <c r="M22" s="142">
        <v>13</v>
      </c>
      <c r="N22" s="29"/>
      <c r="O22" s="29"/>
      <c r="P22" s="30"/>
      <c r="Q22" s="30"/>
      <c r="R22" s="30"/>
      <c r="S22" s="30"/>
      <c r="T22" s="30"/>
      <c r="U22" s="30"/>
      <c r="V22" s="30"/>
      <c r="W22" s="30"/>
    </row>
    <row r="23" spans="1:23" s="39" customFormat="1" ht="20.100000000000001" customHeight="1" x14ac:dyDescent="0.15">
      <c r="A23" s="148"/>
      <c r="B23" s="149"/>
      <c r="C23" s="149"/>
      <c r="D23" s="173"/>
      <c r="E23" s="148"/>
      <c r="F23" s="174"/>
      <c r="G23" s="148"/>
      <c r="H23" s="148"/>
      <c r="I23" s="148"/>
      <c r="J23" s="148"/>
      <c r="K23" s="148"/>
      <c r="L23" s="175"/>
      <c r="M23" s="142"/>
      <c r="N23" s="37"/>
      <c r="O23" s="37"/>
      <c r="P23" s="38"/>
      <c r="Q23" s="38"/>
      <c r="R23" s="38"/>
      <c r="S23" s="38"/>
      <c r="T23" s="38"/>
      <c r="U23" s="38"/>
      <c r="V23" s="38"/>
      <c r="W23" s="38"/>
    </row>
    <row r="24" spans="1:23" ht="20.25" x14ac:dyDescent="0.25">
      <c r="A24" s="203" t="s">
        <v>209</v>
      </c>
      <c r="B24" s="150"/>
      <c r="C24" s="150"/>
      <c r="D24" s="151"/>
      <c r="E24" s="152"/>
      <c r="F24" s="152"/>
      <c r="G24" s="152"/>
      <c r="H24" s="202" t="s">
        <v>19</v>
      </c>
      <c r="I24" s="153"/>
      <c r="J24" s="154"/>
      <c r="K24" s="155"/>
      <c r="L24" s="204" t="e">
        <f>VLOOKUP(D5,TableCourses[],2,FALSE)</f>
        <v>#N/A</v>
      </c>
      <c r="M24" s="144"/>
      <c r="N24" s="25"/>
      <c r="O24" s="25"/>
      <c r="P24" s="25"/>
      <c r="Q24" s="25"/>
      <c r="R24" s="25"/>
      <c r="S24" s="25"/>
      <c r="T24" s="25"/>
      <c r="U24" s="25"/>
      <c r="V24" s="25"/>
      <c r="W24" s="25"/>
    </row>
    <row r="25" spans="1:23" s="48" customFormat="1" ht="21" x14ac:dyDescent="0.25">
      <c r="A25" s="276"/>
      <c r="B25" s="159"/>
      <c r="C25" s="159"/>
      <c r="D25" s="160" t="s">
        <v>3</v>
      </c>
      <c r="E25" s="165"/>
      <c r="F25" s="159" t="s">
        <v>22</v>
      </c>
      <c r="G25" s="159" t="s">
        <v>23</v>
      </c>
      <c r="H25" s="166" t="s">
        <v>24</v>
      </c>
      <c r="I25" s="165" t="s">
        <v>25</v>
      </c>
      <c r="J25" s="165" t="s">
        <v>26</v>
      </c>
      <c r="K25" s="167" t="s">
        <v>27</v>
      </c>
      <c r="L25" s="158"/>
      <c r="M25" s="144"/>
      <c r="N25" s="47"/>
      <c r="O25" s="47"/>
      <c r="P25" s="47"/>
      <c r="Q25" s="47"/>
      <c r="R25" s="47"/>
      <c r="S25" s="47"/>
      <c r="T25" s="47"/>
      <c r="U25" s="47"/>
      <c r="V25" s="47"/>
      <c r="W25" s="47"/>
    </row>
    <row r="26" spans="1:23" x14ac:dyDescent="0.25">
      <c r="A26" s="199" t="str">
        <f t="shared" ref="A26:A53" si="3">IFERROR(IF(HLOOKUP($L$24,RangeINTRNSOptions,$M26,FALSE)=0,"",HLOOKUP($L$24,RangeINTRNSOptions,$M26,FALSE)),"")</f>
        <v/>
      </c>
      <c r="B26" s="125" t="str">
        <f>IFERROR(IF(VLOOKUP($A26,TableHandbook[],2,FALSE)=0,"",VLOOKUP($A26,TableHandbook[],2,FALSE)),"")</f>
        <v/>
      </c>
      <c r="C26" s="125" t="str">
        <f>IFERROR(IF(VLOOKUP($A26,TableHandbook[],3,FALSE)=0,"",VLOOKUP($A26,TableHandbook[],3,FALSE)),"")</f>
        <v/>
      </c>
      <c r="D26" s="49" t="str">
        <f>IFERROR(IF(VLOOKUP($A26,TableHandbook[],4,FALSE)=0,"",VLOOKUP($A26,TableHandbook[],4,FALSE)),"")</f>
        <v/>
      </c>
      <c r="E26" s="50"/>
      <c r="F26" s="51" t="str">
        <f>IFERROR(IF(VLOOKUP($A26,TableHandbook[],6,FALSE)=0,"",VLOOKUP($A26,TableHandbook[],6,FALSE)),"")</f>
        <v/>
      </c>
      <c r="G26" s="51" t="str">
        <f>IFERROR(IF(VLOOKUP($A26,TableHandbook[],5,FALSE)=0,"",VLOOKUP($A26,TableHandbook[],5,FALSE)),"")</f>
        <v/>
      </c>
      <c r="H26" s="67" t="str">
        <f>IFERROR(VLOOKUP($A26,TableHandbook[],H$2,FALSE),"")</f>
        <v/>
      </c>
      <c r="I26" s="56" t="str">
        <f>IFERROR(VLOOKUP($A26,TableHandbook[],I$2,FALSE),"")</f>
        <v/>
      </c>
      <c r="J26" s="56" t="str">
        <f>IFERROR(VLOOKUP($A26,TableHandbook[],J$2,FALSE),"")</f>
        <v/>
      </c>
      <c r="K26" s="68" t="str">
        <f>IFERROR(VLOOKUP($A26,TableHandbook[],K$2,FALSE),"")</f>
        <v/>
      </c>
      <c r="L26" s="57"/>
      <c r="M26" s="142">
        <v>2</v>
      </c>
      <c r="N26" s="25"/>
      <c r="O26" s="25"/>
      <c r="P26" s="25"/>
      <c r="Q26" s="25"/>
      <c r="R26" s="25"/>
      <c r="S26" s="25"/>
      <c r="T26" s="25"/>
      <c r="U26" s="25"/>
      <c r="V26" s="25"/>
      <c r="W26" s="25"/>
    </row>
    <row r="27" spans="1:23" x14ac:dyDescent="0.25">
      <c r="A27" s="199" t="str">
        <f t="shared" si="3"/>
        <v/>
      </c>
      <c r="B27" s="125" t="str">
        <f>IFERROR(IF(VLOOKUP($A27,TableHandbook[],2,FALSE)=0,"",VLOOKUP($A27,TableHandbook[],2,FALSE)),"")</f>
        <v/>
      </c>
      <c r="C27" s="125" t="str">
        <f>IFERROR(IF(VLOOKUP($A27,TableHandbook[],3,FALSE)=0,"",VLOOKUP($A27,TableHandbook[],3,FALSE)),"")</f>
        <v/>
      </c>
      <c r="D27" s="49" t="str">
        <f>IFERROR(IF(VLOOKUP($A27,TableHandbook[],4,FALSE)=0,"",VLOOKUP($A27,TableHandbook[],4,FALSE)),"")</f>
        <v/>
      </c>
      <c r="E27" s="50"/>
      <c r="F27" s="51" t="str">
        <f>IFERROR(IF(VLOOKUP($A27,TableHandbook[],6,FALSE)=0,"",VLOOKUP($A27,TableHandbook[],6,FALSE)),"")</f>
        <v/>
      </c>
      <c r="G27" s="51"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57"/>
      <c r="M27" s="142">
        <v>3</v>
      </c>
      <c r="N27" s="25"/>
      <c r="O27" s="25"/>
      <c r="P27" s="25"/>
      <c r="Q27" s="25"/>
      <c r="R27" s="25"/>
      <c r="S27" s="25"/>
      <c r="T27" s="25"/>
      <c r="U27" s="25"/>
      <c r="V27" s="25"/>
      <c r="W27" s="25"/>
    </row>
    <row r="28" spans="1:23" x14ac:dyDescent="0.25">
      <c r="A28" s="199" t="str">
        <f t="shared" si="3"/>
        <v/>
      </c>
      <c r="B28" s="125" t="str">
        <f>IFERROR(IF(VLOOKUP($A28,TableHandbook[],2,FALSE)=0,"",VLOOKUP($A28,TableHandbook[],2,FALSE)),"")</f>
        <v/>
      </c>
      <c r="C28" s="125" t="str">
        <f>IFERROR(IF(VLOOKUP($A28,TableHandbook[],3,FALSE)=0,"",VLOOKUP($A28,TableHandbook[],3,FALSE)),"")</f>
        <v/>
      </c>
      <c r="D28" s="49" t="str">
        <f>IFERROR(IF(VLOOKUP($A28,TableHandbook[],4,FALSE)=0,"",VLOOKUP($A28,TableHandbook[],4,FALSE)),"")</f>
        <v/>
      </c>
      <c r="E28" s="50"/>
      <c r="F28" s="51" t="str">
        <f>IFERROR(IF(VLOOKUP($A28,TableHandbook[],6,FALSE)=0,"",VLOOKUP($A28,TableHandbook[],6,FALSE)),"")</f>
        <v/>
      </c>
      <c r="G28" s="51" t="str">
        <f>IFERROR(IF(VLOOKUP($A28,TableHandbook[],5,FALSE)=0,"",VLOOKUP($A28,TableHandbook[],5,FALSE)),"")</f>
        <v/>
      </c>
      <c r="H28" s="67" t="str">
        <f>IFERROR(VLOOKUP($A28,TableHandbook[],H$2,FALSE),"")</f>
        <v/>
      </c>
      <c r="I28" s="56" t="str">
        <f>IFERROR(VLOOKUP($A28,TableHandbook[],I$2,FALSE),"")</f>
        <v/>
      </c>
      <c r="J28" s="56" t="str">
        <f>IFERROR(VLOOKUP($A28,TableHandbook[],J$2,FALSE),"")</f>
        <v/>
      </c>
      <c r="K28" s="68" t="str">
        <f>IFERROR(VLOOKUP($A28,TableHandbook[],K$2,FALSE),"")</f>
        <v/>
      </c>
      <c r="L28" s="57"/>
      <c r="M28" s="142">
        <v>4</v>
      </c>
      <c r="N28" s="25"/>
      <c r="O28" s="25"/>
      <c r="P28" s="25"/>
      <c r="Q28" s="25"/>
      <c r="R28" s="25"/>
      <c r="S28" s="25"/>
      <c r="T28" s="25"/>
      <c r="U28" s="25"/>
      <c r="V28" s="25"/>
      <c r="W28" s="25"/>
    </row>
    <row r="29" spans="1:23" x14ac:dyDescent="0.25">
      <c r="A29" s="199" t="str">
        <f t="shared" si="3"/>
        <v/>
      </c>
      <c r="B29" s="125" t="str">
        <f>IFERROR(IF(VLOOKUP($A29,TableHandbook[],2,FALSE)=0,"",VLOOKUP($A29,TableHandbook[],2,FALSE)),"")</f>
        <v/>
      </c>
      <c r="C29" s="125" t="str">
        <f>IFERROR(IF(VLOOKUP($A29,TableHandbook[],3,FALSE)=0,"",VLOOKUP($A29,TableHandbook[],3,FALSE)),"")</f>
        <v/>
      </c>
      <c r="D29" s="49" t="str">
        <f>IFERROR(IF(VLOOKUP($A29,TableHandbook[],4,FALSE)=0,"",VLOOKUP($A29,TableHandbook[],4,FALSE)),"")</f>
        <v/>
      </c>
      <c r="E29" s="50"/>
      <c r="F29" s="51" t="str">
        <f>IFERROR(IF(VLOOKUP($A29,TableHandbook[],6,FALSE)=0,"",VLOOKUP($A29,TableHandbook[],6,FALSE)),"")</f>
        <v/>
      </c>
      <c r="G29" s="51" t="str">
        <f>IFERROR(IF(VLOOKUP($A29,TableHandbook[],5,FALSE)=0,"",VLOOKUP($A29,TableHandbook[],5,FALSE)),"")</f>
        <v/>
      </c>
      <c r="H29" s="67" t="str">
        <f>IFERROR(VLOOKUP($A29,TableHandbook[],H$2,FALSE),"")</f>
        <v/>
      </c>
      <c r="I29" s="56" t="str">
        <f>IFERROR(VLOOKUP($A29,TableHandbook[],I$2,FALSE),"")</f>
        <v/>
      </c>
      <c r="J29" s="56" t="str">
        <f>IFERROR(VLOOKUP($A29,TableHandbook[],J$2,FALSE),"")</f>
        <v/>
      </c>
      <c r="K29" s="68" t="str">
        <f>IFERROR(VLOOKUP($A29,TableHandbook[],K$2,FALSE),"")</f>
        <v/>
      </c>
      <c r="L29" s="57"/>
      <c r="M29" s="142">
        <v>5</v>
      </c>
      <c r="N29" s="25"/>
      <c r="O29" s="25"/>
      <c r="P29" s="25"/>
      <c r="Q29" s="25"/>
      <c r="R29" s="25"/>
      <c r="S29" s="25"/>
      <c r="T29" s="25"/>
      <c r="U29" s="25"/>
      <c r="V29" s="25"/>
      <c r="W29" s="25"/>
    </row>
    <row r="30" spans="1:23" x14ac:dyDescent="0.25">
      <c r="A30" s="199" t="str">
        <f t="shared" si="3"/>
        <v/>
      </c>
      <c r="B30" s="125" t="str">
        <f>IFERROR(IF(VLOOKUP($A30,TableHandbook[],2,FALSE)=0,"",VLOOKUP($A30,TableHandbook[],2,FALSE)),"")</f>
        <v/>
      </c>
      <c r="C30" s="125" t="str">
        <f>IFERROR(IF(VLOOKUP($A30,TableHandbook[],3,FALSE)=0,"",VLOOKUP($A30,TableHandbook[],3,FALSE)),"")</f>
        <v/>
      </c>
      <c r="D30" s="49" t="str">
        <f>IFERROR(IF(VLOOKUP($A30,TableHandbook[],4,FALSE)=0,"",VLOOKUP($A30,TableHandbook[],4,FALSE)),"")</f>
        <v/>
      </c>
      <c r="E30" s="50"/>
      <c r="F30" s="51" t="str">
        <f>IFERROR(IF(VLOOKUP($A30,TableHandbook[],6,FALSE)=0,"",VLOOKUP($A30,TableHandbook[],6,FALSE)),"")</f>
        <v/>
      </c>
      <c r="G30" s="51" t="str">
        <f>IFERROR(IF(VLOOKUP($A30,TableHandbook[],5,FALSE)=0,"",VLOOKUP($A30,TableHandbook[],5,FALSE)),"")</f>
        <v/>
      </c>
      <c r="H30" s="67" t="str">
        <f>IFERROR(VLOOKUP($A30,TableHandbook[],H$2,FALSE),"")</f>
        <v/>
      </c>
      <c r="I30" s="56" t="str">
        <f>IFERROR(VLOOKUP($A30,TableHandbook[],I$2,FALSE),"")</f>
        <v/>
      </c>
      <c r="J30" s="56" t="str">
        <f>IFERROR(VLOOKUP($A30,TableHandbook[],J$2,FALSE),"")</f>
        <v/>
      </c>
      <c r="K30" s="68" t="str">
        <f>IFERROR(VLOOKUP($A30,TableHandbook[],K$2,FALSE),"")</f>
        <v/>
      </c>
      <c r="L30" s="57"/>
      <c r="M30" s="142">
        <v>6</v>
      </c>
      <c r="N30" s="25"/>
      <c r="O30" s="25"/>
      <c r="P30" s="25"/>
      <c r="Q30" s="25"/>
      <c r="R30" s="25"/>
      <c r="S30" s="25"/>
      <c r="T30" s="25"/>
      <c r="U30" s="25"/>
      <c r="V30" s="25"/>
      <c r="W30" s="25"/>
    </row>
    <row r="31" spans="1:23" x14ac:dyDescent="0.25">
      <c r="A31" s="199" t="str">
        <f t="shared" si="3"/>
        <v/>
      </c>
      <c r="B31" s="125" t="str">
        <f>IFERROR(IF(VLOOKUP($A31,TableHandbook[],2,FALSE)=0,"",VLOOKUP($A31,TableHandbook[],2,FALSE)),"")</f>
        <v/>
      </c>
      <c r="C31" s="125" t="str">
        <f>IFERROR(IF(VLOOKUP($A31,TableHandbook[],3,FALSE)=0,"",VLOOKUP($A31,TableHandbook[],3,FALSE)),"")</f>
        <v/>
      </c>
      <c r="D31" s="49" t="str">
        <f>IFERROR(IF(VLOOKUP($A31,TableHandbook[],4,FALSE)=0,"",VLOOKUP($A31,TableHandbook[],4,FALSE)),"")</f>
        <v/>
      </c>
      <c r="E31" s="50"/>
      <c r="F31" s="51" t="str">
        <f>IFERROR(IF(VLOOKUP($A31,TableHandbook[],6,FALSE)=0,"",VLOOKUP($A31,TableHandbook[],6,FALSE)),"")</f>
        <v/>
      </c>
      <c r="G31" s="51" t="str">
        <f>IFERROR(IF(VLOOKUP($A31,TableHandbook[],5,FALSE)=0,"",VLOOKUP($A31,TableHandbook[],5,FALSE)),"")</f>
        <v/>
      </c>
      <c r="H31" s="67" t="str">
        <f>IFERROR(VLOOKUP($A31,TableHandbook[],H$2,FALSE),"")</f>
        <v/>
      </c>
      <c r="I31" s="56" t="str">
        <f>IFERROR(VLOOKUP($A31,TableHandbook[],I$2,FALSE),"")</f>
        <v/>
      </c>
      <c r="J31" s="56" t="str">
        <f>IFERROR(VLOOKUP($A31,TableHandbook[],J$2,FALSE),"")</f>
        <v/>
      </c>
      <c r="K31" s="68" t="str">
        <f>IFERROR(VLOOKUP($A31,TableHandbook[],K$2,FALSE),"")</f>
        <v/>
      </c>
      <c r="L31" s="57"/>
      <c r="M31" s="142">
        <v>7</v>
      </c>
      <c r="N31" s="25"/>
      <c r="O31" s="25"/>
      <c r="P31" s="25"/>
      <c r="Q31" s="25"/>
      <c r="R31" s="25"/>
      <c r="S31" s="25"/>
      <c r="T31" s="25"/>
      <c r="U31" s="25"/>
      <c r="V31" s="25"/>
      <c r="W31" s="25"/>
    </row>
    <row r="32" spans="1:23" x14ac:dyDescent="0.25">
      <c r="A32" s="199" t="str">
        <f t="shared" si="3"/>
        <v/>
      </c>
      <c r="B32" s="125" t="str">
        <f>IFERROR(IF(VLOOKUP($A32,TableHandbook[],2,FALSE)=0,"",VLOOKUP($A32,TableHandbook[],2,FALSE)),"")</f>
        <v/>
      </c>
      <c r="C32" s="125" t="str">
        <f>IFERROR(IF(VLOOKUP($A32,TableHandbook[],3,FALSE)=0,"",VLOOKUP($A32,TableHandbook[],3,FALSE)),"")</f>
        <v/>
      </c>
      <c r="D32" s="49" t="str">
        <f>IFERROR(IF(VLOOKUP($A32,TableHandbook[],4,FALSE)=0,"",VLOOKUP($A32,TableHandbook[],4,FALSE)),"")</f>
        <v/>
      </c>
      <c r="E32" s="50"/>
      <c r="F32" s="51" t="str">
        <f>IFERROR(IF(VLOOKUP($A32,TableHandbook[],6,FALSE)=0,"",VLOOKUP($A32,TableHandbook[],6,FALSE)),"")</f>
        <v/>
      </c>
      <c r="G32" s="51" t="str">
        <f>IFERROR(IF(VLOOKUP($A32,TableHandbook[],5,FALSE)=0,"",VLOOKUP($A32,TableHandbook[],5,FALSE)),"")</f>
        <v/>
      </c>
      <c r="H32" s="67" t="str">
        <f>IFERROR(VLOOKUP($A32,TableHandbook[],H$2,FALSE),"")</f>
        <v/>
      </c>
      <c r="I32" s="56" t="str">
        <f>IFERROR(VLOOKUP($A32,TableHandbook[],I$2,FALSE),"")</f>
        <v/>
      </c>
      <c r="J32" s="56" t="str">
        <f>IFERROR(VLOOKUP($A32,TableHandbook[],J$2,FALSE),"")</f>
        <v/>
      </c>
      <c r="K32" s="68" t="str">
        <f>IFERROR(VLOOKUP($A32,TableHandbook[],K$2,FALSE),"")</f>
        <v/>
      </c>
      <c r="L32" s="57"/>
      <c r="M32" s="142">
        <v>8</v>
      </c>
      <c r="N32" s="25"/>
      <c r="O32" s="25"/>
      <c r="P32" s="25"/>
      <c r="Q32" s="25"/>
      <c r="R32" s="25"/>
      <c r="S32" s="25"/>
      <c r="T32" s="25"/>
      <c r="U32" s="25"/>
      <c r="V32" s="25"/>
      <c r="W32" s="25"/>
    </row>
    <row r="33" spans="1:23" x14ac:dyDescent="0.25">
      <c r="A33" s="199" t="str">
        <f t="shared" si="3"/>
        <v/>
      </c>
      <c r="B33" s="125" t="str">
        <f>IFERROR(IF(VLOOKUP($A33,TableHandbook[],2,FALSE)=0,"",VLOOKUP($A33,TableHandbook[],2,FALSE)),"")</f>
        <v/>
      </c>
      <c r="C33" s="125" t="str">
        <f>IFERROR(IF(VLOOKUP($A33,TableHandbook[],3,FALSE)=0,"",VLOOKUP($A33,TableHandbook[],3,FALSE)),"")</f>
        <v/>
      </c>
      <c r="D33" s="49" t="str">
        <f>IFERROR(IF(VLOOKUP($A33,TableHandbook[],4,FALSE)=0,"",VLOOKUP($A33,TableHandbook[],4,FALSE)),"")</f>
        <v/>
      </c>
      <c r="E33" s="50"/>
      <c r="F33" s="51" t="str">
        <f>IFERROR(IF(VLOOKUP($A33,TableHandbook[],6,FALSE)=0,"",VLOOKUP($A33,TableHandbook[],6,FALSE)),"")</f>
        <v/>
      </c>
      <c r="G33" s="51" t="str">
        <f>IFERROR(IF(VLOOKUP($A33,TableHandbook[],5,FALSE)=0,"",VLOOKUP($A33,TableHandbook[],5,FALSE)),"")</f>
        <v/>
      </c>
      <c r="H33" s="67" t="str">
        <f>IFERROR(VLOOKUP($A33,TableHandbook[],H$2,FALSE),"")</f>
        <v/>
      </c>
      <c r="I33" s="56" t="str">
        <f>IFERROR(VLOOKUP($A33,TableHandbook[],I$2,FALSE),"")</f>
        <v/>
      </c>
      <c r="J33" s="56" t="str">
        <f>IFERROR(VLOOKUP($A33,TableHandbook[],J$2,FALSE),"")</f>
        <v/>
      </c>
      <c r="K33" s="68" t="str">
        <f>IFERROR(VLOOKUP($A33,TableHandbook[],K$2,FALSE),"")</f>
        <v/>
      </c>
      <c r="L33" s="57"/>
      <c r="M33" s="142">
        <v>9</v>
      </c>
      <c r="N33" s="25"/>
      <c r="O33" s="25"/>
      <c r="P33" s="25"/>
      <c r="Q33" s="25"/>
      <c r="R33" s="25"/>
      <c r="S33" s="25"/>
      <c r="T33" s="25"/>
      <c r="U33" s="25"/>
      <c r="V33" s="25"/>
      <c r="W33" s="25"/>
    </row>
    <row r="34" spans="1:23" x14ac:dyDescent="0.25">
      <c r="A34" s="199" t="str">
        <f t="shared" si="3"/>
        <v/>
      </c>
      <c r="B34" s="125" t="str">
        <f>IFERROR(IF(VLOOKUP($A34,TableHandbook[],2,FALSE)=0,"",VLOOKUP($A34,TableHandbook[],2,FALSE)),"")</f>
        <v/>
      </c>
      <c r="C34" s="125" t="str">
        <f>IFERROR(IF(VLOOKUP($A34,TableHandbook[],3,FALSE)=0,"",VLOOKUP($A34,TableHandbook[],3,FALSE)),"")</f>
        <v/>
      </c>
      <c r="D34" s="49" t="str">
        <f>IFERROR(IF(VLOOKUP($A34,TableHandbook[],4,FALSE)=0,"",VLOOKUP($A34,TableHandbook[],4,FALSE)),"")</f>
        <v/>
      </c>
      <c r="E34" s="50"/>
      <c r="F34" s="51" t="str">
        <f>IFERROR(IF(VLOOKUP($A34,TableHandbook[],6,FALSE)=0,"",VLOOKUP($A34,TableHandbook[],6,FALSE)),"")</f>
        <v/>
      </c>
      <c r="G34" s="51" t="str">
        <f>IFERROR(IF(VLOOKUP($A34,TableHandbook[],5,FALSE)=0,"",VLOOKUP($A34,TableHandbook[],5,FALSE)),"")</f>
        <v/>
      </c>
      <c r="H34" s="67" t="str">
        <f>IFERROR(VLOOKUP($A34,TableHandbook[],H$2,FALSE),"")</f>
        <v/>
      </c>
      <c r="I34" s="56" t="str">
        <f>IFERROR(VLOOKUP($A34,TableHandbook[],I$2,FALSE),"")</f>
        <v/>
      </c>
      <c r="J34" s="56" t="str">
        <f>IFERROR(VLOOKUP($A34,TableHandbook[],J$2,FALSE),"")</f>
        <v/>
      </c>
      <c r="K34" s="68" t="str">
        <f>IFERROR(VLOOKUP($A34,TableHandbook[],K$2,FALSE),"")</f>
        <v/>
      </c>
      <c r="L34" s="57"/>
      <c r="M34" s="142">
        <v>10</v>
      </c>
      <c r="N34" s="25"/>
      <c r="O34" s="25"/>
      <c r="P34" s="25"/>
      <c r="Q34" s="25"/>
      <c r="R34" s="25"/>
      <c r="S34" s="25"/>
      <c r="T34" s="25"/>
      <c r="U34" s="25"/>
      <c r="V34" s="25"/>
      <c r="W34" s="25"/>
    </row>
    <row r="35" spans="1:23" x14ac:dyDescent="0.25">
      <c r="A35" s="199" t="str">
        <f t="shared" si="3"/>
        <v/>
      </c>
      <c r="B35" s="125" t="str">
        <f>IFERROR(IF(VLOOKUP($A35,TableHandbook[],2,FALSE)=0,"",VLOOKUP($A35,TableHandbook[],2,FALSE)),"")</f>
        <v/>
      </c>
      <c r="C35" s="125" t="str">
        <f>IFERROR(IF(VLOOKUP($A35,TableHandbook[],3,FALSE)=0,"",VLOOKUP($A35,TableHandbook[],3,FALSE)),"")</f>
        <v/>
      </c>
      <c r="D35" s="49" t="str">
        <f>IFERROR(IF(VLOOKUP($A35,TableHandbook[],4,FALSE)=0,"",VLOOKUP($A35,TableHandbook[],4,FALSE)),"")</f>
        <v/>
      </c>
      <c r="E35" s="50"/>
      <c r="F35" s="51" t="str">
        <f>IFERROR(IF(VLOOKUP($A35,TableHandbook[],6,FALSE)=0,"",VLOOKUP($A35,TableHandbook[],6,FALSE)),"")</f>
        <v/>
      </c>
      <c r="G35" s="51" t="str">
        <f>IFERROR(IF(VLOOKUP($A35,TableHandbook[],5,FALSE)=0,"",VLOOKUP($A35,TableHandbook[],5,FALSE)),"")</f>
        <v/>
      </c>
      <c r="H35" s="67" t="str">
        <f>IFERROR(VLOOKUP($A35,TableHandbook[],H$2,FALSE),"")</f>
        <v/>
      </c>
      <c r="I35" s="56" t="str">
        <f>IFERROR(VLOOKUP($A35,TableHandbook[],I$2,FALSE),"")</f>
        <v/>
      </c>
      <c r="J35" s="56" t="str">
        <f>IFERROR(VLOOKUP($A35,TableHandbook[],J$2,FALSE),"")</f>
        <v/>
      </c>
      <c r="K35" s="68" t="str">
        <f>IFERROR(VLOOKUP($A35,TableHandbook[],K$2,FALSE),"")</f>
        <v/>
      </c>
      <c r="L35" s="57"/>
      <c r="M35" s="142">
        <v>11</v>
      </c>
      <c r="N35" s="25"/>
      <c r="O35" s="25"/>
      <c r="P35" s="25"/>
      <c r="Q35" s="25"/>
      <c r="R35" s="25"/>
      <c r="S35" s="25"/>
      <c r="T35" s="25"/>
      <c r="U35" s="25"/>
      <c r="V35" s="25"/>
      <c r="W35" s="25"/>
    </row>
    <row r="36" spans="1:23" x14ac:dyDescent="0.25">
      <c r="A36" s="199" t="str">
        <f t="shared" si="3"/>
        <v/>
      </c>
      <c r="B36" s="125" t="str">
        <f>IFERROR(IF(VLOOKUP($A36,TableHandbook[],2,FALSE)=0,"",VLOOKUP($A36,TableHandbook[],2,FALSE)),"")</f>
        <v/>
      </c>
      <c r="C36" s="125" t="str">
        <f>IFERROR(IF(VLOOKUP($A36,TableHandbook[],3,FALSE)=0,"",VLOOKUP($A36,TableHandbook[],3,FALSE)),"")</f>
        <v/>
      </c>
      <c r="D36" s="49" t="str">
        <f>IFERROR(IF(VLOOKUP($A36,TableHandbook[],4,FALSE)=0,"",VLOOKUP($A36,TableHandbook[],4,FALSE)),"")</f>
        <v/>
      </c>
      <c r="E36" s="50"/>
      <c r="F36" s="51" t="str">
        <f>IFERROR(IF(VLOOKUP($A36,TableHandbook[],6,FALSE)=0,"",VLOOKUP($A36,TableHandbook[],6,FALSE)),"")</f>
        <v/>
      </c>
      <c r="G36" s="51" t="str">
        <f>IFERROR(IF(VLOOKUP($A36,TableHandbook[],5,FALSE)=0,"",VLOOKUP($A36,TableHandbook[],5,FALSE)),"")</f>
        <v/>
      </c>
      <c r="H36" s="67" t="str">
        <f>IFERROR(VLOOKUP($A36,TableHandbook[],H$2,FALSE),"")</f>
        <v/>
      </c>
      <c r="I36" s="56" t="str">
        <f>IFERROR(VLOOKUP($A36,TableHandbook[],I$2,FALSE),"")</f>
        <v/>
      </c>
      <c r="J36" s="56" t="str">
        <f>IFERROR(VLOOKUP($A36,TableHandbook[],J$2,FALSE),"")</f>
        <v/>
      </c>
      <c r="K36" s="68" t="str">
        <f>IFERROR(VLOOKUP($A36,TableHandbook[],K$2,FALSE),"")</f>
        <v/>
      </c>
      <c r="L36" s="57"/>
      <c r="M36" s="142">
        <v>12</v>
      </c>
      <c r="N36" s="25"/>
      <c r="O36" s="25"/>
      <c r="P36" s="25"/>
      <c r="Q36" s="25"/>
      <c r="R36" s="25"/>
      <c r="S36" s="25"/>
      <c r="T36" s="25"/>
      <c r="U36" s="25"/>
      <c r="V36" s="25"/>
      <c r="W36" s="25"/>
    </row>
    <row r="37" spans="1:23" x14ac:dyDescent="0.25">
      <c r="A37" s="199" t="str">
        <f t="shared" si="3"/>
        <v/>
      </c>
      <c r="B37" s="125" t="str">
        <f>IFERROR(IF(VLOOKUP($A37,TableHandbook[],2,FALSE)=0,"",VLOOKUP($A37,TableHandbook[],2,FALSE)),"")</f>
        <v/>
      </c>
      <c r="C37" s="125" t="str">
        <f>IFERROR(IF(VLOOKUP($A37,TableHandbook[],3,FALSE)=0,"",VLOOKUP($A37,TableHandbook[],3,FALSE)),"")</f>
        <v/>
      </c>
      <c r="D37" s="49" t="str">
        <f>IFERROR(IF(VLOOKUP($A37,TableHandbook[],4,FALSE)=0,"",VLOOKUP($A37,TableHandbook[],4,FALSE)),"")</f>
        <v/>
      </c>
      <c r="E37" s="50"/>
      <c r="F37" s="51" t="str">
        <f>IFERROR(IF(VLOOKUP($A37,TableHandbook[],6,FALSE)=0,"",VLOOKUP($A37,TableHandbook[],6,FALSE)),"")</f>
        <v/>
      </c>
      <c r="G37" s="51" t="str">
        <f>IFERROR(IF(VLOOKUP($A37,TableHandbook[],5,FALSE)=0,"",VLOOKUP($A37,TableHandbook[],5,FALSE)),"")</f>
        <v/>
      </c>
      <c r="H37" s="67" t="str">
        <f>IFERROR(VLOOKUP($A37,TableHandbook[],H$2,FALSE),"")</f>
        <v/>
      </c>
      <c r="I37" s="56" t="str">
        <f>IFERROR(VLOOKUP($A37,TableHandbook[],I$2,FALSE),"")</f>
        <v/>
      </c>
      <c r="J37" s="56" t="str">
        <f>IFERROR(VLOOKUP($A37,TableHandbook[],J$2,FALSE),"")</f>
        <v/>
      </c>
      <c r="K37" s="68" t="str">
        <f>IFERROR(VLOOKUP($A37,TableHandbook[],K$2,FALSE),"")</f>
        <v/>
      </c>
      <c r="L37" s="57"/>
      <c r="M37" s="142">
        <v>13</v>
      </c>
      <c r="N37" s="25"/>
      <c r="O37" s="25"/>
      <c r="P37" s="25"/>
      <c r="Q37" s="25"/>
      <c r="R37" s="25"/>
      <c r="S37" s="25"/>
      <c r="T37" s="25"/>
      <c r="U37" s="25"/>
      <c r="V37" s="25"/>
      <c r="W37" s="25"/>
    </row>
    <row r="38" spans="1:23" x14ac:dyDescent="0.25">
      <c r="A38" s="199" t="str">
        <f t="shared" si="3"/>
        <v/>
      </c>
      <c r="B38" s="125" t="str">
        <f>IFERROR(IF(VLOOKUP($A38,TableHandbook[],2,FALSE)=0,"",VLOOKUP($A38,TableHandbook[],2,FALSE)),"")</f>
        <v/>
      </c>
      <c r="C38" s="125" t="str">
        <f>IFERROR(IF(VLOOKUP($A38,TableHandbook[],3,FALSE)=0,"",VLOOKUP($A38,TableHandbook[],3,FALSE)),"")</f>
        <v/>
      </c>
      <c r="D38" s="49" t="str">
        <f>IFERROR(IF(VLOOKUP($A38,TableHandbook[],4,FALSE)=0,"",VLOOKUP($A38,TableHandbook[],4,FALSE)),"")</f>
        <v/>
      </c>
      <c r="E38" s="50"/>
      <c r="F38" s="51" t="str">
        <f>IFERROR(IF(VLOOKUP($A38,TableHandbook[],6,FALSE)=0,"",VLOOKUP($A38,TableHandbook[],6,FALSE)),"")</f>
        <v/>
      </c>
      <c r="G38" s="51" t="str">
        <f>IFERROR(IF(VLOOKUP($A38,TableHandbook[],5,FALSE)=0,"",VLOOKUP($A38,TableHandbook[],5,FALSE)),"")</f>
        <v/>
      </c>
      <c r="H38" s="67" t="str">
        <f>IFERROR(VLOOKUP($A38,TableHandbook[],H$2,FALSE),"")</f>
        <v/>
      </c>
      <c r="I38" s="56" t="str">
        <f>IFERROR(VLOOKUP($A38,TableHandbook[],I$2,FALSE),"")</f>
        <v/>
      </c>
      <c r="J38" s="56" t="str">
        <f>IFERROR(VLOOKUP($A38,TableHandbook[],J$2,FALSE),"")</f>
        <v/>
      </c>
      <c r="K38" s="68" t="str">
        <f>IFERROR(VLOOKUP($A38,TableHandbook[],K$2,FALSE),"")</f>
        <v/>
      </c>
      <c r="L38" s="57"/>
      <c r="M38" s="142">
        <v>14</v>
      </c>
      <c r="N38" s="25"/>
      <c r="O38" s="25"/>
      <c r="P38" s="25"/>
      <c r="Q38" s="25"/>
      <c r="R38" s="25"/>
      <c r="S38" s="25"/>
      <c r="T38" s="25"/>
      <c r="U38" s="25"/>
      <c r="V38" s="25"/>
      <c r="W38" s="25"/>
    </row>
    <row r="39" spans="1:23" x14ac:dyDescent="0.25">
      <c r="A39" s="199" t="str">
        <f t="shared" si="3"/>
        <v/>
      </c>
      <c r="B39" s="125" t="str">
        <f>IFERROR(IF(VLOOKUP($A39,TableHandbook[],2,FALSE)=0,"",VLOOKUP($A39,TableHandbook[],2,FALSE)),"")</f>
        <v/>
      </c>
      <c r="C39" s="125" t="str">
        <f>IFERROR(IF(VLOOKUP($A39,TableHandbook[],3,FALSE)=0,"",VLOOKUP($A39,TableHandbook[],3,FALSE)),"")</f>
        <v/>
      </c>
      <c r="D39" s="49" t="str">
        <f>IFERROR(IF(VLOOKUP($A39,TableHandbook[],4,FALSE)=0,"",VLOOKUP($A39,TableHandbook[],4,FALSE)),"")</f>
        <v/>
      </c>
      <c r="E39" s="50"/>
      <c r="F39" s="51" t="str">
        <f>IFERROR(IF(VLOOKUP($A39,TableHandbook[],6,FALSE)=0,"",VLOOKUP($A39,TableHandbook[],6,FALSE)),"")</f>
        <v/>
      </c>
      <c r="G39" s="51" t="str">
        <f>IFERROR(IF(VLOOKUP($A39,TableHandbook[],5,FALSE)=0,"",VLOOKUP($A39,TableHandbook[],5,FALSE)),"")</f>
        <v/>
      </c>
      <c r="H39" s="67" t="str">
        <f>IFERROR(VLOOKUP($A39,TableHandbook[],H$2,FALSE),"")</f>
        <v/>
      </c>
      <c r="I39" s="56" t="str">
        <f>IFERROR(VLOOKUP($A39,TableHandbook[],I$2,FALSE),"")</f>
        <v/>
      </c>
      <c r="J39" s="56" t="str">
        <f>IFERROR(VLOOKUP($A39,TableHandbook[],J$2,FALSE),"")</f>
        <v/>
      </c>
      <c r="K39" s="68" t="str">
        <f>IFERROR(VLOOKUP($A39,TableHandbook[],K$2,FALSE),"")</f>
        <v/>
      </c>
      <c r="L39" s="57"/>
      <c r="M39" s="142">
        <v>15</v>
      </c>
      <c r="N39" s="25"/>
      <c r="O39" s="25"/>
      <c r="P39" s="25"/>
      <c r="Q39" s="25"/>
      <c r="R39" s="25"/>
      <c r="S39" s="25"/>
      <c r="T39" s="25"/>
      <c r="U39" s="25"/>
      <c r="V39" s="25"/>
      <c r="W39" s="25"/>
    </row>
    <row r="40" spans="1:23" x14ac:dyDescent="0.25">
      <c r="A40" s="199" t="str">
        <f t="shared" si="3"/>
        <v/>
      </c>
      <c r="B40" s="125" t="str">
        <f>IFERROR(IF(VLOOKUP($A40,TableHandbook[],2,FALSE)=0,"",VLOOKUP($A40,TableHandbook[],2,FALSE)),"")</f>
        <v/>
      </c>
      <c r="C40" s="125" t="str">
        <f>IFERROR(IF(VLOOKUP($A40,TableHandbook[],3,FALSE)=0,"",VLOOKUP($A40,TableHandbook[],3,FALSE)),"")</f>
        <v/>
      </c>
      <c r="D40" s="49" t="str">
        <f>IFERROR(IF(VLOOKUP($A40,TableHandbook[],4,FALSE)=0,"",VLOOKUP($A40,TableHandbook[],4,FALSE)),"")</f>
        <v/>
      </c>
      <c r="E40" s="50"/>
      <c r="F40" s="51" t="str">
        <f>IFERROR(IF(VLOOKUP($A40,TableHandbook[],6,FALSE)=0,"",VLOOKUP($A40,TableHandbook[],6,FALSE)),"")</f>
        <v/>
      </c>
      <c r="G40" s="51" t="str">
        <f>IFERROR(IF(VLOOKUP($A40,TableHandbook[],5,FALSE)=0,"",VLOOKUP($A40,TableHandbook[],5,FALSE)),"")</f>
        <v/>
      </c>
      <c r="H40" s="67" t="str">
        <f>IFERROR(VLOOKUP($A40,TableHandbook[],H$2,FALSE),"")</f>
        <v/>
      </c>
      <c r="I40" s="56" t="str">
        <f>IFERROR(VLOOKUP($A40,TableHandbook[],I$2,FALSE),"")</f>
        <v/>
      </c>
      <c r="J40" s="56" t="str">
        <f>IFERROR(VLOOKUP($A40,TableHandbook[],J$2,FALSE),"")</f>
        <v/>
      </c>
      <c r="K40" s="68" t="str">
        <f>IFERROR(VLOOKUP($A40,TableHandbook[],K$2,FALSE),"")</f>
        <v/>
      </c>
      <c r="L40" s="57"/>
      <c r="M40" s="142">
        <v>16</v>
      </c>
      <c r="N40" s="25"/>
      <c r="O40" s="25"/>
      <c r="P40" s="25"/>
      <c r="Q40" s="25"/>
      <c r="R40" s="25"/>
      <c r="S40" s="25"/>
      <c r="T40" s="25"/>
      <c r="U40" s="25"/>
      <c r="V40" s="25"/>
      <c r="W40" s="25"/>
    </row>
    <row r="41" spans="1:23" x14ac:dyDescent="0.25">
      <c r="A41" s="199" t="str">
        <f t="shared" si="3"/>
        <v/>
      </c>
      <c r="B41" s="125" t="str">
        <f>IFERROR(IF(VLOOKUP($A41,TableHandbook[],2,FALSE)=0,"",VLOOKUP($A41,TableHandbook[],2,FALSE)),"")</f>
        <v/>
      </c>
      <c r="C41" s="125" t="str">
        <f>IFERROR(IF(VLOOKUP($A41,TableHandbook[],3,FALSE)=0,"",VLOOKUP($A41,TableHandbook[],3,FALSE)),"")</f>
        <v/>
      </c>
      <c r="D41" s="49" t="str">
        <f>IFERROR(IF(VLOOKUP($A41,TableHandbook[],4,FALSE)=0,"",VLOOKUP($A41,TableHandbook[],4,FALSE)),"")</f>
        <v/>
      </c>
      <c r="E41" s="50"/>
      <c r="F41" s="51" t="str">
        <f>IFERROR(IF(VLOOKUP($A41,TableHandbook[],6,FALSE)=0,"",VLOOKUP($A41,TableHandbook[],6,FALSE)),"")</f>
        <v/>
      </c>
      <c r="G41" s="51" t="str">
        <f>IFERROR(IF(VLOOKUP($A41,TableHandbook[],5,FALSE)=0,"",VLOOKUP($A41,TableHandbook[],5,FALSE)),"")</f>
        <v/>
      </c>
      <c r="H41" s="67" t="str">
        <f>IFERROR(VLOOKUP($A41,TableHandbook[],H$2,FALSE),"")</f>
        <v/>
      </c>
      <c r="I41" s="56" t="str">
        <f>IFERROR(VLOOKUP($A41,TableHandbook[],I$2,FALSE),"")</f>
        <v/>
      </c>
      <c r="J41" s="56" t="str">
        <f>IFERROR(VLOOKUP($A41,TableHandbook[],J$2,FALSE),"")</f>
        <v/>
      </c>
      <c r="K41" s="68" t="str">
        <f>IFERROR(VLOOKUP($A41,TableHandbook[],K$2,FALSE),"")</f>
        <v/>
      </c>
      <c r="L41" s="57"/>
      <c r="M41" s="142">
        <v>17</v>
      </c>
      <c r="N41" s="25"/>
      <c r="O41" s="25"/>
      <c r="P41" s="25"/>
      <c r="Q41" s="25"/>
      <c r="R41" s="25"/>
      <c r="S41" s="25"/>
      <c r="T41" s="25"/>
      <c r="U41" s="25"/>
      <c r="V41" s="25"/>
      <c r="W41" s="25"/>
    </row>
    <row r="42" spans="1:23" x14ac:dyDescent="0.25">
      <c r="A42" s="199" t="str">
        <f t="shared" si="3"/>
        <v/>
      </c>
      <c r="B42" s="125" t="str">
        <f>IFERROR(IF(VLOOKUP($A42,TableHandbook[],2,FALSE)=0,"",VLOOKUP($A42,TableHandbook[],2,FALSE)),"")</f>
        <v/>
      </c>
      <c r="C42" s="125" t="str">
        <f>IFERROR(IF(VLOOKUP($A42,TableHandbook[],3,FALSE)=0,"",VLOOKUP($A42,TableHandbook[],3,FALSE)),"")</f>
        <v/>
      </c>
      <c r="D42" s="49" t="str">
        <f>IFERROR(IF(VLOOKUP($A42,TableHandbook[],4,FALSE)=0,"",VLOOKUP($A42,TableHandbook[],4,FALSE)),"")</f>
        <v/>
      </c>
      <c r="E42" s="50"/>
      <c r="F42" s="51" t="str">
        <f>IFERROR(IF(VLOOKUP($A42,TableHandbook[],6,FALSE)=0,"",VLOOKUP($A42,TableHandbook[],6,FALSE)),"")</f>
        <v/>
      </c>
      <c r="G42" s="51" t="str">
        <f>IFERROR(IF(VLOOKUP($A42,TableHandbook[],5,FALSE)=0,"",VLOOKUP($A42,TableHandbook[],5,FALSE)),"")</f>
        <v/>
      </c>
      <c r="H42" s="67" t="str">
        <f>IFERROR(VLOOKUP($A42,TableHandbook[],H$2,FALSE),"")</f>
        <v/>
      </c>
      <c r="I42" s="56" t="str">
        <f>IFERROR(VLOOKUP($A42,TableHandbook[],I$2,FALSE),"")</f>
        <v/>
      </c>
      <c r="J42" s="56" t="str">
        <f>IFERROR(VLOOKUP($A42,TableHandbook[],J$2,FALSE),"")</f>
        <v/>
      </c>
      <c r="K42" s="68" t="str">
        <f>IFERROR(VLOOKUP($A42,TableHandbook[],K$2,FALSE),"")</f>
        <v/>
      </c>
      <c r="L42" s="57"/>
      <c r="M42" s="142">
        <v>18</v>
      </c>
      <c r="N42" s="25"/>
      <c r="O42" s="25"/>
      <c r="P42" s="25"/>
      <c r="Q42" s="25"/>
      <c r="R42" s="25"/>
      <c r="S42" s="25"/>
      <c r="T42" s="25"/>
      <c r="U42" s="25"/>
      <c r="V42" s="25"/>
      <c r="W42" s="25"/>
    </row>
    <row r="43" spans="1:23" x14ac:dyDescent="0.25">
      <c r="A43" s="199" t="str">
        <f t="shared" si="3"/>
        <v/>
      </c>
      <c r="B43" s="125" t="str">
        <f>IFERROR(IF(VLOOKUP($A43,TableHandbook[],2,FALSE)=0,"",VLOOKUP($A43,TableHandbook[],2,FALSE)),"")</f>
        <v/>
      </c>
      <c r="C43" s="125" t="str">
        <f>IFERROR(IF(VLOOKUP($A43,TableHandbook[],3,FALSE)=0,"",VLOOKUP($A43,TableHandbook[],3,FALSE)),"")</f>
        <v/>
      </c>
      <c r="D43" s="49" t="str">
        <f>IFERROR(IF(VLOOKUP($A43,TableHandbook[],4,FALSE)=0,"",VLOOKUP($A43,TableHandbook[],4,FALSE)),"")</f>
        <v/>
      </c>
      <c r="E43" s="50"/>
      <c r="F43" s="51" t="str">
        <f>IFERROR(IF(VLOOKUP($A43,TableHandbook[],6,FALSE)=0,"",VLOOKUP($A43,TableHandbook[],6,FALSE)),"")</f>
        <v/>
      </c>
      <c r="G43" s="51" t="str">
        <f>IFERROR(IF(VLOOKUP($A43,TableHandbook[],5,FALSE)=0,"",VLOOKUP($A43,TableHandbook[],5,FALSE)),"")</f>
        <v/>
      </c>
      <c r="H43" s="67" t="str">
        <f>IFERROR(VLOOKUP($A43,TableHandbook[],H$2,FALSE),"")</f>
        <v/>
      </c>
      <c r="I43" s="56" t="str">
        <f>IFERROR(VLOOKUP($A43,TableHandbook[],I$2,FALSE),"")</f>
        <v/>
      </c>
      <c r="J43" s="56" t="str">
        <f>IFERROR(VLOOKUP($A43,TableHandbook[],J$2,FALSE),"")</f>
        <v/>
      </c>
      <c r="K43" s="68" t="str">
        <f>IFERROR(VLOOKUP($A43,TableHandbook[],K$2,FALSE),"")</f>
        <v/>
      </c>
      <c r="L43" s="57"/>
      <c r="M43" s="142">
        <v>19</v>
      </c>
      <c r="N43" s="25"/>
      <c r="O43" s="25"/>
      <c r="P43" s="25"/>
      <c r="Q43" s="25"/>
      <c r="R43" s="25"/>
      <c r="S43" s="25"/>
      <c r="T43" s="25"/>
      <c r="U43" s="25"/>
      <c r="V43" s="25"/>
      <c r="W43" s="25"/>
    </row>
    <row r="44" spans="1:23" x14ac:dyDescent="0.25">
      <c r="A44" s="199" t="str">
        <f t="shared" si="3"/>
        <v/>
      </c>
      <c r="B44" s="125" t="str">
        <f>IFERROR(IF(VLOOKUP($A44,TableHandbook[],2,FALSE)=0,"",VLOOKUP($A44,TableHandbook[],2,FALSE)),"")</f>
        <v/>
      </c>
      <c r="C44" s="125" t="str">
        <f>IFERROR(IF(VLOOKUP($A44,TableHandbook[],3,FALSE)=0,"",VLOOKUP($A44,TableHandbook[],3,FALSE)),"")</f>
        <v/>
      </c>
      <c r="D44" s="49" t="str">
        <f>IFERROR(IF(VLOOKUP($A44,TableHandbook[],4,FALSE)=0,"",VLOOKUP($A44,TableHandbook[],4,FALSE)),"")</f>
        <v/>
      </c>
      <c r="E44" s="50"/>
      <c r="F44" s="51" t="str">
        <f>IFERROR(IF(VLOOKUP($A44,TableHandbook[],6,FALSE)=0,"",VLOOKUP($A44,TableHandbook[],6,FALSE)),"")</f>
        <v/>
      </c>
      <c r="G44" s="51" t="str">
        <f>IFERROR(IF(VLOOKUP($A44,TableHandbook[],5,FALSE)=0,"",VLOOKUP($A44,TableHandbook[],5,FALSE)),"")</f>
        <v/>
      </c>
      <c r="H44" s="67" t="str">
        <f>IFERROR(VLOOKUP($A44,TableHandbook[],H$2,FALSE),"")</f>
        <v/>
      </c>
      <c r="I44" s="56" t="str">
        <f>IFERROR(VLOOKUP($A44,TableHandbook[],I$2,FALSE),"")</f>
        <v/>
      </c>
      <c r="J44" s="56" t="str">
        <f>IFERROR(VLOOKUP($A44,TableHandbook[],J$2,FALSE),"")</f>
        <v/>
      </c>
      <c r="K44" s="68" t="str">
        <f>IFERROR(VLOOKUP($A44,TableHandbook[],K$2,FALSE),"")</f>
        <v/>
      </c>
      <c r="L44" s="57"/>
      <c r="M44" s="142">
        <v>20</v>
      </c>
      <c r="N44" s="25"/>
      <c r="O44" s="25"/>
      <c r="P44" s="25"/>
      <c r="Q44" s="25"/>
      <c r="R44" s="25"/>
      <c r="S44" s="25"/>
      <c r="T44" s="25"/>
      <c r="U44" s="25"/>
      <c r="V44" s="25"/>
      <c r="W44" s="25"/>
    </row>
    <row r="45" spans="1:23" x14ac:dyDescent="0.25">
      <c r="A45" s="199" t="str">
        <f t="shared" si="3"/>
        <v/>
      </c>
      <c r="B45" s="125" t="str">
        <f>IFERROR(IF(VLOOKUP($A45,TableHandbook[],2,FALSE)=0,"",VLOOKUP($A45,TableHandbook[],2,FALSE)),"")</f>
        <v/>
      </c>
      <c r="C45" s="125" t="str">
        <f>IFERROR(IF(VLOOKUP($A45,TableHandbook[],3,FALSE)=0,"",VLOOKUP($A45,TableHandbook[],3,FALSE)),"")</f>
        <v/>
      </c>
      <c r="D45" s="49" t="str">
        <f>IFERROR(IF(VLOOKUP($A45,TableHandbook[],4,FALSE)=0,"",VLOOKUP($A45,TableHandbook[],4,FALSE)),"")</f>
        <v/>
      </c>
      <c r="E45" s="50"/>
      <c r="F45" s="51" t="str">
        <f>IFERROR(IF(VLOOKUP($A45,TableHandbook[],6,FALSE)=0,"",VLOOKUP($A45,TableHandbook[],6,FALSE)),"")</f>
        <v/>
      </c>
      <c r="G45" s="51" t="str">
        <f>IFERROR(IF(VLOOKUP($A45,TableHandbook[],5,FALSE)=0,"",VLOOKUP($A45,TableHandbook[],5,FALSE)),"")</f>
        <v/>
      </c>
      <c r="H45" s="67" t="str">
        <f>IFERROR(VLOOKUP($A45,TableHandbook[],H$2,FALSE),"")</f>
        <v/>
      </c>
      <c r="I45" s="56" t="str">
        <f>IFERROR(VLOOKUP($A45,TableHandbook[],I$2,FALSE),"")</f>
        <v/>
      </c>
      <c r="J45" s="56" t="str">
        <f>IFERROR(VLOOKUP($A45,TableHandbook[],J$2,FALSE),"")</f>
        <v/>
      </c>
      <c r="K45" s="68" t="str">
        <f>IFERROR(VLOOKUP($A45,TableHandbook[],K$2,FALSE),"")</f>
        <v/>
      </c>
      <c r="L45" s="57"/>
      <c r="M45" s="142">
        <v>21</v>
      </c>
      <c r="N45" s="25"/>
      <c r="O45" s="25"/>
      <c r="P45" s="25"/>
      <c r="Q45" s="25"/>
      <c r="R45" s="25"/>
      <c r="S45" s="25"/>
      <c r="T45" s="25"/>
      <c r="U45" s="25"/>
      <c r="V45" s="25"/>
      <c r="W45" s="25"/>
    </row>
    <row r="46" spans="1:23" x14ac:dyDescent="0.25">
      <c r="A46" s="199" t="str">
        <f t="shared" si="3"/>
        <v/>
      </c>
      <c r="B46" s="125" t="str">
        <f>IFERROR(IF(VLOOKUP($A46,TableHandbook[],2,FALSE)=0,"",VLOOKUP($A46,TableHandbook[],2,FALSE)),"")</f>
        <v/>
      </c>
      <c r="C46" s="125" t="str">
        <f>IFERROR(IF(VLOOKUP($A46,TableHandbook[],3,FALSE)=0,"",VLOOKUP($A46,TableHandbook[],3,FALSE)),"")</f>
        <v/>
      </c>
      <c r="D46" s="49" t="str">
        <f>IFERROR(IF(VLOOKUP($A46,TableHandbook[],4,FALSE)=0,"",VLOOKUP($A46,TableHandbook[],4,FALSE)),"")</f>
        <v/>
      </c>
      <c r="E46" s="50"/>
      <c r="F46" s="51" t="str">
        <f>IFERROR(IF(VLOOKUP($A46,TableHandbook[],6,FALSE)=0,"",VLOOKUP($A46,TableHandbook[],6,FALSE)),"")</f>
        <v/>
      </c>
      <c r="G46" s="51" t="str">
        <f>IFERROR(IF(VLOOKUP($A46,TableHandbook[],5,FALSE)=0,"",VLOOKUP($A46,TableHandbook[],5,FALSE)),"")</f>
        <v/>
      </c>
      <c r="H46" s="67" t="str">
        <f>IFERROR(VLOOKUP($A46,TableHandbook[],H$2,FALSE),"")</f>
        <v/>
      </c>
      <c r="I46" s="56" t="str">
        <f>IFERROR(VLOOKUP($A46,TableHandbook[],I$2,FALSE),"")</f>
        <v/>
      </c>
      <c r="J46" s="56" t="str">
        <f>IFERROR(VLOOKUP($A46,TableHandbook[],J$2,FALSE),"")</f>
        <v/>
      </c>
      <c r="K46" s="68" t="str">
        <f>IFERROR(VLOOKUP($A46,TableHandbook[],K$2,FALSE),"")</f>
        <v/>
      </c>
      <c r="L46" s="57"/>
      <c r="M46" s="142">
        <v>22</v>
      </c>
      <c r="N46" s="25"/>
      <c r="O46" s="25"/>
      <c r="P46" s="25"/>
      <c r="Q46" s="25"/>
      <c r="R46" s="25"/>
      <c r="S46" s="25"/>
      <c r="T46" s="25"/>
      <c r="U46" s="25"/>
      <c r="V46" s="25"/>
      <c r="W46" s="25"/>
    </row>
    <row r="47" spans="1:23" x14ac:dyDescent="0.25">
      <c r="A47" s="199" t="str">
        <f t="shared" si="3"/>
        <v/>
      </c>
      <c r="B47" s="125" t="str">
        <f>IFERROR(IF(VLOOKUP($A47,TableHandbook[],2,FALSE)=0,"",VLOOKUP($A47,TableHandbook[],2,FALSE)),"")</f>
        <v/>
      </c>
      <c r="C47" s="125" t="str">
        <f>IFERROR(IF(VLOOKUP($A47,TableHandbook[],3,FALSE)=0,"",VLOOKUP($A47,TableHandbook[],3,FALSE)),"")</f>
        <v/>
      </c>
      <c r="D47" s="49" t="str">
        <f>IFERROR(IF(VLOOKUP($A47,TableHandbook[],4,FALSE)=0,"",VLOOKUP($A47,TableHandbook[],4,FALSE)),"")</f>
        <v/>
      </c>
      <c r="E47" s="50"/>
      <c r="F47" s="51" t="str">
        <f>IFERROR(IF(VLOOKUP($A47,TableHandbook[],6,FALSE)=0,"",VLOOKUP($A47,TableHandbook[],6,FALSE)),"")</f>
        <v/>
      </c>
      <c r="G47" s="51" t="str">
        <f>IFERROR(IF(VLOOKUP($A47,TableHandbook[],5,FALSE)=0,"",VLOOKUP($A47,TableHandbook[],5,FALSE)),"")</f>
        <v/>
      </c>
      <c r="H47" s="67" t="str">
        <f>IFERROR(VLOOKUP($A47,TableHandbook[],H$2,FALSE),"")</f>
        <v/>
      </c>
      <c r="I47" s="56" t="str">
        <f>IFERROR(VLOOKUP($A47,TableHandbook[],I$2,FALSE),"")</f>
        <v/>
      </c>
      <c r="J47" s="56" t="str">
        <f>IFERROR(VLOOKUP($A47,TableHandbook[],J$2,FALSE),"")</f>
        <v/>
      </c>
      <c r="K47" s="68" t="str">
        <f>IFERROR(VLOOKUP($A47,TableHandbook[],K$2,FALSE),"")</f>
        <v/>
      </c>
      <c r="L47" s="57"/>
      <c r="M47" s="142">
        <v>23</v>
      </c>
      <c r="N47" s="25"/>
      <c r="O47" s="25"/>
      <c r="P47" s="25"/>
      <c r="Q47" s="25"/>
      <c r="R47" s="25"/>
      <c r="S47" s="25"/>
      <c r="T47" s="25"/>
      <c r="U47" s="25"/>
      <c r="V47" s="25"/>
      <c r="W47" s="25"/>
    </row>
    <row r="48" spans="1:23" x14ac:dyDescent="0.25">
      <c r="A48" s="199" t="str">
        <f t="shared" si="3"/>
        <v/>
      </c>
      <c r="B48" s="125" t="str">
        <f>IFERROR(IF(VLOOKUP($A48,TableHandbook[],2,FALSE)=0,"",VLOOKUP($A48,TableHandbook[],2,FALSE)),"")</f>
        <v/>
      </c>
      <c r="C48" s="125" t="str">
        <f>IFERROR(IF(VLOOKUP($A48,TableHandbook[],3,FALSE)=0,"",VLOOKUP($A48,TableHandbook[],3,FALSE)),"")</f>
        <v/>
      </c>
      <c r="D48" s="49" t="str">
        <f>IFERROR(IF(VLOOKUP($A48,TableHandbook[],4,FALSE)=0,"",VLOOKUP($A48,TableHandbook[],4,FALSE)),"")</f>
        <v/>
      </c>
      <c r="E48" s="50"/>
      <c r="F48" s="51" t="str">
        <f>IFERROR(IF(VLOOKUP($A48,TableHandbook[],6,FALSE)=0,"",VLOOKUP($A48,TableHandbook[],6,FALSE)),"")</f>
        <v/>
      </c>
      <c r="G48" s="51" t="str">
        <f>IFERROR(IF(VLOOKUP($A48,TableHandbook[],5,FALSE)=0,"",VLOOKUP($A48,TableHandbook[],5,FALSE)),"")</f>
        <v/>
      </c>
      <c r="H48" s="67" t="str">
        <f>IFERROR(VLOOKUP($A48,TableHandbook[],H$2,FALSE),"")</f>
        <v/>
      </c>
      <c r="I48" s="56" t="str">
        <f>IFERROR(VLOOKUP($A48,TableHandbook[],I$2,FALSE),"")</f>
        <v/>
      </c>
      <c r="J48" s="56" t="str">
        <f>IFERROR(VLOOKUP($A48,TableHandbook[],J$2,FALSE),"")</f>
        <v/>
      </c>
      <c r="K48" s="68" t="str">
        <f>IFERROR(VLOOKUP($A48,TableHandbook[],K$2,FALSE),"")</f>
        <v/>
      </c>
      <c r="L48" s="57"/>
      <c r="M48" s="142">
        <v>24</v>
      </c>
      <c r="N48" s="25"/>
      <c r="O48" s="25"/>
      <c r="P48" s="25"/>
      <c r="Q48" s="25"/>
      <c r="R48" s="25"/>
      <c r="S48" s="25"/>
      <c r="T48" s="25"/>
      <c r="U48" s="25"/>
      <c r="V48" s="25"/>
      <c r="W48" s="25"/>
    </row>
    <row r="49" spans="1:23" x14ac:dyDescent="0.25">
      <c r="A49" s="199" t="str">
        <f t="shared" si="3"/>
        <v/>
      </c>
      <c r="B49" s="125" t="str">
        <f>IFERROR(IF(VLOOKUP($A49,TableHandbook[],2,FALSE)=0,"",VLOOKUP($A49,TableHandbook[],2,FALSE)),"")</f>
        <v/>
      </c>
      <c r="C49" s="125" t="str">
        <f>IFERROR(IF(VLOOKUP($A49,TableHandbook[],3,FALSE)=0,"",VLOOKUP($A49,TableHandbook[],3,FALSE)),"")</f>
        <v/>
      </c>
      <c r="D49" s="49" t="str">
        <f>IFERROR(IF(VLOOKUP($A49,TableHandbook[],4,FALSE)=0,"",VLOOKUP($A49,TableHandbook[],4,FALSE)),"")</f>
        <v/>
      </c>
      <c r="E49" s="50"/>
      <c r="F49" s="51" t="str">
        <f>IFERROR(IF(VLOOKUP($A49,TableHandbook[],6,FALSE)=0,"",VLOOKUP($A49,TableHandbook[],6,FALSE)),"")</f>
        <v/>
      </c>
      <c r="G49" s="51" t="str">
        <f>IFERROR(IF(VLOOKUP($A49,TableHandbook[],5,FALSE)=0,"",VLOOKUP($A49,TableHandbook[],5,FALSE)),"")</f>
        <v/>
      </c>
      <c r="H49" s="67" t="str">
        <f>IFERROR(VLOOKUP($A49,TableHandbook[],H$2,FALSE),"")</f>
        <v/>
      </c>
      <c r="I49" s="56" t="str">
        <f>IFERROR(VLOOKUP($A49,TableHandbook[],I$2,FALSE),"")</f>
        <v/>
      </c>
      <c r="J49" s="56" t="str">
        <f>IFERROR(VLOOKUP($A49,TableHandbook[],J$2,FALSE),"")</f>
        <v/>
      </c>
      <c r="K49" s="68" t="str">
        <f>IFERROR(VLOOKUP($A49,TableHandbook[],K$2,FALSE),"")</f>
        <v/>
      </c>
      <c r="L49" s="57"/>
      <c r="M49" s="142">
        <v>25</v>
      </c>
      <c r="N49" s="25"/>
      <c r="O49" s="25"/>
      <c r="P49" s="25"/>
      <c r="Q49" s="25"/>
      <c r="R49" s="25"/>
      <c r="S49" s="25"/>
      <c r="T49" s="25"/>
      <c r="U49" s="25"/>
      <c r="V49" s="25"/>
      <c r="W49" s="25"/>
    </row>
    <row r="50" spans="1:23" x14ac:dyDescent="0.25">
      <c r="A50" s="199" t="str">
        <f t="shared" si="3"/>
        <v/>
      </c>
      <c r="B50" s="125" t="str">
        <f>IFERROR(IF(VLOOKUP($A50,TableHandbook[],2,FALSE)=0,"",VLOOKUP($A50,TableHandbook[],2,FALSE)),"")</f>
        <v/>
      </c>
      <c r="C50" s="125" t="str">
        <f>IFERROR(IF(VLOOKUP($A50,TableHandbook[],3,FALSE)=0,"",VLOOKUP($A50,TableHandbook[],3,FALSE)),"")</f>
        <v/>
      </c>
      <c r="D50" s="49" t="str">
        <f>IFERROR(IF(VLOOKUP($A50,TableHandbook[],4,FALSE)=0,"",VLOOKUP($A50,TableHandbook[],4,FALSE)),"")</f>
        <v/>
      </c>
      <c r="E50" s="50"/>
      <c r="F50" s="51" t="str">
        <f>IFERROR(IF(VLOOKUP($A50,TableHandbook[],6,FALSE)=0,"",VLOOKUP($A50,TableHandbook[],6,FALSE)),"")</f>
        <v/>
      </c>
      <c r="G50" s="51" t="str">
        <f>IFERROR(IF(VLOOKUP($A50,TableHandbook[],5,FALSE)=0,"",VLOOKUP($A50,TableHandbook[],5,FALSE)),"")</f>
        <v/>
      </c>
      <c r="H50" s="67" t="str">
        <f>IFERROR(VLOOKUP($A50,TableHandbook[],H$2,FALSE),"")</f>
        <v/>
      </c>
      <c r="I50" s="56" t="str">
        <f>IFERROR(VLOOKUP($A50,TableHandbook[],I$2,FALSE),"")</f>
        <v/>
      </c>
      <c r="J50" s="56" t="str">
        <f>IFERROR(VLOOKUP($A50,TableHandbook[],J$2,FALSE),"")</f>
        <v/>
      </c>
      <c r="K50" s="68" t="str">
        <f>IFERROR(VLOOKUP($A50,TableHandbook[],K$2,FALSE),"")</f>
        <v/>
      </c>
      <c r="L50" s="57"/>
      <c r="M50" s="142">
        <v>26</v>
      </c>
      <c r="N50" s="25"/>
      <c r="O50" s="25"/>
      <c r="P50" s="25"/>
      <c r="Q50" s="25"/>
      <c r="R50" s="25"/>
      <c r="S50" s="25"/>
      <c r="T50" s="25"/>
      <c r="U50" s="25"/>
      <c r="V50" s="25"/>
      <c r="W50" s="25"/>
    </row>
    <row r="51" spans="1:23" x14ac:dyDescent="0.25">
      <c r="A51" s="199" t="str">
        <f t="shared" si="3"/>
        <v/>
      </c>
      <c r="B51" s="125" t="str">
        <f>IFERROR(IF(VLOOKUP($A51,TableHandbook[],2,FALSE)=0,"",VLOOKUP($A51,TableHandbook[],2,FALSE)),"")</f>
        <v/>
      </c>
      <c r="C51" s="125" t="str">
        <f>IFERROR(IF(VLOOKUP($A51,TableHandbook[],3,FALSE)=0,"",VLOOKUP($A51,TableHandbook[],3,FALSE)),"")</f>
        <v/>
      </c>
      <c r="D51" s="49" t="str">
        <f>IFERROR(IF(VLOOKUP($A51,TableHandbook[],4,FALSE)=0,"",VLOOKUP($A51,TableHandbook[],4,FALSE)),"")</f>
        <v/>
      </c>
      <c r="E51" s="50"/>
      <c r="F51" s="51" t="str">
        <f>IFERROR(IF(VLOOKUP($A51,TableHandbook[],6,FALSE)=0,"",VLOOKUP($A51,TableHandbook[],6,FALSE)),"")</f>
        <v/>
      </c>
      <c r="G51" s="51" t="str">
        <f>IFERROR(IF(VLOOKUP($A51,TableHandbook[],5,FALSE)=0,"",VLOOKUP($A51,TableHandbook[],5,FALSE)),"")</f>
        <v/>
      </c>
      <c r="H51" s="67" t="str">
        <f>IFERROR(VLOOKUP($A51,TableHandbook[],H$2,FALSE),"")</f>
        <v/>
      </c>
      <c r="I51" s="56" t="str">
        <f>IFERROR(VLOOKUP($A51,TableHandbook[],I$2,FALSE),"")</f>
        <v/>
      </c>
      <c r="J51" s="56" t="str">
        <f>IFERROR(VLOOKUP($A51,TableHandbook[],J$2,FALSE),"")</f>
        <v/>
      </c>
      <c r="K51" s="68" t="str">
        <f>IFERROR(VLOOKUP($A51,TableHandbook[],K$2,FALSE),"")</f>
        <v/>
      </c>
      <c r="L51" s="57"/>
      <c r="M51" s="142">
        <v>27</v>
      </c>
      <c r="N51" s="25"/>
      <c r="O51" s="25"/>
      <c r="P51" s="25"/>
      <c r="Q51" s="25"/>
      <c r="R51" s="25"/>
      <c r="S51" s="25"/>
      <c r="T51" s="25"/>
      <c r="U51" s="25"/>
      <c r="V51" s="25"/>
      <c r="W51" s="25"/>
    </row>
    <row r="52" spans="1:23" x14ac:dyDescent="0.25">
      <c r="A52" s="199" t="str">
        <f t="shared" si="3"/>
        <v/>
      </c>
      <c r="B52" s="125" t="str">
        <f>IFERROR(IF(VLOOKUP($A52,TableHandbook[],2,FALSE)=0,"",VLOOKUP($A52,TableHandbook[],2,FALSE)),"")</f>
        <v/>
      </c>
      <c r="C52" s="125" t="str">
        <f>IFERROR(IF(VLOOKUP($A52,TableHandbook[],3,FALSE)=0,"",VLOOKUP($A52,TableHandbook[],3,FALSE)),"")</f>
        <v/>
      </c>
      <c r="D52" s="49" t="str">
        <f>IFERROR(IF(VLOOKUP($A52,TableHandbook[],4,FALSE)=0,"",VLOOKUP($A52,TableHandbook[],4,FALSE)),"")</f>
        <v/>
      </c>
      <c r="E52" s="50"/>
      <c r="F52" s="51" t="str">
        <f>IFERROR(IF(VLOOKUP($A52,TableHandbook[],6,FALSE)=0,"",VLOOKUP($A52,TableHandbook[],6,FALSE)),"")</f>
        <v/>
      </c>
      <c r="G52" s="51" t="str">
        <f>IFERROR(IF(VLOOKUP($A52,TableHandbook[],5,FALSE)=0,"",VLOOKUP($A52,TableHandbook[],5,FALSE)),"")</f>
        <v/>
      </c>
      <c r="H52" s="67" t="str">
        <f>IFERROR(VLOOKUP($A52,TableHandbook[],H$2,FALSE),"")</f>
        <v/>
      </c>
      <c r="I52" s="56" t="str">
        <f>IFERROR(VLOOKUP($A52,TableHandbook[],I$2,FALSE),"")</f>
        <v/>
      </c>
      <c r="J52" s="56" t="str">
        <f>IFERROR(VLOOKUP($A52,TableHandbook[],J$2,FALSE),"")</f>
        <v/>
      </c>
      <c r="K52" s="68" t="str">
        <f>IFERROR(VLOOKUP($A52,TableHandbook[],K$2,FALSE),"")</f>
        <v/>
      </c>
      <c r="L52" s="57"/>
      <c r="M52" s="142">
        <v>28</v>
      </c>
      <c r="N52" s="25"/>
      <c r="O52" s="25"/>
      <c r="P52" s="25"/>
      <c r="Q52" s="25"/>
      <c r="R52" s="25"/>
      <c r="S52" s="25"/>
      <c r="T52" s="25"/>
      <c r="U52" s="25"/>
      <c r="V52" s="25"/>
      <c r="W52" s="25"/>
    </row>
    <row r="53" spans="1:23" x14ac:dyDescent="0.25">
      <c r="A53" s="199" t="str">
        <f t="shared" si="3"/>
        <v/>
      </c>
      <c r="B53" s="125" t="str">
        <f>IFERROR(IF(VLOOKUP($A53,TableHandbook[],2,FALSE)=0,"",VLOOKUP($A53,TableHandbook[],2,FALSE)),"")</f>
        <v/>
      </c>
      <c r="C53" s="125" t="str">
        <f>IFERROR(IF(VLOOKUP($A53,TableHandbook[],3,FALSE)=0,"",VLOOKUP($A53,TableHandbook[],3,FALSE)),"")</f>
        <v/>
      </c>
      <c r="D53" s="49" t="str">
        <f>IFERROR(IF(VLOOKUP($A53,TableHandbook[],4,FALSE)=0,"",VLOOKUP($A53,TableHandbook[],4,FALSE)),"")</f>
        <v/>
      </c>
      <c r="E53" s="50"/>
      <c r="F53" s="51" t="str">
        <f>IFERROR(IF(VLOOKUP($A53,TableHandbook[],6,FALSE)=0,"",VLOOKUP($A53,TableHandbook[],6,FALSE)),"")</f>
        <v/>
      </c>
      <c r="G53" s="51" t="str">
        <f>IFERROR(IF(VLOOKUP($A53,TableHandbook[],5,FALSE)=0,"",VLOOKUP($A53,TableHandbook[],5,FALSE)),"")</f>
        <v/>
      </c>
      <c r="H53" s="67" t="str">
        <f>IFERROR(VLOOKUP($A53,TableHandbook[],H$2,FALSE),"")</f>
        <v/>
      </c>
      <c r="I53" s="56" t="str">
        <f>IFERROR(VLOOKUP($A53,TableHandbook[],I$2,FALSE),"")</f>
        <v/>
      </c>
      <c r="J53" s="56" t="str">
        <f>IFERROR(VLOOKUP($A53,TableHandbook[],J$2,FALSE),"")</f>
        <v/>
      </c>
      <c r="K53" s="68" t="str">
        <f>IFERROR(VLOOKUP($A53,TableHandbook[],K$2,FALSE),"")</f>
        <v/>
      </c>
      <c r="L53" s="57"/>
      <c r="M53" s="142">
        <v>29</v>
      </c>
      <c r="N53" s="25"/>
      <c r="O53" s="25"/>
      <c r="P53" s="25"/>
      <c r="Q53" s="25"/>
      <c r="R53" s="25"/>
      <c r="S53" s="25"/>
      <c r="T53" s="25"/>
      <c r="U53" s="25"/>
      <c r="V53" s="25"/>
      <c r="W53" s="25"/>
    </row>
    <row r="54" spans="1:23" ht="15.75" x14ac:dyDescent="0.25">
      <c r="A54"/>
      <c r="B54"/>
      <c r="C54"/>
      <c r="D54"/>
      <c r="E54"/>
      <c r="F54"/>
      <c r="G54"/>
      <c r="H54"/>
      <c r="I54"/>
      <c r="J54"/>
      <c r="K54"/>
      <c r="L54"/>
      <c r="M54" s="142"/>
      <c r="N54" s="25"/>
      <c r="O54" s="25"/>
      <c r="P54" s="25"/>
      <c r="Q54" s="25"/>
      <c r="R54" s="25"/>
      <c r="S54" s="25"/>
      <c r="T54" s="25"/>
      <c r="U54" s="25"/>
      <c r="V54" s="25"/>
      <c r="W54" s="25"/>
    </row>
    <row r="55" spans="1:23" s="25" customFormat="1" ht="32.25" customHeight="1" x14ac:dyDescent="0.25">
      <c r="A55" s="320" t="s">
        <v>30</v>
      </c>
      <c r="B55" s="320"/>
      <c r="C55" s="320"/>
      <c r="D55" s="320"/>
      <c r="E55" s="320"/>
      <c r="F55" s="320"/>
      <c r="G55" s="320"/>
      <c r="H55" s="320"/>
      <c r="I55" s="320"/>
      <c r="J55" s="320"/>
      <c r="K55" s="320"/>
      <c r="L55" s="320"/>
    </row>
    <row r="56" spans="1:23" s="44" customFormat="1" ht="24.95" customHeight="1" x14ac:dyDescent="0.3">
      <c r="A56" s="40" t="s">
        <v>31</v>
      </c>
      <c r="B56" s="40"/>
      <c r="C56" s="40"/>
      <c r="D56" s="41"/>
      <c r="E56" s="41"/>
      <c r="F56" s="41"/>
      <c r="G56" s="41"/>
      <c r="H56" s="41"/>
      <c r="I56" s="41"/>
      <c r="J56" s="41"/>
      <c r="K56" s="41"/>
      <c r="L56" s="41"/>
      <c r="M56" s="145"/>
      <c r="N56" s="42"/>
      <c r="O56" s="42"/>
      <c r="P56" s="43"/>
      <c r="Q56" s="43"/>
      <c r="R56" s="43"/>
      <c r="S56" s="43"/>
      <c r="T56" s="43"/>
      <c r="U56" s="43"/>
      <c r="V56" s="43"/>
      <c r="W56" s="43"/>
    </row>
    <row r="57" spans="1:23" s="25" customFormat="1" ht="15" customHeight="1" x14ac:dyDescent="0.25">
      <c r="A57" s="45" t="s">
        <v>32</v>
      </c>
      <c r="B57" s="45"/>
      <c r="C57" s="45"/>
      <c r="D57" s="45"/>
      <c r="E57" s="52"/>
      <c r="F57" s="46"/>
      <c r="G57" s="53"/>
      <c r="H57" s="53"/>
      <c r="I57" s="53"/>
      <c r="J57" s="53"/>
      <c r="K57" s="53"/>
      <c r="L57" s="53" t="s">
        <v>33</v>
      </c>
    </row>
  </sheetData>
  <sheetProtection formatCells="0"/>
  <mergeCells count="2">
    <mergeCell ref="A3:D3"/>
    <mergeCell ref="A55:L55"/>
  </mergeCells>
  <conditionalFormatting sqref="D5:D6">
    <cfRule type="containsText" dxfId="443" priority="2" operator="containsText" text="Choose">
      <formula>NOT(ISERROR(SEARCH("Choose",D5)))</formula>
    </cfRule>
  </conditionalFormatting>
  <conditionalFormatting sqref="A9:L17 A19:L22 A26:L53">
    <cfRule type="expression" dxfId="442" priority="3">
      <formula>$A9=""</formula>
    </cfRule>
  </conditionalFormatting>
  <conditionalFormatting sqref="A26:L53">
    <cfRule type="expression" dxfId="441" priority="4">
      <formula>LEFT($D26,5)="Study"</formula>
    </cfRule>
  </conditionalFormatting>
  <conditionalFormatting sqref="H9:K22">
    <cfRule type="expression" dxfId="440" priority="1">
      <formula>$E9=LEFT(H$8,4)</formula>
    </cfRule>
  </conditionalFormatting>
  <dataValidations count="1">
    <dataValidation type="list" allowBlank="1" showInputMessage="1" showErrorMessage="1" sqref="L13"/>
  </dataValidations>
  <hyperlinks>
    <hyperlink ref="A56:L5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portrait" r:id="rId2"/>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 Other'!$A$105:$A$108</xm:f>
          </x14:formula1>
          <xm:sqref>D5</xm:sqref>
        </x14:dataValidation>
        <x14:dataValidation type="list" allowBlank="1" showInputMessage="1" showErrorMessage="1">
          <x14:formula1>
            <xm:f>Unitsets!$A$41:$A$43</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W65"/>
  <sheetViews>
    <sheetView showGridLines="0" topLeftCell="A3" zoomScaleNormal="100" workbookViewId="0">
      <selection activeCell="D5" sqref="D5"/>
    </sheetView>
  </sheetViews>
  <sheetFormatPr defaultRowHeight="15" x14ac:dyDescent="0.25"/>
  <cols>
    <col min="1" max="1" width="10" style="18" customWidth="1"/>
    <col min="2" max="2" width="3.25" style="18" customWidth="1"/>
    <col min="3" max="3" width="5.875" style="18" customWidth="1"/>
    <col min="4" max="4" width="54" style="17" bestFit="1" customWidth="1"/>
    <col min="5" max="5" width="7.25" style="17" customWidth="1"/>
    <col min="6" max="6" width="24.625" style="17" customWidth="1"/>
    <col min="7" max="7" width="5.625" style="17" customWidth="1"/>
    <col min="8" max="11" width="4.625" style="17" customWidth="1"/>
    <col min="12" max="12" width="15.625" style="17" customWidth="1"/>
    <col min="13" max="13" width="2.5" style="17" hidden="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59"/>
      <c r="E4" s="260" t="s">
        <v>9</v>
      </c>
      <c r="F4" s="258"/>
      <c r="G4" s="261"/>
      <c r="H4" s="261"/>
      <c r="I4" s="261"/>
      <c r="J4" s="261"/>
      <c r="K4" s="261"/>
      <c r="L4" s="261"/>
      <c r="M4" s="143"/>
    </row>
    <row r="5" spans="1:23" ht="18.75" customHeight="1" x14ac:dyDescent="0.25">
      <c r="B5" s="19"/>
      <c r="C5" s="129" t="s">
        <v>10</v>
      </c>
      <c r="D5" s="206" t="s">
        <v>130</v>
      </c>
      <c r="E5" s="20"/>
      <c r="F5" s="129" t="s">
        <v>12</v>
      </c>
      <c r="G5" s="20" t="str">
        <f>IFERROR(CONCATENATE(VLOOKUP(D5,TableCourses[],2,FALSE)," ",VLOOKUP(D5,TableCourses[],3,FALSE)),"")</f>
        <v>MC-GLOBL2 v.1</v>
      </c>
      <c r="H5" s="20"/>
      <c r="I5" s="20"/>
      <c r="J5" s="20"/>
      <c r="K5" s="20"/>
      <c r="L5" s="317" t="str">
        <f>CONCATENATE(VLOOKUP(D5,TableCourses[],2,FALSE),VLOOKUP(D6,TableStudyPeriods[],2,FALSE))</f>
        <v>MC-GLOBL2Sem1</v>
      </c>
      <c r="M5" s="143"/>
    </row>
    <row r="6" spans="1:23" ht="20.100000000000001" customHeight="1" x14ac:dyDescent="0.25">
      <c r="A6" s="22"/>
      <c r="B6" s="23"/>
      <c r="C6" s="129" t="s">
        <v>16</v>
      </c>
      <c r="D6" s="20" t="s">
        <v>183</v>
      </c>
      <c r="E6" s="24"/>
      <c r="F6" s="129" t="s">
        <v>214</v>
      </c>
      <c r="G6" s="20" t="str">
        <f>IFERROR(VLOOKUP($D$5,TableCourses[],4,FALSE),"")</f>
        <v>400 credit points required</v>
      </c>
      <c r="H6" s="77"/>
      <c r="I6" s="77"/>
      <c r="J6" s="77"/>
      <c r="K6" s="77"/>
      <c r="L6" s="77"/>
      <c r="M6" s="144"/>
      <c r="N6" s="25"/>
      <c r="O6" s="25"/>
      <c r="P6" s="25"/>
      <c r="Q6" s="25"/>
      <c r="R6" s="25"/>
      <c r="S6" s="25"/>
      <c r="T6" s="25"/>
      <c r="U6" s="25"/>
      <c r="V6" s="25"/>
      <c r="W6" s="25"/>
    </row>
    <row r="7" spans="1:23" s="28" customFormat="1" ht="14.1" customHeight="1" x14ac:dyDescent="0.25">
      <c r="A7" s="159"/>
      <c r="B7" s="159"/>
      <c r="C7" s="159"/>
      <c r="D7" s="160"/>
      <c r="E7" s="161"/>
      <c r="F7" s="159"/>
      <c r="G7" s="159"/>
      <c r="H7" s="201" t="s">
        <v>19</v>
      </c>
      <c r="I7" s="162"/>
      <c r="J7" s="162"/>
      <c r="K7" s="163"/>
      <c r="L7" s="164"/>
      <c r="M7" s="141"/>
      <c r="N7" s="26"/>
      <c r="O7" s="26"/>
      <c r="P7" s="27"/>
      <c r="Q7" s="27"/>
      <c r="R7" s="27"/>
      <c r="S7" s="27"/>
      <c r="T7" s="27"/>
      <c r="U7" s="27"/>
      <c r="V7" s="27"/>
      <c r="W7" s="27"/>
    </row>
    <row r="8" spans="1:23" s="28" customFormat="1" ht="21" x14ac:dyDescent="0.25">
      <c r="A8" s="159" t="s">
        <v>20</v>
      </c>
      <c r="B8" s="159"/>
      <c r="C8" s="159"/>
      <c r="D8" s="160" t="s">
        <v>3</v>
      </c>
      <c r="E8" s="165" t="s">
        <v>21</v>
      </c>
      <c r="F8" s="276" t="s">
        <v>22</v>
      </c>
      <c r="G8" s="159" t="s">
        <v>23</v>
      </c>
      <c r="H8" s="166" t="s">
        <v>24</v>
      </c>
      <c r="I8" s="165" t="s">
        <v>25</v>
      </c>
      <c r="J8" s="165" t="s">
        <v>26</v>
      </c>
      <c r="K8" s="167" t="s">
        <v>27</v>
      </c>
      <c r="L8" s="168" t="s">
        <v>208</v>
      </c>
      <c r="M8" s="141"/>
      <c r="N8" s="26"/>
      <c r="O8" s="26"/>
      <c r="P8" s="27"/>
      <c r="Q8" s="27"/>
      <c r="R8" s="27"/>
      <c r="S8" s="27"/>
      <c r="T8" s="27"/>
      <c r="U8" s="27"/>
      <c r="V8" s="27"/>
      <c r="W8" s="27"/>
    </row>
    <row r="9" spans="1:23" s="31" customFormat="1" ht="20.100000000000001" customHeight="1" x14ac:dyDescent="0.15">
      <c r="A9" s="63" t="str">
        <f>IFERROR(IF(HLOOKUP($L$5,RangeGLOBLUnitsets,M9,FALSE)=0,"",HLOOKUP($L$5,RangeGLOBLUnitsets,M9,FALSE)),"")</f>
        <v>GLBL5002</v>
      </c>
      <c r="B9" s="56">
        <f>IFERROR(IF(VLOOKUP($A9,TableHandbook[],2,FALSE)=0,"",VLOOKUP($A9,TableHandbook[],2,FALSE)),"")</f>
        <v>1</v>
      </c>
      <c r="C9" s="56" t="str">
        <f>IFERROR(IF(VLOOKUP($A9,TableHandbook[],3,FALSE)=0,"",VLOOKUP($A9,TableHandbook[],3,FALSE)),"")</f>
        <v/>
      </c>
      <c r="D9" s="64" t="str">
        <f>IFERROR(IF(VLOOKUP($A9,TableHandbook[],4,FALSE)=0,"",VLOOKUP($A9,TableHandbook[],4,FALSE)),"")</f>
        <v>Engaging Africa</v>
      </c>
      <c r="E9" s="56" t="str">
        <f>IF(OR(A9="",A9="---"),"",VLOOKUP($D$6,TableStudyPeriods[],2,FALSE))</f>
        <v>Sem1</v>
      </c>
      <c r="F9" s="283" t="str">
        <f>IFERROR(IF(VLOOKUP($A9,TableHandbook[],6,FALSE)=0,"",VLOOKUP($A9,TableHandbook[],6,FALSE)),"")</f>
        <v>None</v>
      </c>
      <c r="G9" s="56">
        <f>IFERROR(IF(VLOOKUP($A9,TableHandbook[],5,FALSE)=0,"",VLOOKUP($A9,TableHandbook[],5,FALSE)),"")</f>
        <v>25</v>
      </c>
      <c r="H9" s="67" t="str">
        <f>IFERROR(VLOOKUP($A9,TableHandbook[],H$2,FALSE),"")</f>
        <v>Y</v>
      </c>
      <c r="I9" s="56" t="str">
        <f>IFERROR(VLOOKUP($A9,TableHandbook[],I$2,FALSE),"")</f>
        <v>Y</v>
      </c>
      <c r="J9" s="56" t="str">
        <f>IFERROR(VLOOKUP($A9,TableHandbook[],J$2,FALSE),"")</f>
        <v/>
      </c>
      <c r="K9" s="68" t="str">
        <f>IFERROR(VLOOKUP($A9,TableHandbook[],K$2,FALSE),"")</f>
        <v/>
      </c>
      <c r="L9" s="65"/>
      <c r="M9" s="142">
        <v>2</v>
      </c>
      <c r="N9" s="29"/>
      <c r="O9" s="29"/>
      <c r="P9" s="30"/>
      <c r="Q9" s="30"/>
      <c r="R9" s="30"/>
      <c r="S9" s="30"/>
      <c r="T9" s="30"/>
      <c r="U9" s="30"/>
      <c r="V9" s="30"/>
      <c r="W9" s="30"/>
    </row>
    <row r="10" spans="1:23" s="31" customFormat="1" ht="20.100000000000001" customHeight="1" x14ac:dyDescent="0.15">
      <c r="A10" s="63" t="str">
        <f>IFERROR(IF(HLOOKUP($L$5,RangeGLOBLUnitsets,M10,FALSE)=0,"",HLOOKUP($L$5,RangeGLOBLUnitsets,M10,FALSE)),"")</f>
        <v>GLBL5003</v>
      </c>
      <c r="B10" s="56">
        <f>IFERROR(IF(VLOOKUP($A10,TableHandbook[],2,FALSE)=0,"",VLOOKUP($A10,TableHandbook[],2,FALSE)),"")</f>
        <v>1</v>
      </c>
      <c r="C10" s="56" t="str">
        <f>IFERROR(IF(VLOOKUP($A10,TableHandbook[],3,FALSE)=0,"",VLOOKUP($A10,TableHandbook[],3,FALSE)),"")</f>
        <v/>
      </c>
      <c r="D10" s="64" t="str">
        <f>IFERROR(IF(VLOOKUP($A10,TableHandbook[],4,FALSE)=0,"",VLOOKUP($A10,TableHandbook[],4,FALSE)),"")</f>
        <v>Engaging Asia</v>
      </c>
      <c r="E10" s="56" t="str">
        <f>IF(OR(A10="",A10="-"),"",E9)</f>
        <v>Sem1</v>
      </c>
      <c r="F10" s="283" t="str">
        <f>IFERROR(IF(VLOOKUP($A10,TableHandbook[],6,FALSE)=0,"",VLOOKUP($A10,TableHandbook[],6,FALSE)),"")</f>
        <v>None</v>
      </c>
      <c r="G10" s="56">
        <f>IFERROR(IF(VLOOKUP($A10,TableHandbook[],5,FALSE)=0,"",VLOOKUP($A10,TableHandbook[],5,FALSE)),"")</f>
        <v>25</v>
      </c>
      <c r="H10" s="67" t="str">
        <f>IFERROR(VLOOKUP($A10,TableHandbook[],H$2,FALSE),"")</f>
        <v>Y</v>
      </c>
      <c r="I10" s="56" t="str">
        <f>IFERROR(VLOOKUP($A10,TableHandbook[],I$2,FALSE),"")</f>
        <v>Y</v>
      </c>
      <c r="J10" s="56" t="str">
        <f>IFERROR(VLOOKUP($A10,TableHandbook[],J$2,FALSE),"")</f>
        <v/>
      </c>
      <c r="K10" s="68" t="str">
        <f>IFERROR(VLOOKUP($A10,TableHandbook[],K$2,FALSE),"")</f>
        <v/>
      </c>
      <c r="L10" s="65"/>
      <c r="M10" s="142">
        <v>3</v>
      </c>
      <c r="N10" s="29"/>
      <c r="O10" s="29"/>
      <c r="P10" s="30"/>
      <c r="Q10" s="30"/>
      <c r="R10" s="30"/>
      <c r="S10" s="30"/>
      <c r="T10" s="30"/>
      <c r="U10" s="30"/>
      <c r="V10" s="30"/>
      <c r="W10" s="30"/>
    </row>
    <row r="11" spans="1:23" s="31" customFormat="1" ht="20.100000000000001" customHeight="1" x14ac:dyDescent="0.15">
      <c r="A11" s="63" t="str">
        <f>IFERROR(IF(HLOOKUP($L$5,RangeGLOBLUnitsets,M11,FALSE)=0,"",HLOOKUP($L$5,RangeGLOBLUnitsets,M11,FALSE)),"")</f>
        <v>GLBL5000</v>
      </c>
      <c r="B11" s="56">
        <f>IFERROR(IF(VLOOKUP($A11,TableHandbook[],2,FALSE)=0,"",VLOOKUP($A11,TableHandbook[],2,FALSE)),"")</f>
        <v>1</v>
      </c>
      <c r="C11" s="56" t="str">
        <f>IFERROR(IF(VLOOKUP($A11,TableHandbook[],3,FALSE)=0,"",VLOOKUP($A11,TableHandbook[],3,FALSE)),"")</f>
        <v/>
      </c>
      <c r="D11" s="64" t="str">
        <f>IFERROR(IF(VLOOKUP($A11,TableHandbook[],4,FALSE)=0,"",VLOOKUP($A11,TableHandbook[],4,FALSE)),"")</f>
        <v>Engaging Cultural Diversity</v>
      </c>
      <c r="E11" s="56" t="str">
        <f t="shared" ref="E11:E12" si="0">IF(OR(A11="",A11="-"),"",E10)</f>
        <v>Sem1</v>
      </c>
      <c r="F11" s="283" t="str">
        <f>IFERROR(IF(VLOOKUP($A11,TableHandbook[],6,FALSE)=0,"",VLOOKUP($A11,TableHandbook[],6,FALSE)),"")</f>
        <v>None</v>
      </c>
      <c r="G11" s="56">
        <f>IFERROR(IF(VLOOKUP($A11,TableHandbook[],5,FALSE)=0,"",VLOOKUP($A11,TableHandbook[],5,FALSE)),"")</f>
        <v>25</v>
      </c>
      <c r="H11" s="67" t="str">
        <f>IFERROR(VLOOKUP($A11,TableHandbook[],H$2,FALSE),"")</f>
        <v>Y</v>
      </c>
      <c r="I11" s="56" t="str">
        <f>IFERROR(VLOOKUP($A11,TableHandbook[],I$2,FALSE),"")</f>
        <v>Y</v>
      </c>
      <c r="J11" s="56" t="str">
        <f>IFERROR(VLOOKUP($A11,TableHandbook[],J$2,FALSE),"")</f>
        <v/>
      </c>
      <c r="K11" s="68" t="str">
        <f>IFERROR(VLOOKUP($A11,TableHandbook[],K$2,FALSE),"")</f>
        <v/>
      </c>
      <c r="L11" s="66"/>
      <c r="M11" s="142">
        <v>4</v>
      </c>
      <c r="N11" s="29"/>
      <c r="O11" s="29"/>
      <c r="P11" s="30"/>
      <c r="Q11" s="30"/>
      <c r="R11" s="30"/>
      <c r="S11" s="30"/>
      <c r="T11" s="30"/>
      <c r="U11" s="30"/>
      <c r="V11" s="30"/>
      <c r="W11" s="30"/>
    </row>
    <row r="12" spans="1:23" s="31" customFormat="1" ht="20.100000000000001" customHeight="1" x14ac:dyDescent="0.15">
      <c r="A12" s="63" t="str">
        <f>IFERROR(IF(HLOOKUP($L$5,RangeGLOBLUnitsets,M12,FALSE)=0,"",HLOOKUP($L$5,RangeGLOBLUnitsets,M12,FALSE)),"")</f>
        <v>GLBL5001</v>
      </c>
      <c r="B12" s="56">
        <f>IFERROR(IF(VLOOKUP($A12,TableHandbook[],2,FALSE)=0,"",VLOOKUP($A12,TableHandbook[],2,FALSE)),"")</f>
        <v>1</v>
      </c>
      <c r="C12" s="56" t="str">
        <f>IFERROR(IF(VLOOKUP($A12,TableHandbook[],3,FALSE)=0,"",VLOOKUP($A12,TableHandbook[],3,FALSE)),"")</f>
        <v/>
      </c>
      <c r="D12" s="64" t="str">
        <f>IFERROR(IF(VLOOKUP($A12,TableHandbook[],4,FALSE)=0,"",VLOOKUP($A12,TableHandbook[],4,FALSE)),"")</f>
        <v>Global Futures and Just Transformations</v>
      </c>
      <c r="E12" s="56" t="str">
        <f t="shared" si="0"/>
        <v>Sem1</v>
      </c>
      <c r="F12" s="283" t="str">
        <f>IFERROR(IF(VLOOKUP($A12,TableHandbook[],6,FALSE)=0,"",VLOOKUP($A12,TableHandbook[],6,FALSE)),"")</f>
        <v>None</v>
      </c>
      <c r="G12" s="56">
        <f>IFERROR(IF(VLOOKUP($A12,TableHandbook[],5,FALSE)=0,"",VLOOKUP($A12,TableHandbook[],5,FALSE)),"")</f>
        <v>25</v>
      </c>
      <c r="H12" s="67" t="str">
        <f>IFERROR(VLOOKUP($A12,TableHandbook[],H$2,FALSE),"")</f>
        <v>Y</v>
      </c>
      <c r="I12" s="56" t="str">
        <f>IFERROR(VLOOKUP($A12,TableHandbook[],I$2,FALSE),"")</f>
        <v>Y</v>
      </c>
      <c r="J12" s="56" t="str">
        <f>IFERROR(VLOOKUP($A12,TableHandbook[],J$2,FALSE),"")</f>
        <v/>
      </c>
      <c r="K12" s="68" t="str">
        <f>IFERROR(VLOOKUP($A12,TableHandbook[],K$2,FALSE),"")</f>
        <v/>
      </c>
      <c r="L12" s="65"/>
      <c r="M12" s="142">
        <v>5</v>
      </c>
      <c r="N12" s="29"/>
      <c r="O12" s="29"/>
      <c r="P12" s="30"/>
      <c r="Q12" s="30"/>
      <c r="R12" s="30"/>
      <c r="S12" s="30"/>
      <c r="T12" s="30"/>
      <c r="U12" s="30"/>
      <c r="V12" s="30"/>
      <c r="W12" s="30"/>
    </row>
    <row r="13" spans="1:23" s="31" customFormat="1" ht="5.0999999999999996" customHeight="1" x14ac:dyDescent="0.15">
      <c r="A13" s="32"/>
      <c r="B13" s="33"/>
      <c r="C13" s="33"/>
      <c r="D13" s="34"/>
      <c r="E13" s="33"/>
      <c r="F13" s="287"/>
      <c r="G13" s="33"/>
      <c r="H13" s="69"/>
      <c r="I13" s="33"/>
      <c r="J13" s="33"/>
      <c r="K13" s="70"/>
      <c r="L13" s="36"/>
      <c r="M13" s="142"/>
      <c r="N13" s="29"/>
      <c r="O13" s="29"/>
      <c r="P13" s="29"/>
      <c r="Q13" s="30"/>
      <c r="R13" s="30"/>
      <c r="S13" s="30"/>
      <c r="T13" s="30"/>
      <c r="U13" s="30"/>
      <c r="V13" s="30"/>
      <c r="W13" s="30"/>
    </row>
    <row r="14" spans="1:23" s="31" customFormat="1" ht="20.100000000000001" customHeight="1" x14ac:dyDescent="0.15">
      <c r="A14" s="63" t="str">
        <f>IFERROR(IF(HLOOKUP($L$5,RangeGLOBLUnitsets,M14,FALSE)=0,"",HLOOKUP($L$5,RangeGLOBLUnitsets,M14,FALSE)),"")</f>
        <v>AC-INTRNSt</v>
      </c>
      <c r="B14" s="58" t="str">
        <f>IFERROR(IF(VLOOKUP($A14,TableHandbook[],2,FALSE)=0,"",VLOOKUP($A14,TableHandbook[],2,FALSE)),"")</f>
        <v/>
      </c>
      <c r="C14" s="58" t="str">
        <f>IFERROR(IF(VLOOKUP($A14,TableHandbook[],3,FALSE)=0,"",VLOOKUP($A14,TableHandbook[],3,FALSE)),"")</f>
        <v/>
      </c>
      <c r="D14" s="64" t="str">
        <f>IFERROR(IF(VLOOKUP($A14,TableHandbook[],4,FALSE)=0,"",VLOOKUP($A14,TableHandbook[],4,FALSE)),"")</f>
        <v>Study one of INTR5001 or POLS5000 or POLS5003 (see below)</v>
      </c>
      <c r="E14" s="56" t="str">
        <f>IF(A14="","",VLOOKUP($D$6,TableStudyPeriods[],3,FALSE))</f>
        <v>Sem2</v>
      </c>
      <c r="F14" s="283" t="str">
        <f>IFERROR(IF(VLOOKUP($A14,TableHandbook[],6,FALSE)=0,"",VLOOKUP($A14,TableHandbook[],6,FALSE)),"")</f>
        <v>See below</v>
      </c>
      <c r="G14" s="58">
        <f>IFERROR(IF(VLOOKUP($A14,TableHandbook[],5,FALSE)=0,"",VLOOKUP($A14,TableHandbook[],5,FALSE)),"")</f>
        <v>25</v>
      </c>
      <c r="H14" s="71" t="str">
        <f>IFERROR(VLOOKUP($A14,TableHandbook[],H$2,FALSE),"")</f>
        <v/>
      </c>
      <c r="I14" s="58" t="str">
        <f>IFERROR(VLOOKUP($A14,TableHandbook[],I$2,FALSE),"")</f>
        <v/>
      </c>
      <c r="J14" s="58" t="str">
        <f>IFERROR(VLOOKUP($A14,TableHandbook[],J$2,FALSE),"")</f>
        <v/>
      </c>
      <c r="K14" s="72" t="str">
        <f>IFERROR(VLOOKUP($A14,TableHandbook[],K$2,FALSE),"")</f>
        <v/>
      </c>
      <c r="L14" s="66"/>
      <c r="M14" s="142">
        <v>6</v>
      </c>
      <c r="N14" s="29"/>
      <c r="O14" s="29"/>
      <c r="P14" s="30"/>
      <c r="Q14" s="30"/>
      <c r="R14" s="30"/>
      <c r="S14" s="30"/>
      <c r="T14" s="30"/>
      <c r="U14" s="30"/>
      <c r="V14" s="30"/>
      <c r="W14" s="30"/>
    </row>
    <row r="15" spans="1:23" s="39" customFormat="1" ht="20.100000000000001" customHeight="1" x14ac:dyDescent="0.15">
      <c r="A15" s="63" t="str">
        <f>IFERROR(IF(HLOOKUP($L$5,RangeGLOBLUnitsets,M15,FALSE)=0,"",HLOOKUP($L$5,RangeGLOBLUnitsets,M15,FALSE)),"")</f>
        <v>Opt-GEADV</v>
      </c>
      <c r="B15" s="58" t="str">
        <f>IFERROR(IF(VLOOKUP($A15,TableHandbook[],2,FALSE)=0,"",VLOOKUP($A15,TableHandbook[],2,FALSE)),"")</f>
        <v/>
      </c>
      <c r="C15" s="58" t="str">
        <f>IFERROR(IF(VLOOKUP($A15,TableHandbook[],3,FALSE)=0,"",VLOOKUP($A15,TableHandbook[],3,FALSE)),"")</f>
        <v/>
      </c>
      <c r="D15" s="64" t="str">
        <f>IFERROR(IF(VLOOKUP($A15,TableHandbook[],4,FALSE)=0,"",VLOOKUP($A15,TableHandbook[],4,FALSE)),"")</f>
        <v>Study an HRIGT or INTRN Option unit from the lists below</v>
      </c>
      <c r="E15" s="56" t="str">
        <f>IF(OR(A15="",A15="-"),"",E14)</f>
        <v>Sem2</v>
      </c>
      <c r="F15" s="283" t="str">
        <f>IFERROR(IF(VLOOKUP($A15,TableHandbook[],6,FALSE)=0,"",VLOOKUP($A15,TableHandbook[],6,FALSE)),"")</f>
        <v>See below</v>
      </c>
      <c r="G15" s="58">
        <f>IFERROR(IF(VLOOKUP($A15,TableHandbook[],5,FALSE)=0,"",VLOOKUP($A15,TableHandbook[],5,FALSE)),"")</f>
        <v>25</v>
      </c>
      <c r="H15" s="71" t="str">
        <f>IFERROR(VLOOKUP($A15,TableHandbook[],H$2,FALSE),"")</f>
        <v/>
      </c>
      <c r="I15" s="58" t="str">
        <f>IFERROR(VLOOKUP($A15,TableHandbook[],I$2,FALSE),"")</f>
        <v/>
      </c>
      <c r="J15" s="58" t="str">
        <f>IFERROR(VLOOKUP($A15,TableHandbook[],J$2,FALSE),"")</f>
        <v/>
      </c>
      <c r="K15" s="72" t="str">
        <f>IFERROR(VLOOKUP($A15,TableHandbook[],K$2,FALSE),"")</f>
        <v/>
      </c>
      <c r="L15" s="66"/>
      <c r="M15" s="142">
        <v>7</v>
      </c>
      <c r="N15" s="37"/>
      <c r="O15" s="37"/>
      <c r="P15" s="38"/>
      <c r="Q15" s="38"/>
      <c r="R15" s="38"/>
      <c r="S15" s="38"/>
      <c r="T15" s="38"/>
      <c r="U15" s="38"/>
      <c r="V15" s="38"/>
      <c r="W15" s="38"/>
    </row>
    <row r="16" spans="1:23" s="39" customFormat="1" ht="20.100000000000001" customHeight="1" x14ac:dyDescent="0.15">
      <c r="A16" s="63" t="str">
        <f>IFERROR(IF(HLOOKUP($L$5,RangeGLOBLUnitsets,M16,FALSE)=0,"",HLOOKUP($L$5,RangeGLOBLUnitsets,M16,FALSE)),"")</f>
        <v>Opt-GEADV</v>
      </c>
      <c r="B16" s="58" t="str">
        <f>IFERROR(IF(VLOOKUP($A16,TableHandbook[],2,FALSE)=0,"",VLOOKUP($A16,TableHandbook[],2,FALSE)),"")</f>
        <v/>
      </c>
      <c r="C16" s="58" t="str">
        <f>IFERROR(IF(VLOOKUP($A16,TableHandbook[],3,FALSE)=0,"",VLOOKUP($A16,TableHandbook[],3,FALSE)),"")</f>
        <v/>
      </c>
      <c r="D16" s="64" t="str">
        <f>IFERROR(IF(VLOOKUP($A16,TableHandbook[],4,FALSE)=0,"",VLOOKUP($A16,TableHandbook[],4,FALSE)),"")</f>
        <v>Study an HRIGT or INTRN Option unit from the lists below</v>
      </c>
      <c r="E16" s="56" t="str">
        <f t="shared" ref="E16:E17" si="1">IF(OR(A16="",A16="-"),"",E15)</f>
        <v>Sem2</v>
      </c>
      <c r="F16" s="283" t="str">
        <f>IFERROR(IF(VLOOKUP($A16,TableHandbook[],6,FALSE)=0,"",VLOOKUP($A16,TableHandbook[],6,FALSE)),"")</f>
        <v>See below</v>
      </c>
      <c r="G16" s="58">
        <f>IFERROR(IF(VLOOKUP($A16,TableHandbook[],5,FALSE)=0,"",VLOOKUP($A16,TableHandbook[],5,FALSE)),"")</f>
        <v>25</v>
      </c>
      <c r="H16" s="71" t="str">
        <f>IFERROR(VLOOKUP($A16,TableHandbook[],H$2,FALSE),"")</f>
        <v/>
      </c>
      <c r="I16" s="58" t="str">
        <f>IFERROR(VLOOKUP($A16,TableHandbook[],I$2,FALSE),"")</f>
        <v/>
      </c>
      <c r="J16" s="58" t="str">
        <f>IFERROR(VLOOKUP($A16,TableHandbook[],J$2,FALSE),"")</f>
        <v/>
      </c>
      <c r="K16" s="72" t="str">
        <f>IFERROR(VLOOKUP($A16,TableHandbook[],K$2,FALSE),"")</f>
        <v/>
      </c>
      <c r="L16" s="66"/>
      <c r="M16" s="142">
        <v>8</v>
      </c>
      <c r="N16" s="37"/>
      <c r="O16" s="37"/>
      <c r="P16" s="38"/>
      <c r="Q16" s="38"/>
      <c r="R16" s="38"/>
      <c r="S16" s="38"/>
      <c r="T16" s="38"/>
      <c r="U16" s="38"/>
      <c r="V16" s="38"/>
      <c r="W16" s="38"/>
    </row>
    <row r="17" spans="1:23" s="39" customFormat="1" ht="20.100000000000001" customHeight="1" x14ac:dyDescent="0.15">
      <c r="A17" s="63" t="str">
        <f>IFERROR(IF(HLOOKUP($L$5,RangeGLOBLUnitsets,M17,FALSE)=0,"",HLOOKUP($L$5,RangeGLOBLUnitsets,M17,FALSE)),"")</f>
        <v>Opt-GEADV</v>
      </c>
      <c r="B17" s="58" t="str">
        <f>IFERROR(IF(VLOOKUP($A17,TableHandbook[],2,FALSE)=0,"",VLOOKUP($A17,TableHandbook[],2,FALSE)),"")</f>
        <v/>
      </c>
      <c r="C17" s="58" t="str">
        <f>IFERROR(IF(VLOOKUP($A17,TableHandbook[],3,FALSE)=0,"",VLOOKUP($A17,TableHandbook[],3,FALSE)),"")</f>
        <v/>
      </c>
      <c r="D17" s="62" t="str">
        <f>IFERROR(IF(VLOOKUP($A17,TableHandbook[],4,FALSE)=0,"",VLOOKUP($A17,TableHandbook[],4,FALSE)),"")</f>
        <v>Study an HRIGT or INTRN Option unit from the lists below</v>
      </c>
      <c r="E17" s="58" t="str">
        <f t="shared" si="1"/>
        <v>Sem2</v>
      </c>
      <c r="F17" s="283" t="str">
        <f>IFERROR(IF(VLOOKUP($A17,TableHandbook[],6,FALSE)=0,"",VLOOKUP($A17,TableHandbook[],6,FALSE)),"")</f>
        <v>See below</v>
      </c>
      <c r="G17" s="58">
        <f>IFERROR(IF(VLOOKUP($A17,TableHandbook[],5,FALSE)=0,"",VLOOKUP($A17,TableHandbook[],5,FALSE)),"")</f>
        <v>25</v>
      </c>
      <c r="H17" s="71" t="str">
        <f>IFERROR(VLOOKUP($A17,TableHandbook[],H$2,FALSE),"")</f>
        <v/>
      </c>
      <c r="I17" s="58" t="str">
        <f>IFERROR(VLOOKUP($A17,TableHandbook[],I$2,FALSE),"")</f>
        <v/>
      </c>
      <c r="J17" s="58" t="str">
        <f>IFERROR(VLOOKUP($A17,TableHandbook[],J$2,FALSE),"")</f>
        <v/>
      </c>
      <c r="K17" s="72" t="str">
        <f>IFERROR(VLOOKUP($A17,TableHandbook[],K$2,FALSE),"")</f>
        <v/>
      </c>
      <c r="L17" s="66"/>
      <c r="M17" s="142">
        <v>9</v>
      </c>
      <c r="N17" s="37"/>
      <c r="O17" s="37"/>
      <c r="P17" s="38"/>
      <c r="Q17" s="38"/>
      <c r="R17" s="38"/>
      <c r="S17" s="38"/>
      <c r="T17" s="38"/>
      <c r="U17" s="38"/>
      <c r="V17" s="38"/>
      <c r="W17" s="38"/>
    </row>
    <row r="18" spans="1:23" s="28" customFormat="1" ht="21" x14ac:dyDescent="0.25">
      <c r="A18" s="159" t="s">
        <v>29</v>
      </c>
      <c r="B18" s="159"/>
      <c r="C18" s="159"/>
      <c r="D18" s="160" t="s">
        <v>3</v>
      </c>
      <c r="E18" s="165" t="s">
        <v>21</v>
      </c>
      <c r="F18" s="276" t="s">
        <v>22</v>
      </c>
      <c r="G18" s="159" t="s">
        <v>23</v>
      </c>
      <c r="H18" s="166" t="str">
        <f>H$8</f>
        <v>Sem1 BEN</v>
      </c>
      <c r="I18" s="165" t="str">
        <f t="shared" ref="I18:L18" si="2">I$8</f>
        <v>Sem1 FO</v>
      </c>
      <c r="J18" s="165" t="str">
        <f t="shared" si="2"/>
        <v>Sem2 BEN</v>
      </c>
      <c r="K18" s="167" t="str">
        <f t="shared" si="2"/>
        <v>Sem2 FO</v>
      </c>
      <c r="L18" s="168" t="str">
        <f t="shared" si="2"/>
        <v>Notes / Progress</v>
      </c>
      <c r="M18" s="141"/>
      <c r="N18" s="26"/>
      <c r="O18" s="26"/>
      <c r="P18" s="27"/>
      <c r="Q18" s="27"/>
      <c r="R18" s="27"/>
      <c r="S18" s="27"/>
      <c r="T18" s="27"/>
      <c r="U18" s="27"/>
      <c r="V18" s="27"/>
      <c r="W18" s="27"/>
    </row>
    <row r="19" spans="1:23" s="31" customFormat="1" ht="20.100000000000001" customHeight="1" x14ac:dyDescent="0.15">
      <c r="A19" s="63" t="str">
        <f>IFERROR(IF(HLOOKUP($L$5,RangeGLOBLUnitsets,M19,FALSE)=0,"",HLOOKUP($L$5,RangeGLOBLUnitsets,M19,FALSE)),"")</f>
        <v>Opt-GEADV</v>
      </c>
      <c r="B19" s="58" t="str">
        <f>IFERROR(IF(VLOOKUP($A19,TableHandbook[],2,FALSE)=0,"",VLOOKUP($A19,TableHandbook[],2,FALSE)),"")</f>
        <v/>
      </c>
      <c r="C19" s="58" t="str">
        <f>IFERROR(IF(VLOOKUP($A19,TableHandbook[],3,FALSE)=0,"",VLOOKUP($A19,TableHandbook[],3,FALSE)),"")</f>
        <v/>
      </c>
      <c r="D19" s="60" t="str">
        <f>IFERROR(IF(VLOOKUP($A19,TableHandbook[],4,FALSE)=0,"",VLOOKUP($A19,TableHandbook[],4,FALSE)),"")</f>
        <v>Study an HRIGT or INTRN Option unit from the lists below</v>
      </c>
      <c r="E19" s="58" t="str">
        <f>IF(A19="","",VLOOKUP($D$6,TableStudyPeriods[],2,FALSE))</f>
        <v>Sem1</v>
      </c>
      <c r="F19" s="283" t="str">
        <f>IFERROR(IF(VLOOKUP($A19,TableHandbook[],6,FALSE)=0,"",VLOOKUP($A19,TableHandbook[],6,FALSE)),"")</f>
        <v>See below</v>
      </c>
      <c r="G19" s="56">
        <f>IFERROR(IF(VLOOKUP($A19,TableHandbook[],5,FALSE)=0,"",VLOOKUP($A19,TableHandbook[],5,FALSE)),"")</f>
        <v>25</v>
      </c>
      <c r="H19" s="67" t="str">
        <f>IFERROR(VLOOKUP($A19,TableHandbook[],H$2,FALSE),"")</f>
        <v/>
      </c>
      <c r="I19" s="56" t="str">
        <f>IFERROR(VLOOKUP($A19,TableHandbook[],I$2,FALSE),"")</f>
        <v/>
      </c>
      <c r="J19" s="56" t="str">
        <f>IFERROR(VLOOKUP($A19,TableHandbook[],J$2,FALSE),"")</f>
        <v/>
      </c>
      <c r="K19" s="68" t="str">
        <f>IFERROR(VLOOKUP($A19,TableHandbook[],K$2,FALSE),"")</f>
        <v/>
      </c>
      <c r="L19" s="65"/>
      <c r="M19" s="142">
        <v>10</v>
      </c>
      <c r="N19" s="29"/>
      <c r="O19" s="29"/>
      <c r="P19" s="30"/>
      <c r="Q19" s="30"/>
      <c r="R19" s="30"/>
      <c r="S19" s="30"/>
      <c r="T19" s="30"/>
      <c r="U19" s="30"/>
      <c r="V19" s="30"/>
      <c r="W19" s="30"/>
    </row>
    <row r="20" spans="1:23" s="31" customFormat="1" ht="20.100000000000001" customHeight="1" x14ac:dyDescent="0.15">
      <c r="A20" s="63" t="str">
        <f>IFERROR(IF(HLOOKUP($L$5,RangeGLOBLUnitsets,M20,FALSE)=0,"",HLOOKUP($L$5,RangeGLOBLUnitsets,M20,FALSE)),"")</f>
        <v>Opt-GEADV</v>
      </c>
      <c r="B20" s="58" t="str">
        <f>IFERROR(IF(VLOOKUP($A20,TableHandbook[],2,FALSE)=0,"",VLOOKUP($A20,TableHandbook[],2,FALSE)),"")</f>
        <v/>
      </c>
      <c r="C20" s="58" t="str">
        <f>IFERROR(IF(VLOOKUP($A20,TableHandbook[],3,FALSE)=0,"",VLOOKUP($A20,TableHandbook[],3,FALSE)),"")</f>
        <v/>
      </c>
      <c r="D20" s="62" t="str">
        <f>IFERROR(IF(VLOOKUP($A20,TableHandbook[],4,FALSE)=0,"",VLOOKUP($A20,TableHandbook[],4,FALSE)),"")</f>
        <v>Study an HRIGT or INTRN Option unit from the lists below</v>
      </c>
      <c r="E20" s="58" t="str">
        <f>IF(OR(A20="",A20="-"),"",E19)</f>
        <v>Sem1</v>
      </c>
      <c r="F20" s="283" t="str">
        <f>IFERROR(IF(VLOOKUP($A20,TableHandbook[],6,FALSE)=0,"",VLOOKUP($A20,TableHandbook[],6,FALSE)),"")</f>
        <v>See below</v>
      </c>
      <c r="G20" s="56">
        <f>IFERROR(IF(VLOOKUP($A20,TableHandbook[],5,FALSE)=0,"",VLOOKUP($A20,TableHandbook[],5,FALSE)),"")</f>
        <v>25</v>
      </c>
      <c r="H20" s="67" t="str">
        <f>IFERROR(VLOOKUP($A20,TableHandbook[],H$2,FALSE),"")</f>
        <v/>
      </c>
      <c r="I20" s="56" t="str">
        <f>IFERROR(VLOOKUP($A20,TableHandbook[],I$2,FALSE),"")</f>
        <v/>
      </c>
      <c r="J20" s="56" t="str">
        <f>IFERROR(VLOOKUP($A20,TableHandbook[],J$2,FALSE),"")</f>
        <v/>
      </c>
      <c r="K20" s="68" t="str">
        <f>IFERROR(VLOOKUP($A20,TableHandbook[],K$2,FALSE),"")</f>
        <v/>
      </c>
      <c r="L20" s="65"/>
      <c r="M20" s="142">
        <v>11</v>
      </c>
      <c r="N20" s="29"/>
      <c r="O20" s="29"/>
      <c r="P20" s="30"/>
      <c r="Q20" s="30"/>
      <c r="R20" s="30"/>
      <c r="S20" s="30"/>
      <c r="T20" s="30"/>
      <c r="U20" s="30"/>
      <c r="V20" s="30"/>
      <c r="W20" s="30"/>
    </row>
    <row r="21" spans="1:23" s="31" customFormat="1" ht="20.100000000000001" customHeight="1" x14ac:dyDescent="0.15">
      <c r="A21" s="63" t="str">
        <f>IFERROR(IF(HLOOKUP($L$5,RangeGLOBLUnitsets,M21,FALSE)=0,"",HLOOKUP($L$5,RangeGLOBLUnitsets,M21,FALSE)),"")</f>
        <v>AC-GLOBL1</v>
      </c>
      <c r="B21" s="58" t="str">
        <f>IFERROR(IF(VLOOKUP($A21,TableHandbook[],2,FALSE)=0,"",VLOOKUP($A21,TableHandbook[],2,FALSE)),"")</f>
        <v/>
      </c>
      <c r="C21" s="58" t="str">
        <f>IFERROR(IF(VLOOKUP($A21,TableHandbook[],3,FALSE)=0,"",VLOOKUP($A21,TableHandbook[],3,FALSE)),"")</f>
        <v/>
      </c>
      <c r="D21" s="62" t="str">
        <f>IFERROR(IF(VLOOKUP($A21,TableHandbook[],4,FALSE)=0,"",VLOOKUP($A21,TableHandbook[],4,FALSE)),"")</f>
        <v>Study either COMS6004 or HUMN6001 (see below)</v>
      </c>
      <c r="E21" s="58" t="str">
        <f t="shared" ref="E21:E22" si="3">IF(OR(A21="",A21="-"),"",E20)</f>
        <v>Sem1</v>
      </c>
      <c r="F21" s="283" t="str">
        <f>IFERROR(IF(VLOOKUP($A21,TableHandbook[],6,FALSE)=0,"",VLOOKUP($A21,TableHandbook[],6,FALSE)),"")</f>
        <v>See below</v>
      </c>
      <c r="G21" s="56">
        <f>IFERROR(IF(VLOOKUP($A21,TableHandbook[],5,FALSE)=0,"",VLOOKUP($A21,TableHandbook[],5,FALSE)),"")</f>
        <v>50</v>
      </c>
      <c r="H21" s="67" t="str">
        <f>IFERROR(VLOOKUP($A21,TableHandbook[],H$2,FALSE),"")</f>
        <v>Y</v>
      </c>
      <c r="I21" s="56" t="str">
        <f>IFERROR(VLOOKUP($A21,TableHandbook[],I$2,FALSE),"")</f>
        <v>Y</v>
      </c>
      <c r="J21" s="56" t="str">
        <f>IFERROR(VLOOKUP($A21,TableHandbook[],J$2,FALSE),"")</f>
        <v>Y</v>
      </c>
      <c r="K21" s="68" t="str">
        <f>IFERROR(VLOOKUP($A21,TableHandbook[],K$2,FALSE),"")</f>
        <v>Y</v>
      </c>
      <c r="L21" s="65"/>
      <c r="M21" s="142">
        <v>12</v>
      </c>
      <c r="N21" s="29"/>
      <c r="O21" s="29"/>
      <c r="P21" s="30"/>
      <c r="Q21" s="30"/>
      <c r="R21" s="30"/>
      <c r="S21" s="30"/>
      <c r="T21" s="30"/>
      <c r="U21" s="30"/>
      <c r="V21" s="30"/>
      <c r="W21" s="30"/>
    </row>
    <row r="22" spans="1:23" s="31" customFormat="1" ht="20.100000000000001" customHeight="1" x14ac:dyDescent="0.15">
      <c r="A22" s="63" t="str">
        <f>IFERROR(IF(HLOOKUP($L$5,RangeGLOBLUnitsets,M22,FALSE)=0,"",HLOOKUP($L$5,RangeGLOBLUnitsets,M22,FALSE)),"")</f>
        <v>-</v>
      </c>
      <c r="B22" s="58" t="str">
        <f>IFERROR(IF(VLOOKUP($A22,TableHandbook[],2,FALSE)=0,"",VLOOKUP($A22,TableHandbook[],2,FALSE)),"")</f>
        <v/>
      </c>
      <c r="C22" s="58" t="str">
        <f>IFERROR(IF(VLOOKUP($A22,TableHandbook[],3,FALSE)=0,"",VLOOKUP($A22,TableHandbook[],3,FALSE)),"")</f>
        <v/>
      </c>
      <c r="D22" s="62" t="str">
        <f>IFERROR(IF(VLOOKUP($A22,TableHandbook[],4,FALSE)=0,"",VLOOKUP($A22,TableHandbook[],4,FALSE)),"")</f>
        <v>Please note this is a 50CP Unit</v>
      </c>
      <c r="E22" s="58" t="str">
        <f t="shared" si="3"/>
        <v/>
      </c>
      <c r="F22" s="283" t="str">
        <f>IFERROR(IF(VLOOKUP($A22,TableHandbook[],6,FALSE)=0,"",VLOOKUP($A22,TableHandbook[],6,FALSE)),"")</f>
        <v/>
      </c>
      <c r="G22" s="56" t="str">
        <f>IFERROR(IF(VLOOKUP($A22,TableHandbook[],5,FALSE)=0,"",VLOOKUP($A22,TableHandbook[],5,FALSE)),"")</f>
        <v/>
      </c>
      <c r="H22" s="67" t="str">
        <f>IFERROR(VLOOKUP($A22,TableHandbook[],H$2,FALSE),"")</f>
        <v/>
      </c>
      <c r="I22" s="56" t="str">
        <f>IFERROR(VLOOKUP($A22,TableHandbook[],I$2,FALSE),"")</f>
        <v/>
      </c>
      <c r="J22" s="56" t="str">
        <f>IFERROR(VLOOKUP($A22,TableHandbook[],J$2,FALSE),"")</f>
        <v/>
      </c>
      <c r="K22" s="68" t="str">
        <f>IFERROR(VLOOKUP($A22,TableHandbook[],K$2,FALSE),"")</f>
        <v/>
      </c>
      <c r="L22" s="65"/>
      <c r="M22" s="142">
        <v>13</v>
      </c>
      <c r="N22" s="29"/>
      <c r="O22" s="29"/>
      <c r="P22" s="30"/>
      <c r="Q22" s="30"/>
      <c r="R22" s="30"/>
      <c r="S22" s="30"/>
      <c r="T22" s="30"/>
      <c r="U22" s="30"/>
      <c r="V22" s="30"/>
      <c r="W22" s="30"/>
    </row>
    <row r="23" spans="1:23" s="31" customFormat="1" ht="5.0999999999999996" customHeight="1" x14ac:dyDescent="0.15">
      <c r="A23" s="32"/>
      <c r="B23" s="33"/>
      <c r="C23" s="33"/>
      <c r="D23" s="34"/>
      <c r="E23" s="33"/>
      <c r="F23" s="287"/>
      <c r="G23" s="33"/>
      <c r="H23" s="69"/>
      <c r="I23" s="33"/>
      <c r="J23" s="33"/>
      <c r="K23" s="70"/>
      <c r="L23" s="36"/>
      <c r="M23" s="142"/>
      <c r="N23" s="29"/>
      <c r="O23" s="29"/>
      <c r="P23" s="29"/>
      <c r="Q23" s="30"/>
      <c r="R23" s="30"/>
      <c r="S23" s="30"/>
      <c r="T23" s="30"/>
      <c r="U23" s="30"/>
      <c r="V23" s="30"/>
      <c r="W23" s="30"/>
    </row>
    <row r="24" spans="1:23" s="31" customFormat="1" ht="20.100000000000001" customHeight="1" x14ac:dyDescent="0.15">
      <c r="A24" s="63" t="str">
        <f>IFERROR(IF(HLOOKUP($L$5,RangeGLOBLUnitsets,M24,FALSE)=0,"",HLOOKUP($L$5,RangeGLOBLUnitsets,M24,FALSE)),"")</f>
        <v>Opt-GEADV</v>
      </c>
      <c r="B24" s="58" t="str">
        <f>IFERROR(IF(VLOOKUP($A24,TableHandbook[],2,FALSE)=0,"",VLOOKUP($A24,TableHandbook[],2,FALSE)),"")</f>
        <v/>
      </c>
      <c r="C24" s="58" t="str">
        <f>IFERROR(IF(VLOOKUP($A24,TableHandbook[],3,FALSE)=0,"",VLOOKUP($A24,TableHandbook[],3,FALSE)),"")</f>
        <v/>
      </c>
      <c r="D24" s="62" t="str">
        <f>IFERROR(IF(VLOOKUP($A24,TableHandbook[],4,FALSE)=0,"",VLOOKUP($A24,TableHandbook[],4,FALSE)),"")</f>
        <v>Study an HRIGT or INTRN Option unit from the lists below</v>
      </c>
      <c r="E24" s="58" t="str">
        <f>IF(A24="","",VLOOKUP($D$6,TableStudyPeriods[],3,FALSE))</f>
        <v>Sem2</v>
      </c>
      <c r="F24" s="283" t="str">
        <f>IFERROR(IF(VLOOKUP($A24,TableHandbook[],6,FALSE)=0,"",VLOOKUP($A24,TableHandbook[],6,FALSE)),"")</f>
        <v>See below</v>
      </c>
      <c r="G24" s="56">
        <f>IFERROR(IF(VLOOKUP($A24,TableHandbook[],5,FALSE)=0,"",VLOOKUP($A24,TableHandbook[],5,FALSE)),"")</f>
        <v>25</v>
      </c>
      <c r="H24" s="67" t="str">
        <f>IFERROR(VLOOKUP($A24,TableHandbook[],H$2,FALSE),"")</f>
        <v/>
      </c>
      <c r="I24" s="56" t="str">
        <f>IFERROR(VLOOKUP($A24,TableHandbook[],I$2,FALSE),"")</f>
        <v/>
      </c>
      <c r="J24" s="56" t="str">
        <f>IFERROR(VLOOKUP($A24,TableHandbook[],J$2,FALSE),"")</f>
        <v/>
      </c>
      <c r="K24" s="68" t="str">
        <f>IFERROR(VLOOKUP($A24,TableHandbook[],K$2,FALSE),"")</f>
        <v/>
      </c>
      <c r="L24" s="65"/>
      <c r="M24" s="142">
        <v>14</v>
      </c>
      <c r="N24" s="29"/>
      <c r="O24" s="29"/>
      <c r="P24" s="30"/>
      <c r="Q24" s="30"/>
      <c r="R24" s="30"/>
      <c r="S24" s="30"/>
      <c r="T24" s="30"/>
      <c r="U24" s="30"/>
      <c r="V24" s="30"/>
      <c r="W24" s="30"/>
    </row>
    <row r="25" spans="1:23" s="31" customFormat="1" ht="20.100000000000001" customHeight="1" x14ac:dyDescent="0.15">
      <c r="A25" s="63" t="str">
        <f>IFERROR(IF(HLOOKUP($L$5,RangeGLOBLUnitsets,M25,FALSE)=0,"",HLOOKUP($L$5,RangeGLOBLUnitsets,M25,FALSE)),"")</f>
        <v>Opt-GEADV</v>
      </c>
      <c r="B25" s="58" t="str">
        <f>IFERROR(IF(VLOOKUP($A25,TableHandbook[],2,FALSE)=0,"",VLOOKUP($A25,TableHandbook[],2,FALSE)),"")</f>
        <v/>
      </c>
      <c r="C25" s="58" t="str">
        <f>IFERROR(IF(VLOOKUP($A25,TableHandbook[],3,FALSE)=0,"",VLOOKUP($A25,TableHandbook[],3,FALSE)),"")</f>
        <v/>
      </c>
      <c r="D25" s="62" t="str">
        <f>IFERROR(IF(VLOOKUP($A25,TableHandbook[],4,FALSE)=0,"",VLOOKUP($A25,TableHandbook[],4,FALSE)),"")</f>
        <v>Study an HRIGT or INTRN Option unit from the lists below</v>
      </c>
      <c r="E25" s="58" t="str">
        <f>IF(OR(A25="",A25="-"),"",E24)</f>
        <v>Sem2</v>
      </c>
      <c r="F25" s="283" t="str">
        <f>IFERROR(IF(VLOOKUP($A25,TableHandbook[],6,FALSE)=0,"",VLOOKUP($A25,TableHandbook[],6,FALSE)),"")</f>
        <v>See below</v>
      </c>
      <c r="G25" s="56">
        <f>IFERROR(IF(VLOOKUP($A25,TableHandbook[],5,FALSE)=0,"",VLOOKUP($A25,TableHandbook[],5,FALSE)),"")</f>
        <v>25</v>
      </c>
      <c r="H25" s="67" t="str">
        <f>IFERROR(VLOOKUP($A25,TableHandbook[],H$2,FALSE),"")</f>
        <v/>
      </c>
      <c r="I25" s="56" t="str">
        <f>IFERROR(VLOOKUP($A25,TableHandbook[],I$2,FALSE),"")</f>
        <v/>
      </c>
      <c r="J25" s="56" t="str">
        <f>IFERROR(VLOOKUP($A25,TableHandbook[],J$2,FALSE),"")</f>
        <v/>
      </c>
      <c r="K25" s="68" t="str">
        <f>IFERROR(VLOOKUP($A25,TableHandbook[],K$2,FALSE),"")</f>
        <v/>
      </c>
      <c r="L25" s="65"/>
      <c r="M25" s="142">
        <v>15</v>
      </c>
      <c r="N25" s="29"/>
      <c r="O25" s="29"/>
      <c r="P25" s="30"/>
      <c r="Q25" s="30"/>
      <c r="R25" s="30"/>
      <c r="S25" s="30"/>
      <c r="T25" s="30"/>
      <c r="U25" s="30"/>
      <c r="V25" s="30"/>
      <c r="W25" s="30"/>
    </row>
    <row r="26" spans="1:23" s="39" customFormat="1" ht="20.100000000000001" customHeight="1" x14ac:dyDescent="0.15">
      <c r="A26" s="63" t="str">
        <f>IFERROR(IF(HLOOKUP($L$5,RangeGLOBLUnitsets,M26,FALSE)=0,"",HLOOKUP($L$5,RangeGLOBLUnitsets,M26,FALSE)),"")</f>
        <v>AC-GLOBL2</v>
      </c>
      <c r="B26" s="58" t="str">
        <f>IFERROR(IF(VLOOKUP($A26,TableHandbook[],2,FALSE)=0,"",VLOOKUP($A26,TableHandbook[],2,FALSE)),"")</f>
        <v/>
      </c>
      <c r="C26" s="58" t="str">
        <f>IFERROR(IF(VLOOKUP($A26,TableHandbook[],3,FALSE)=0,"",VLOOKUP($A26,TableHandbook[],3,FALSE)),"")</f>
        <v/>
      </c>
      <c r="D26" s="62" t="str">
        <f>IFERROR(IF(VLOOKUP($A26,TableHandbook[],4,FALSE)=0,"",VLOOKUP($A26,TableHandbook[],4,FALSE)),"")</f>
        <v>Study either COMS6002 or HUMN6003 (see below)</v>
      </c>
      <c r="E26" s="58" t="str">
        <f t="shared" ref="E26:E27" si="4">IF(OR(A26="",A26="-"),"",E25)</f>
        <v>Sem2</v>
      </c>
      <c r="F26" s="283" t="str">
        <f>IFERROR(IF(VLOOKUP($A26,TableHandbook[],6,FALSE)=0,"",VLOOKUP($A26,TableHandbook[],6,FALSE)),"")</f>
        <v>See below</v>
      </c>
      <c r="G26" s="56">
        <f>IFERROR(IF(VLOOKUP($A26,TableHandbook[],5,FALSE)=0,"",VLOOKUP($A26,TableHandbook[],5,FALSE)),"")</f>
        <v>50</v>
      </c>
      <c r="H26" s="67" t="str">
        <f>IFERROR(VLOOKUP($A26,TableHandbook[],H$2,FALSE),"")</f>
        <v>Y</v>
      </c>
      <c r="I26" s="56" t="str">
        <f>IFERROR(VLOOKUP($A26,TableHandbook[],I$2,FALSE),"")</f>
        <v>Y</v>
      </c>
      <c r="J26" s="56" t="str">
        <f>IFERROR(VLOOKUP($A26,TableHandbook[],J$2,FALSE),"")</f>
        <v>Y</v>
      </c>
      <c r="K26" s="68" t="str">
        <f>IFERROR(VLOOKUP($A26,TableHandbook[],K$2,FALSE),"")</f>
        <v>Y</v>
      </c>
      <c r="L26" s="65"/>
      <c r="M26" s="142">
        <v>16</v>
      </c>
      <c r="N26" s="37"/>
      <c r="O26" s="37"/>
      <c r="P26" s="38"/>
      <c r="Q26" s="38"/>
      <c r="R26" s="38"/>
      <c r="S26" s="38"/>
      <c r="T26" s="38"/>
      <c r="U26" s="38"/>
      <c r="V26" s="38"/>
      <c r="W26" s="38"/>
    </row>
    <row r="27" spans="1:23" s="39" customFormat="1" ht="20.100000000000001" customHeight="1" x14ac:dyDescent="0.15">
      <c r="A27" s="63" t="str">
        <f>IFERROR(IF(HLOOKUP($L$5,RangeGLOBLUnitsets,M27,FALSE)=0,"",HLOOKUP($L$5,RangeGLOBLUnitsets,M27,FALSE)),"")</f>
        <v>-</v>
      </c>
      <c r="B27" s="58" t="str">
        <f>IFERROR(IF(VLOOKUP($A27,TableHandbook[],2,FALSE)=0,"",VLOOKUP($A27,TableHandbook[],2,FALSE)),"")</f>
        <v/>
      </c>
      <c r="C27" s="58" t="str">
        <f>IFERROR(IF(VLOOKUP($A27,TableHandbook[],3,FALSE)=0,"",VLOOKUP($A27,TableHandbook[],3,FALSE)),"")</f>
        <v/>
      </c>
      <c r="D27" s="62" t="str">
        <f>IFERROR(IF(VLOOKUP($A27,TableHandbook[],4,FALSE)=0,"",VLOOKUP($A27,TableHandbook[],4,FALSE)),"")</f>
        <v>Please note this is a 50CP Unit</v>
      </c>
      <c r="E27" s="56" t="str">
        <f t="shared" si="4"/>
        <v/>
      </c>
      <c r="F27" s="283" t="str">
        <f>IFERROR(IF(VLOOKUP($A27,TableHandbook[],6,FALSE)=0,"",VLOOKUP($A27,TableHandbook[],6,FALSE)),"")</f>
        <v/>
      </c>
      <c r="G27" s="56"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65"/>
      <c r="M27" s="142">
        <v>17</v>
      </c>
      <c r="N27" s="37"/>
      <c r="O27" s="37"/>
      <c r="P27" s="38"/>
      <c r="Q27" s="38"/>
      <c r="R27" s="38"/>
      <c r="S27" s="38"/>
      <c r="T27" s="38"/>
      <c r="U27" s="38"/>
      <c r="V27" s="38"/>
      <c r="W27" s="38"/>
    </row>
    <row r="28" spans="1:23" s="39" customFormat="1" ht="20.100000000000001" customHeight="1" x14ac:dyDescent="0.15">
      <c r="A28" s="148"/>
      <c r="B28" s="149"/>
      <c r="C28" s="149"/>
      <c r="D28" s="173"/>
      <c r="E28" s="148"/>
      <c r="F28" s="285"/>
      <c r="G28" s="148"/>
      <c r="H28" s="148"/>
      <c r="I28" s="148"/>
      <c r="J28" s="148"/>
      <c r="K28" s="148"/>
      <c r="L28" s="175"/>
      <c r="M28" s="142"/>
      <c r="N28" s="37"/>
      <c r="O28" s="37"/>
      <c r="P28" s="38"/>
      <c r="Q28" s="38"/>
      <c r="R28" s="38"/>
      <c r="S28" s="38"/>
      <c r="T28" s="38"/>
      <c r="U28" s="38"/>
      <c r="V28" s="38"/>
      <c r="W28" s="38"/>
    </row>
    <row r="29" spans="1:23" ht="20.25" x14ac:dyDescent="0.25">
      <c r="A29" s="203" t="s">
        <v>210</v>
      </c>
      <c r="B29" s="150"/>
      <c r="C29" s="150"/>
      <c r="D29" s="151"/>
      <c r="E29" s="152"/>
      <c r="F29" s="286"/>
      <c r="G29" s="152"/>
      <c r="H29" s="202" t="str">
        <f>H7</f>
        <v>2024 Availabilities</v>
      </c>
      <c r="I29" s="153"/>
      <c r="J29" s="154"/>
      <c r="K29" s="155"/>
      <c r="L29" s="318" t="str">
        <f>VLOOKUP(D5,TableCourses[],2,FALSE)</f>
        <v>MC-GLOBL2</v>
      </c>
      <c r="M29" s="144"/>
      <c r="N29" s="25"/>
      <c r="O29" s="25"/>
      <c r="P29" s="25"/>
      <c r="Q29" s="25"/>
      <c r="R29" s="25"/>
      <c r="S29" s="25"/>
      <c r="T29" s="25"/>
      <c r="U29" s="25"/>
      <c r="V29" s="25"/>
      <c r="W29" s="25"/>
    </row>
    <row r="30" spans="1:23" s="48" customFormat="1" ht="21" x14ac:dyDescent="0.25">
      <c r="A30" s="159"/>
      <c r="B30" s="159"/>
      <c r="C30" s="159"/>
      <c r="D30" s="160" t="s">
        <v>3</v>
      </c>
      <c r="E30" s="165"/>
      <c r="F30" s="276" t="s">
        <v>22</v>
      </c>
      <c r="G30" s="159" t="s">
        <v>23</v>
      </c>
      <c r="H30" s="166" t="str">
        <f>H$8</f>
        <v>Sem1 BEN</v>
      </c>
      <c r="I30" s="165" t="str">
        <f t="shared" ref="I30:L30" si="5">I$8</f>
        <v>Sem1 FO</v>
      </c>
      <c r="J30" s="165" t="str">
        <f t="shared" si="5"/>
        <v>Sem2 BEN</v>
      </c>
      <c r="K30" s="167" t="str">
        <f t="shared" si="5"/>
        <v>Sem2 FO</v>
      </c>
      <c r="L30" s="159" t="str">
        <f t="shared" si="5"/>
        <v>Notes / Progress</v>
      </c>
      <c r="M30" s="144"/>
      <c r="N30" s="47"/>
      <c r="O30" s="47"/>
      <c r="P30" s="47"/>
      <c r="Q30" s="47"/>
      <c r="R30" s="47"/>
      <c r="S30" s="47"/>
      <c r="T30" s="47"/>
      <c r="U30" s="47"/>
      <c r="V30" s="47"/>
      <c r="W30" s="47"/>
    </row>
    <row r="31" spans="1:23" x14ac:dyDescent="0.25">
      <c r="A31" s="199" t="str">
        <f t="shared" ref="A31:A61" si="6">IFERROR(IF(HLOOKUP($L$29,RangeGLOBLOptions,M31,FALSE)=0,"",HLOOKUP($L$29,RangeGLOBLOptions,M31,FALSE)),"")</f>
        <v>AC-INTRNSt</v>
      </c>
      <c r="B31" s="125" t="str">
        <f>IFERROR(IF(VLOOKUP($A31,TableHandbook[],2,FALSE)=0,"",VLOOKUP($A31,TableHandbook[],2,FALSE)),"")</f>
        <v/>
      </c>
      <c r="C31" s="125" t="str">
        <f>IFERROR(IF(VLOOKUP($A31,TableHandbook[],3,FALSE)=0,"",VLOOKUP($A31,TableHandbook[],3,FALSE)),"")</f>
        <v/>
      </c>
      <c r="D31" s="49" t="str">
        <f>IFERROR(IF(VLOOKUP($A31,TableHandbook[],4,FALSE)=0,"",VLOOKUP($A31,TableHandbook[],4,FALSE)),"")</f>
        <v>Study one of INTR5001 or POLS5000 or POLS5003 (see below)</v>
      </c>
      <c r="E31" s="50"/>
      <c r="F31" s="277" t="str">
        <f>IFERROR(IF(VLOOKUP($A31,TableHandbook[],6,FALSE)=0,"",VLOOKUP($A31,TableHandbook[],6,FALSE)),"")</f>
        <v>See below</v>
      </c>
      <c r="G31" s="51">
        <f>IFERROR(IF(VLOOKUP($A31,TableHandbook[],5,FALSE)=0,"",VLOOKUP($A31,TableHandbook[],5,FALSE)),"")</f>
        <v>25</v>
      </c>
      <c r="H31" s="71" t="str">
        <f>IFERROR(VLOOKUP($A31,TableHandbook[],H$2,FALSE),"")</f>
        <v/>
      </c>
      <c r="I31" s="58" t="str">
        <f>IFERROR(VLOOKUP($A31,TableHandbook[],I$2,FALSE),"")</f>
        <v/>
      </c>
      <c r="J31" s="58" t="str">
        <f>IFERROR(VLOOKUP($A31,TableHandbook[],J$2,FALSE),"")</f>
        <v/>
      </c>
      <c r="K31" s="72" t="str">
        <f>IFERROR(VLOOKUP($A31,TableHandbook[],K$2,FALSE),"")</f>
        <v/>
      </c>
      <c r="L31" s="57"/>
      <c r="M31" s="142">
        <v>2</v>
      </c>
      <c r="N31" s="25"/>
      <c r="O31" s="25"/>
      <c r="P31" s="25"/>
      <c r="Q31" s="25"/>
      <c r="R31" s="25"/>
      <c r="S31" s="25"/>
      <c r="T31" s="25"/>
      <c r="U31" s="25"/>
      <c r="V31" s="25"/>
      <c r="W31" s="25"/>
    </row>
    <row r="32" spans="1:23" x14ac:dyDescent="0.25">
      <c r="A32" s="199" t="str">
        <f t="shared" si="6"/>
        <v>INTR5001</v>
      </c>
      <c r="B32" s="125">
        <f>IFERROR(IF(VLOOKUP($A32,TableHandbook[],2,FALSE)=0,"",VLOOKUP($A32,TableHandbook[],2,FALSE)),"")</f>
        <v>1</v>
      </c>
      <c r="C32" s="125" t="str">
        <f>IFERROR(IF(VLOOKUP($A32,TableHandbook[],3,FALSE)=0,"",VLOOKUP($A32,TableHandbook[],3,FALSE)),"")</f>
        <v/>
      </c>
      <c r="D32" s="49" t="str">
        <f>IFERROR(IF(VLOOKUP($A32,TableHandbook[],4,FALSE)=0,"",VLOOKUP($A32,TableHandbook[],4,FALSE)),"")</f>
        <v>Contemporary Issues in International Relations</v>
      </c>
      <c r="E32" s="50"/>
      <c r="F32" s="277" t="str">
        <f>IFERROR(IF(VLOOKUP($A32,TableHandbook[],6,FALSE)=0,"",VLOOKUP($A32,TableHandbook[],6,FALSE)),"")</f>
        <v>None</v>
      </c>
      <c r="G32" s="51">
        <f>IFERROR(IF(VLOOKUP($A32,TableHandbook[],5,FALSE)=0,"",VLOOKUP($A32,TableHandbook[],5,FALSE)),"")</f>
        <v>25</v>
      </c>
      <c r="H32" s="71" t="str">
        <f>IFERROR(VLOOKUP($A32,TableHandbook[],H$2,FALSE),"")</f>
        <v/>
      </c>
      <c r="I32" s="58" t="str">
        <f>IFERROR(VLOOKUP($A32,TableHandbook[],I$2,FALSE),"")</f>
        <v/>
      </c>
      <c r="J32" s="58" t="str">
        <f>IFERROR(VLOOKUP($A32,TableHandbook[],J$2,FALSE),"")</f>
        <v/>
      </c>
      <c r="K32" s="72" t="str">
        <f>IFERROR(VLOOKUP($A32,TableHandbook[],K$2,FALSE),"")</f>
        <v/>
      </c>
      <c r="L32" s="57"/>
      <c r="M32" s="142">
        <v>3</v>
      </c>
      <c r="N32" s="25"/>
      <c r="O32" s="25"/>
      <c r="P32" s="25"/>
      <c r="Q32" s="25"/>
      <c r="R32" s="25"/>
      <c r="S32" s="25"/>
      <c r="T32" s="25"/>
      <c r="U32" s="25"/>
      <c r="V32" s="25"/>
      <c r="W32" s="25"/>
    </row>
    <row r="33" spans="1:23" x14ac:dyDescent="0.25">
      <c r="A33" s="199" t="str">
        <f t="shared" si="6"/>
        <v>POLS5000</v>
      </c>
      <c r="B33" s="125">
        <f>IFERROR(IF(VLOOKUP($A33,TableHandbook[],2,FALSE)=0,"",VLOOKUP($A33,TableHandbook[],2,FALSE)),"")</f>
        <v>2</v>
      </c>
      <c r="C33" s="125" t="str">
        <f>IFERROR(IF(VLOOKUP($A33,TableHandbook[],3,FALSE)=0,"",VLOOKUP($A33,TableHandbook[],3,FALSE)),"")</f>
        <v/>
      </c>
      <c r="D33" s="49" t="str">
        <f>IFERROR(IF(VLOOKUP($A33,TableHandbook[],4,FALSE)=0,"",VLOOKUP($A33,TableHandbook[],4,FALSE)),"")</f>
        <v>Foundations of International Security in the 21st Century</v>
      </c>
      <c r="E33" s="50"/>
      <c r="F33" s="277" t="str">
        <f>IFERROR(IF(VLOOKUP($A33,TableHandbook[],6,FALSE)=0,"",VLOOKUP($A33,TableHandbook[],6,FALSE)),"")</f>
        <v>None</v>
      </c>
      <c r="G33" s="51">
        <f>IFERROR(IF(VLOOKUP($A33,TableHandbook[],5,FALSE)=0,"",VLOOKUP($A33,TableHandbook[],5,FALSE)),"")</f>
        <v>25</v>
      </c>
      <c r="H33" s="71" t="str">
        <f>IFERROR(VLOOKUP($A33,TableHandbook[],H$2,FALSE),"")</f>
        <v/>
      </c>
      <c r="I33" s="58" t="str">
        <f>IFERROR(VLOOKUP($A33,TableHandbook[],I$2,FALSE),"")</f>
        <v/>
      </c>
      <c r="J33" s="58" t="str">
        <f>IFERROR(VLOOKUP($A33,TableHandbook[],J$2,FALSE),"")</f>
        <v>Y</v>
      </c>
      <c r="K33" s="72" t="str">
        <f>IFERROR(VLOOKUP($A33,TableHandbook[],K$2,FALSE),"")</f>
        <v>Y</v>
      </c>
      <c r="L33" s="57"/>
      <c r="M33" s="142">
        <v>4</v>
      </c>
      <c r="N33" s="25"/>
      <c r="O33" s="25"/>
      <c r="P33" s="25"/>
      <c r="Q33" s="25"/>
      <c r="R33" s="25"/>
      <c r="S33" s="25"/>
      <c r="T33" s="25"/>
      <c r="U33" s="25"/>
      <c r="V33" s="25"/>
      <c r="W33" s="25"/>
    </row>
    <row r="34" spans="1:23" x14ac:dyDescent="0.25">
      <c r="A34" s="199" t="str">
        <f t="shared" si="6"/>
        <v>POLS5003</v>
      </c>
      <c r="B34" s="125">
        <f>IFERROR(IF(VLOOKUP($A34,TableHandbook[],2,FALSE)=0,"",VLOOKUP($A34,TableHandbook[],2,FALSE)),"")</f>
        <v>1</v>
      </c>
      <c r="C34" s="125" t="str">
        <f>IFERROR(IF(VLOOKUP($A34,TableHandbook[],3,FALSE)=0,"",VLOOKUP($A34,TableHandbook[],3,FALSE)),"")</f>
        <v/>
      </c>
      <c r="D34" s="49" t="str">
        <f>IFERROR(IF(VLOOKUP($A34,TableHandbook[],4,FALSE)=0,"",VLOOKUP($A34,TableHandbook[],4,FALSE)),"")</f>
        <v>National Security and Strategy</v>
      </c>
      <c r="E34" s="50"/>
      <c r="F34" s="277" t="str">
        <f>IFERROR(IF(VLOOKUP($A34,TableHandbook[],6,FALSE)=0,"",VLOOKUP($A34,TableHandbook[],6,FALSE)),"")</f>
        <v>None</v>
      </c>
      <c r="G34" s="51">
        <f>IFERROR(IF(VLOOKUP($A34,TableHandbook[],5,FALSE)=0,"",VLOOKUP($A34,TableHandbook[],5,FALSE)),"")</f>
        <v>25</v>
      </c>
      <c r="H34" s="71" t="str">
        <f>IFERROR(VLOOKUP($A34,TableHandbook[],H$2,FALSE),"")</f>
        <v>Y</v>
      </c>
      <c r="I34" s="58" t="str">
        <f>IFERROR(VLOOKUP($A34,TableHandbook[],I$2,FALSE),"")</f>
        <v>Y</v>
      </c>
      <c r="J34" s="58" t="str">
        <f>IFERROR(VLOOKUP($A34,TableHandbook[],J$2,FALSE),"")</f>
        <v/>
      </c>
      <c r="K34" s="72" t="str">
        <f>IFERROR(VLOOKUP($A34,TableHandbook[],K$2,FALSE),"")</f>
        <v/>
      </c>
      <c r="L34" s="57"/>
      <c r="M34" s="142">
        <v>5</v>
      </c>
      <c r="N34" s="25"/>
      <c r="O34" s="25"/>
      <c r="P34" s="25"/>
      <c r="Q34" s="25"/>
      <c r="R34" s="25"/>
      <c r="S34" s="25"/>
      <c r="T34" s="25"/>
      <c r="U34" s="25"/>
      <c r="V34" s="25"/>
      <c r="W34" s="25"/>
    </row>
    <row r="35" spans="1:23" x14ac:dyDescent="0.25">
      <c r="A35" s="199" t="str">
        <f t="shared" si="6"/>
        <v xml:space="preserve"> </v>
      </c>
      <c r="B35" s="125" t="str">
        <f>IFERROR(IF(VLOOKUP($A35,TableHandbook[],2,FALSE)=0,"",VLOOKUP($A35,TableHandbook[],2,FALSE)),"")</f>
        <v/>
      </c>
      <c r="C35" s="125" t="str">
        <f>IFERROR(IF(VLOOKUP($A35,TableHandbook[],3,FALSE)=0,"",VLOOKUP($A35,TableHandbook[],3,FALSE)),"")</f>
        <v/>
      </c>
      <c r="D35" s="49" t="str">
        <f>IFERROR(IF(VLOOKUP($A35,TableHandbook[],4,FALSE)=0,"",VLOOKUP($A35,TableHandbook[],4,FALSE)),"")</f>
        <v/>
      </c>
      <c r="E35" s="50"/>
      <c r="F35" s="277" t="str">
        <f>IFERROR(IF(VLOOKUP($A35,TableHandbook[],6,FALSE)=0,"",VLOOKUP($A35,TableHandbook[],6,FALSE)),"")</f>
        <v/>
      </c>
      <c r="G35" s="51" t="str">
        <f>IFERROR(IF(VLOOKUP($A35,TableHandbook[],5,FALSE)=0,"",VLOOKUP($A35,TableHandbook[],5,FALSE)),"")</f>
        <v/>
      </c>
      <c r="H35" s="71" t="str">
        <f>IFERROR(VLOOKUP($A35,TableHandbook[],H$2,FALSE),"")</f>
        <v/>
      </c>
      <c r="I35" s="58" t="str">
        <f>IFERROR(VLOOKUP($A35,TableHandbook[],I$2,FALSE),"")</f>
        <v/>
      </c>
      <c r="J35" s="58" t="str">
        <f>IFERROR(VLOOKUP($A35,TableHandbook[],J$2,FALSE),"")</f>
        <v/>
      </c>
      <c r="K35" s="72" t="str">
        <f>IFERROR(VLOOKUP($A35,TableHandbook[],K$2,FALSE),"")</f>
        <v/>
      </c>
      <c r="L35" s="57"/>
      <c r="M35" s="142">
        <v>6</v>
      </c>
      <c r="N35" s="25"/>
      <c r="O35" s="25"/>
      <c r="P35" s="25"/>
      <c r="Q35" s="25"/>
      <c r="R35" s="25"/>
      <c r="S35" s="25"/>
      <c r="T35" s="25"/>
      <c r="U35" s="25"/>
      <c r="V35" s="25"/>
      <c r="W35" s="25"/>
    </row>
    <row r="36" spans="1:23" x14ac:dyDescent="0.25">
      <c r="A36" s="199" t="str">
        <f t="shared" si="6"/>
        <v>AC-GLOBL1</v>
      </c>
      <c r="B36" s="125" t="str">
        <f>IFERROR(IF(VLOOKUP($A36,TableHandbook[],2,FALSE)=0,"",VLOOKUP($A36,TableHandbook[],2,FALSE)),"")</f>
        <v/>
      </c>
      <c r="C36" s="125" t="str">
        <f>IFERROR(IF(VLOOKUP($A36,TableHandbook[],3,FALSE)=0,"",VLOOKUP($A36,TableHandbook[],3,FALSE)),"")</f>
        <v/>
      </c>
      <c r="D36" s="49" t="str">
        <f>IFERROR(IF(VLOOKUP($A36,TableHandbook[],4,FALSE)=0,"",VLOOKUP($A36,TableHandbook[],4,FALSE)),"")</f>
        <v>Study either COMS6004 or HUMN6001 (see below)</v>
      </c>
      <c r="E36" s="50"/>
      <c r="F36" s="277" t="str">
        <f>IFERROR(IF(VLOOKUP($A36,TableHandbook[],6,FALSE)=0,"",VLOOKUP($A36,TableHandbook[],6,FALSE)),"")</f>
        <v>See below</v>
      </c>
      <c r="G36" s="51">
        <f>IFERROR(IF(VLOOKUP($A36,TableHandbook[],5,FALSE)=0,"",VLOOKUP($A36,TableHandbook[],5,FALSE)),"")</f>
        <v>50</v>
      </c>
      <c r="H36" s="71" t="str">
        <f>IFERROR(VLOOKUP($A36,TableHandbook[],H$2,FALSE),"")</f>
        <v>Y</v>
      </c>
      <c r="I36" s="58" t="str">
        <f>IFERROR(VLOOKUP($A36,TableHandbook[],I$2,FALSE),"")</f>
        <v>Y</v>
      </c>
      <c r="J36" s="58" t="str">
        <f>IFERROR(VLOOKUP($A36,TableHandbook[],J$2,FALSE),"")</f>
        <v>Y</v>
      </c>
      <c r="K36" s="72" t="str">
        <f>IFERROR(VLOOKUP($A36,TableHandbook[],K$2,FALSE),"")</f>
        <v>Y</v>
      </c>
      <c r="L36" s="57"/>
      <c r="M36" s="142">
        <v>7</v>
      </c>
      <c r="N36" s="25"/>
      <c r="O36" s="25"/>
      <c r="P36" s="25"/>
      <c r="Q36" s="25"/>
      <c r="R36" s="25"/>
      <c r="S36" s="25"/>
      <c r="T36" s="25"/>
      <c r="U36" s="25"/>
      <c r="V36" s="25"/>
      <c r="W36" s="25"/>
    </row>
    <row r="37" spans="1:23" x14ac:dyDescent="0.25">
      <c r="A37" s="199" t="str">
        <f t="shared" si="6"/>
        <v>COMS6004</v>
      </c>
      <c r="B37" s="125">
        <f>IFERROR(IF(VLOOKUP($A37,TableHandbook[],2,FALSE)=0,"",VLOOKUP($A37,TableHandbook[],2,FALSE)),"")</f>
        <v>2</v>
      </c>
      <c r="C37" s="125" t="str">
        <f>IFERROR(IF(VLOOKUP($A37,TableHandbook[],3,FALSE)=0,"",VLOOKUP($A37,TableHandbook[],3,FALSE)),"")</f>
        <v/>
      </c>
      <c r="D37" s="49" t="str">
        <f>IFERROR(IF(VLOOKUP($A37,TableHandbook[],4,FALSE)=0,"",VLOOKUP($A37,TableHandbook[],4,FALSE)),"")</f>
        <v>Masters Professional or Creative Project</v>
      </c>
      <c r="E37" s="50"/>
      <c r="F37" s="277" t="str">
        <f>IFERROR(IF(VLOOKUP($A37,TableHandbook[],6,FALSE)=0,"",VLOOKUP($A37,TableHandbook[],6,FALSE)),"")</f>
        <v>Course specific - See Handbook</v>
      </c>
      <c r="G37" s="51">
        <f>IFERROR(IF(VLOOKUP($A37,TableHandbook[],5,FALSE)=0,"",VLOOKUP($A37,TableHandbook[],5,FALSE)),"")</f>
        <v>50</v>
      </c>
      <c r="H37" s="71" t="str">
        <f>IFERROR(VLOOKUP($A37,TableHandbook[],H$2,FALSE),"")</f>
        <v>Y</v>
      </c>
      <c r="I37" s="58" t="str">
        <f>IFERROR(VLOOKUP($A37,TableHandbook[],I$2,FALSE),"")</f>
        <v>Y</v>
      </c>
      <c r="J37" s="58" t="str">
        <f>IFERROR(VLOOKUP($A37,TableHandbook[],J$2,FALSE),"")</f>
        <v>Y</v>
      </c>
      <c r="K37" s="72" t="str">
        <f>IFERROR(VLOOKUP($A37,TableHandbook[],K$2,FALSE),"")</f>
        <v>Y</v>
      </c>
      <c r="L37" s="57"/>
      <c r="M37" s="142">
        <v>8</v>
      </c>
      <c r="N37" s="25"/>
      <c r="O37" s="25"/>
      <c r="P37" s="25"/>
      <c r="Q37" s="25"/>
      <c r="R37" s="25"/>
      <c r="S37" s="25"/>
      <c r="T37" s="25"/>
      <c r="U37" s="25"/>
      <c r="V37" s="25"/>
      <c r="W37" s="25"/>
    </row>
    <row r="38" spans="1:23" x14ac:dyDescent="0.25">
      <c r="A38" s="199" t="str">
        <f t="shared" si="6"/>
        <v>HUMN6001</v>
      </c>
      <c r="B38" s="125">
        <f>IFERROR(IF(VLOOKUP($A38,TableHandbook[],2,FALSE)=0,"",VLOOKUP($A38,TableHandbook[],2,FALSE)),"")</f>
        <v>1</v>
      </c>
      <c r="C38" s="125" t="str">
        <f>IFERROR(IF(VLOOKUP($A38,TableHandbook[],3,FALSE)=0,"",VLOOKUP($A38,TableHandbook[],3,FALSE)),"")</f>
        <v/>
      </c>
      <c r="D38" s="49" t="str">
        <f>IFERROR(IF(VLOOKUP($A38,TableHandbook[],4,FALSE)=0,"",VLOOKUP($A38,TableHandbook[],4,FALSE)),"")</f>
        <v>Masters Research Project 1 (* pre requisite to HUMN6003)</v>
      </c>
      <c r="E38" s="50"/>
      <c r="F38" s="277" t="str">
        <f>IFERROR(IF(VLOOKUP($A38,TableHandbook[],6,FALSE)=0,"",VLOOKUP($A38,TableHandbook[],6,FALSE)),"")</f>
        <v>Course specific - See Handbook</v>
      </c>
      <c r="G38" s="51">
        <f>IFERROR(IF(VLOOKUP($A38,TableHandbook[],5,FALSE)=0,"",VLOOKUP($A38,TableHandbook[],5,FALSE)),"")</f>
        <v>50</v>
      </c>
      <c r="H38" s="71" t="str">
        <f>IFERROR(VLOOKUP($A38,TableHandbook[],H$2,FALSE),"")</f>
        <v>Y</v>
      </c>
      <c r="I38" s="58" t="str">
        <f>IFERROR(VLOOKUP($A38,TableHandbook[],I$2,FALSE),"")</f>
        <v>Y</v>
      </c>
      <c r="J38" s="58" t="str">
        <f>IFERROR(VLOOKUP($A38,TableHandbook[],J$2,FALSE),"")</f>
        <v>Y</v>
      </c>
      <c r="K38" s="72" t="str">
        <f>IFERROR(VLOOKUP($A38,TableHandbook[],K$2,FALSE),"")</f>
        <v>Y</v>
      </c>
      <c r="L38" s="57"/>
      <c r="M38" s="142">
        <v>9</v>
      </c>
      <c r="N38" s="25"/>
      <c r="O38" s="25"/>
      <c r="P38" s="25"/>
      <c r="Q38" s="25"/>
      <c r="R38" s="25"/>
      <c r="S38" s="25"/>
      <c r="T38" s="25"/>
      <c r="U38" s="25"/>
      <c r="V38" s="25"/>
      <c r="W38" s="25"/>
    </row>
    <row r="39" spans="1:23" x14ac:dyDescent="0.25">
      <c r="A39" s="199" t="str">
        <f t="shared" si="6"/>
        <v xml:space="preserve"> </v>
      </c>
      <c r="B39" s="125" t="str">
        <f>IFERROR(IF(VLOOKUP($A39,TableHandbook[],2,FALSE)=0,"",VLOOKUP($A39,TableHandbook[],2,FALSE)),"")</f>
        <v/>
      </c>
      <c r="C39" s="125" t="str">
        <f>IFERROR(IF(VLOOKUP($A39,TableHandbook[],3,FALSE)=0,"",VLOOKUP($A39,TableHandbook[],3,FALSE)),"")</f>
        <v/>
      </c>
      <c r="D39" s="49" t="str">
        <f>IFERROR(IF(VLOOKUP($A39,TableHandbook[],4,FALSE)=0,"",VLOOKUP($A39,TableHandbook[],4,FALSE)),"")</f>
        <v/>
      </c>
      <c r="E39" s="50"/>
      <c r="F39" s="277" t="str">
        <f>IFERROR(IF(VLOOKUP($A39,TableHandbook[],6,FALSE)=0,"",VLOOKUP($A39,TableHandbook[],6,FALSE)),"")</f>
        <v/>
      </c>
      <c r="G39" s="51" t="str">
        <f>IFERROR(IF(VLOOKUP($A39,TableHandbook[],5,FALSE)=0,"",VLOOKUP($A39,TableHandbook[],5,FALSE)),"")</f>
        <v/>
      </c>
      <c r="H39" s="71" t="str">
        <f>IFERROR(VLOOKUP($A39,TableHandbook[],H$2,FALSE),"")</f>
        <v/>
      </c>
      <c r="I39" s="58" t="str">
        <f>IFERROR(VLOOKUP($A39,TableHandbook[],I$2,FALSE),"")</f>
        <v/>
      </c>
      <c r="J39" s="58" t="str">
        <f>IFERROR(VLOOKUP($A39,TableHandbook[],J$2,FALSE),"")</f>
        <v/>
      </c>
      <c r="K39" s="72" t="str">
        <f>IFERROR(VLOOKUP($A39,TableHandbook[],K$2,FALSE),"")</f>
        <v/>
      </c>
      <c r="L39" s="57"/>
      <c r="M39" s="142">
        <v>10</v>
      </c>
      <c r="N39" s="25"/>
      <c r="O39" s="25"/>
      <c r="P39" s="25"/>
      <c r="Q39" s="25"/>
      <c r="R39" s="25"/>
      <c r="S39" s="25"/>
      <c r="T39" s="25"/>
      <c r="U39" s="25"/>
      <c r="V39" s="25"/>
      <c r="W39" s="25"/>
    </row>
    <row r="40" spans="1:23" x14ac:dyDescent="0.25">
      <c r="A40" s="199" t="str">
        <f t="shared" si="6"/>
        <v>AC-GLOBL2</v>
      </c>
      <c r="B40" s="125" t="str">
        <f>IFERROR(IF(VLOOKUP($A40,TableHandbook[],2,FALSE)=0,"",VLOOKUP($A40,TableHandbook[],2,FALSE)),"")</f>
        <v/>
      </c>
      <c r="C40" s="125" t="str">
        <f>IFERROR(IF(VLOOKUP($A40,TableHandbook[],3,FALSE)=0,"",VLOOKUP($A40,TableHandbook[],3,FALSE)),"")</f>
        <v/>
      </c>
      <c r="D40" s="49" t="str">
        <f>IFERROR(IF(VLOOKUP($A40,TableHandbook[],4,FALSE)=0,"",VLOOKUP($A40,TableHandbook[],4,FALSE)),"")</f>
        <v>Study either COMS6002 or HUMN6003 (see below)</v>
      </c>
      <c r="E40" s="50"/>
      <c r="F40" s="277" t="str">
        <f>IFERROR(IF(VLOOKUP($A40,TableHandbook[],6,FALSE)=0,"",VLOOKUP($A40,TableHandbook[],6,FALSE)),"")</f>
        <v>See below</v>
      </c>
      <c r="G40" s="51">
        <f>IFERROR(IF(VLOOKUP($A40,TableHandbook[],5,FALSE)=0,"",VLOOKUP($A40,TableHandbook[],5,FALSE)),"")</f>
        <v>50</v>
      </c>
      <c r="H40" s="71" t="str">
        <f>IFERROR(VLOOKUP($A40,TableHandbook[],H$2,FALSE),"")</f>
        <v>Y</v>
      </c>
      <c r="I40" s="58" t="str">
        <f>IFERROR(VLOOKUP($A40,TableHandbook[],I$2,FALSE),"")</f>
        <v>Y</v>
      </c>
      <c r="J40" s="58" t="str">
        <f>IFERROR(VLOOKUP($A40,TableHandbook[],J$2,FALSE),"")</f>
        <v>Y</v>
      </c>
      <c r="K40" s="72" t="str">
        <f>IFERROR(VLOOKUP($A40,TableHandbook[],K$2,FALSE),"")</f>
        <v>Y</v>
      </c>
      <c r="L40" s="57"/>
      <c r="M40" s="142">
        <v>11</v>
      </c>
      <c r="N40" s="25"/>
      <c r="O40" s="25"/>
      <c r="P40" s="25"/>
      <c r="Q40" s="25"/>
      <c r="R40" s="25"/>
      <c r="S40" s="25"/>
      <c r="T40" s="25"/>
      <c r="U40" s="25"/>
      <c r="V40" s="25"/>
      <c r="W40" s="25"/>
    </row>
    <row r="41" spans="1:23" x14ac:dyDescent="0.25">
      <c r="A41" s="199" t="str">
        <f t="shared" si="6"/>
        <v>COMS6002</v>
      </c>
      <c r="B41" s="125">
        <f>IFERROR(IF(VLOOKUP($A41,TableHandbook[],2,FALSE)=0,"",VLOOKUP($A41,TableHandbook[],2,FALSE)),"")</f>
        <v>3</v>
      </c>
      <c r="C41" s="125" t="str">
        <f>IFERROR(IF(VLOOKUP($A41,TableHandbook[],3,FALSE)=0,"",VLOOKUP($A41,TableHandbook[],3,FALSE)),"")</f>
        <v/>
      </c>
      <c r="D41" s="49" t="str">
        <f>IFERROR(IF(VLOOKUP($A41,TableHandbook[],4,FALSE)=0,"",VLOOKUP($A41,TableHandbook[],4,FALSE)),"")</f>
        <v>Masters Professional Experience</v>
      </c>
      <c r="E41" s="50"/>
      <c r="F41" s="277" t="str">
        <f>IFERROR(IF(VLOOKUP($A41,TableHandbook[],6,FALSE)=0,"",VLOOKUP($A41,TableHandbook[],6,FALSE)),"")</f>
        <v>Course specific - See Handbook</v>
      </c>
      <c r="G41" s="51">
        <f>IFERROR(IF(VLOOKUP($A41,TableHandbook[],5,FALSE)=0,"",VLOOKUP($A41,TableHandbook[],5,FALSE)),"")</f>
        <v>50</v>
      </c>
      <c r="H41" s="71" t="str">
        <f>IFERROR(VLOOKUP($A41,TableHandbook[],H$2,FALSE),"")</f>
        <v>Y</v>
      </c>
      <c r="I41" s="58" t="str">
        <f>IFERROR(VLOOKUP($A41,TableHandbook[],I$2,FALSE),"")</f>
        <v>Y</v>
      </c>
      <c r="J41" s="58" t="str">
        <f>IFERROR(VLOOKUP($A41,TableHandbook[],J$2,FALSE),"")</f>
        <v>Y</v>
      </c>
      <c r="K41" s="72" t="str">
        <f>IFERROR(VLOOKUP($A41,TableHandbook[],K$2,FALSE),"")</f>
        <v>Y</v>
      </c>
      <c r="L41" s="57"/>
      <c r="M41" s="142">
        <v>12</v>
      </c>
      <c r="N41" s="25"/>
      <c r="O41" s="25"/>
      <c r="P41" s="25"/>
      <c r="Q41" s="25"/>
      <c r="R41" s="25"/>
      <c r="S41" s="25"/>
      <c r="T41" s="25"/>
      <c r="U41" s="25"/>
      <c r="V41" s="25"/>
      <c r="W41" s="25"/>
    </row>
    <row r="42" spans="1:23" x14ac:dyDescent="0.25">
      <c r="A42" s="199" t="str">
        <f t="shared" si="6"/>
        <v>HUMN6003</v>
      </c>
      <c r="B42" s="125">
        <f>IFERROR(IF(VLOOKUP($A42,TableHandbook[],2,FALSE)=0,"",VLOOKUP($A42,TableHandbook[],2,FALSE)),"")</f>
        <v>1</v>
      </c>
      <c r="C42" s="125" t="str">
        <f>IFERROR(IF(VLOOKUP($A42,TableHandbook[],3,FALSE)=0,"",VLOOKUP($A42,TableHandbook[],3,FALSE)),"")</f>
        <v/>
      </c>
      <c r="D42" s="49" t="str">
        <f>IFERROR(IF(VLOOKUP($A42,TableHandbook[],4,FALSE)=0,"",VLOOKUP($A42,TableHandbook[],4,FALSE)),"")</f>
        <v>Masters Research Project 2 (* must study HUMN6001 first)</v>
      </c>
      <c r="E42" s="50"/>
      <c r="F42" s="277" t="str">
        <f>IFERROR(IF(VLOOKUP($A42,TableHandbook[],6,FALSE)=0,"",VLOOKUP($A42,TableHandbook[],6,FALSE)),"")</f>
        <v>HUMN6001</v>
      </c>
      <c r="G42" s="51">
        <f>IFERROR(IF(VLOOKUP($A42,TableHandbook[],5,FALSE)=0,"",VLOOKUP($A42,TableHandbook[],5,FALSE)),"")</f>
        <v>50</v>
      </c>
      <c r="H42" s="71" t="str">
        <f>IFERROR(VLOOKUP($A42,TableHandbook[],H$2,FALSE),"")</f>
        <v>Y</v>
      </c>
      <c r="I42" s="58" t="str">
        <f>IFERROR(VLOOKUP($A42,TableHandbook[],I$2,FALSE),"")</f>
        <v>Y</v>
      </c>
      <c r="J42" s="58" t="str">
        <f>IFERROR(VLOOKUP($A42,TableHandbook[],J$2,FALSE),"")</f>
        <v>Y</v>
      </c>
      <c r="K42" s="72" t="str">
        <f>IFERROR(VLOOKUP($A42,TableHandbook[],K$2,FALSE),"")</f>
        <v>Y</v>
      </c>
      <c r="L42" s="57"/>
      <c r="M42" s="142">
        <v>13</v>
      </c>
      <c r="N42" s="25"/>
      <c r="O42" s="25"/>
      <c r="P42" s="25"/>
      <c r="Q42" s="25"/>
      <c r="R42" s="25"/>
      <c r="S42" s="25"/>
      <c r="T42" s="25"/>
      <c r="U42" s="25"/>
      <c r="V42" s="25"/>
      <c r="W42" s="25"/>
    </row>
    <row r="43" spans="1:23" x14ac:dyDescent="0.25">
      <c r="A43" s="199" t="str">
        <f t="shared" si="6"/>
        <v xml:space="preserve"> </v>
      </c>
      <c r="B43" s="125" t="str">
        <f>IFERROR(IF(VLOOKUP($A43,TableHandbook[],2,FALSE)=0,"",VLOOKUP($A43,TableHandbook[],2,FALSE)),"")</f>
        <v/>
      </c>
      <c r="C43" s="125" t="str">
        <f>IFERROR(IF(VLOOKUP($A43,TableHandbook[],3,FALSE)=0,"",VLOOKUP($A43,TableHandbook[],3,FALSE)),"")</f>
        <v/>
      </c>
      <c r="D43" s="49" t="str">
        <f>IFERROR(IF(VLOOKUP($A43,TableHandbook[],4,FALSE)=0,"",VLOOKUP($A43,TableHandbook[],4,FALSE)),"")</f>
        <v/>
      </c>
      <c r="E43" s="50"/>
      <c r="F43" s="277" t="str">
        <f>IFERROR(IF(VLOOKUP($A43,TableHandbook[],6,FALSE)=0,"",VLOOKUP($A43,TableHandbook[],6,FALSE)),"")</f>
        <v/>
      </c>
      <c r="G43" s="51" t="str">
        <f>IFERROR(IF(VLOOKUP($A43,TableHandbook[],5,FALSE)=0,"",VLOOKUP($A43,TableHandbook[],5,FALSE)),"")</f>
        <v/>
      </c>
      <c r="H43" s="71" t="str">
        <f>IFERROR(VLOOKUP($A43,TableHandbook[],H$2,FALSE),"")</f>
        <v/>
      </c>
      <c r="I43" s="58" t="str">
        <f>IFERROR(VLOOKUP($A43,TableHandbook[],I$2,FALSE),"")</f>
        <v/>
      </c>
      <c r="J43" s="58" t="str">
        <f>IFERROR(VLOOKUP($A43,TableHandbook[],J$2,FALSE),"")</f>
        <v/>
      </c>
      <c r="K43" s="72" t="str">
        <f>IFERROR(VLOOKUP($A43,TableHandbook[],K$2,FALSE),"")</f>
        <v/>
      </c>
      <c r="L43" s="57"/>
      <c r="M43" s="142">
        <v>14</v>
      </c>
      <c r="N43" s="25"/>
      <c r="O43" s="25"/>
      <c r="P43" s="25"/>
      <c r="Q43" s="25"/>
      <c r="R43" s="25"/>
      <c r="S43" s="25"/>
      <c r="T43" s="25"/>
      <c r="U43" s="25"/>
      <c r="V43" s="25"/>
      <c r="W43" s="25"/>
    </row>
    <row r="44" spans="1:23" x14ac:dyDescent="0.25">
      <c r="A44" s="199" t="str">
        <f t="shared" si="6"/>
        <v>Opt-INTRNSt</v>
      </c>
      <c r="B44" s="125" t="str">
        <f>IFERROR(IF(VLOOKUP($A44,TableHandbook[],2,FALSE)=0,"",VLOOKUP($A44,TableHandbook[],2,FALSE)),"")</f>
        <v/>
      </c>
      <c r="C44" s="125" t="str">
        <f>IFERROR(IF(VLOOKUP($A44,TableHandbook[],3,FALSE)=0,"",VLOOKUP($A44,TableHandbook[],3,FALSE)),"")</f>
        <v/>
      </c>
      <c r="D44" s="49" t="str">
        <f>IFERROR(IF(VLOOKUP($A44,TableHandbook[],4,FALSE)=0,"",VLOOKUP($A44,TableHandbook[],4,FALSE)),"")</f>
        <v>Study 75CP of Option units from this list</v>
      </c>
      <c r="E44" s="50"/>
      <c r="F44" s="277" t="str">
        <f>IFERROR(IF(VLOOKUP($A44,TableHandbook[],6,FALSE)=0,"",VLOOKUP($A44,TableHandbook[],6,FALSE)),"")</f>
        <v>See below</v>
      </c>
      <c r="G44" s="51">
        <f>IFERROR(IF(VLOOKUP($A44,TableHandbook[],5,FALSE)=0,"",VLOOKUP($A44,TableHandbook[],5,FALSE)),"")</f>
        <v>75</v>
      </c>
      <c r="H44" s="71" t="str">
        <f>IFERROR(VLOOKUP($A44,TableHandbook[],H$2,FALSE),"")</f>
        <v/>
      </c>
      <c r="I44" s="58" t="str">
        <f>IFERROR(VLOOKUP($A44,TableHandbook[],I$2,FALSE),"")</f>
        <v/>
      </c>
      <c r="J44" s="58" t="str">
        <f>IFERROR(VLOOKUP($A44,TableHandbook[],J$2,FALSE),"")</f>
        <v/>
      </c>
      <c r="K44" s="72" t="str">
        <f>IFERROR(VLOOKUP($A44,TableHandbook[],K$2,FALSE),"")</f>
        <v/>
      </c>
      <c r="L44" s="57"/>
      <c r="M44" s="142">
        <v>15</v>
      </c>
      <c r="N44" s="25"/>
      <c r="O44" s="25"/>
      <c r="P44" s="25"/>
      <c r="Q44" s="25"/>
      <c r="R44" s="25"/>
      <c r="S44" s="25"/>
      <c r="T44" s="25"/>
      <c r="U44" s="25"/>
      <c r="V44" s="25"/>
      <c r="W44" s="25"/>
    </row>
    <row r="45" spans="1:23" x14ac:dyDescent="0.25">
      <c r="A45" s="199" t="str">
        <f t="shared" si="6"/>
        <v>INTR5002</v>
      </c>
      <c r="B45" s="125">
        <f>IFERROR(IF(VLOOKUP($A45,TableHandbook[],2,FALSE)=0,"",VLOOKUP($A45,TableHandbook[],2,FALSE)),"")</f>
        <v>1</v>
      </c>
      <c r="C45" s="125" t="str">
        <f>IFERROR(IF(VLOOKUP($A45,TableHandbook[],3,FALSE)=0,"",VLOOKUP($A45,TableHandbook[],3,FALSE)),"")</f>
        <v/>
      </c>
      <c r="D45" s="49" t="str">
        <f>IFERROR(IF(VLOOKUP($A45,TableHandbook[],4,FALSE)=0,"",VLOOKUP($A45,TableHandbook[],4,FALSE)),"")</f>
        <v>Asia Pacific Studies</v>
      </c>
      <c r="E45" s="50"/>
      <c r="F45" s="277" t="str">
        <f>IFERROR(IF(VLOOKUP($A45,TableHandbook[],6,FALSE)=0,"",VLOOKUP($A45,TableHandbook[],6,FALSE)),"")</f>
        <v>None</v>
      </c>
      <c r="G45" s="51">
        <f>IFERROR(IF(VLOOKUP($A45,TableHandbook[],5,FALSE)=0,"",VLOOKUP($A45,TableHandbook[],5,FALSE)),"")</f>
        <v>25</v>
      </c>
      <c r="H45" s="71" t="str">
        <f>IFERROR(VLOOKUP($A45,TableHandbook[],H$2,FALSE),"")</f>
        <v/>
      </c>
      <c r="I45" s="58" t="str">
        <f>IFERROR(VLOOKUP($A45,TableHandbook[],I$2,FALSE),"")</f>
        <v/>
      </c>
      <c r="J45" s="58" t="str">
        <f>IFERROR(VLOOKUP($A45,TableHandbook[],J$2,FALSE),"")</f>
        <v/>
      </c>
      <c r="K45" s="72" t="str">
        <f>IFERROR(VLOOKUP($A45,TableHandbook[],K$2,FALSE),"")</f>
        <v>Y</v>
      </c>
      <c r="L45" s="57"/>
      <c r="M45" s="142">
        <v>16</v>
      </c>
      <c r="N45" s="25"/>
      <c r="O45" s="25"/>
      <c r="P45" s="25"/>
      <c r="Q45" s="25"/>
      <c r="R45" s="25"/>
      <c r="S45" s="25"/>
      <c r="T45" s="25"/>
      <c r="U45" s="25"/>
      <c r="V45" s="25"/>
      <c r="W45" s="25"/>
    </row>
    <row r="46" spans="1:23" x14ac:dyDescent="0.25">
      <c r="A46" s="199" t="str">
        <f t="shared" si="6"/>
        <v>INTR5003</v>
      </c>
      <c r="B46" s="125">
        <f>IFERROR(IF(VLOOKUP($A46,TableHandbook[],2,FALSE)=0,"",VLOOKUP($A46,TableHandbook[],2,FALSE)),"")</f>
        <v>1</v>
      </c>
      <c r="C46" s="125" t="str">
        <f>IFERROR(IF(VLOOKUP($A46,TableHandbook[],3,FALSE)=0,"",VLOOKUP($A46,TableHandbook[],3,FALSE)),"")</f>
        <v/>
      </c>
      <c r="D46" s="49" t="str">
        <f>IFERROR(IF(VLOOKUP($A46,TableHandbook[],4,FALSE)=0,"",VLOOKUP($A46,TableHandbook[],4,FALSE)),"")</f>
        <v>Strategic Geography</v>
      </c>
      <c r="E46" s="50"/>
      <c r="F46" s="277" t="str">
        <f>IFERROR(IF(VLOOKUP($A46,TableHandbook[],6,FALSE)=0,"",VLOOKUP($A46,TableHandbook[],6,FALSE)),"")</f>
        <v>None</v>
      </c>
      <c r="G46" s="51">
        <f>IFERROR(IF(VLOOKUP($A46,TableHandbook[],5,FALSE)=0,"",VLOOKUP($A46,TableHandbook[],5,FALSE)),"")</f>
        <v>25</v>
      </c>
      <c r="H46" s="71" t="str">
        <f>IFERROR(VLOOKUP($A46,TableHandbook[],H$2,FALSE),"")</f>
        <v/>
      </c>
      <c r="I46" s="58" t="str">
        <f>IFERROR(VLOOKUP($A46,TableHandbook[],I$2,FALSE),"")</f>
        <v/>
      </c>
      <c r="J46" s="58" t="str">
        <f>IFERROR(VLOOKUP($A46,TableHandbook[],J$2,FALSE),"")</f>
        <v>Y</v>
      </c>
      <c r="K46" s="72" t="str">
        <f>IFERROR(VLOOKUP($A46,TableHandbook[],K$2,FALSE),"")</f>
        <v>Y</v>
      </c>
      <c r="L46" s="57"/>
      <c r="M46" s="142">
        <v>17</v>
      </c>
      <c r="N46" s="25"/>
      <c r="O46" s="25"/>
      <c r="P46" s="25"/>
      <c r="Q46" s="25"/>
      <c r="R46" s="25"/>
      <c r="S46" s="25"/>
      <c r="T46" s="25"/>
      <c r="U46" s="25"/>
      <c r="V46" s="25"/>
      <c r="W46" s="25"/>
    </row>
    <row r="47" spans="1:23" x14ac:dyDescent="0.25">
      <c r="A47" s="199" t="str">
        <f t="shared" si="6"/>
        <v>INTR5004</v>
      </c>
      <c r="B47" s="125">
        <f>IFERROR(IF(VLOOKUP($A47,TableHandbook[],2,FALSE)=0,"",VLOOKUP($A47,TableHandbook[],2,FALSE)),"")</f>
        <v>1</v>
      </c>
      <c r="C47" s="125" t="str">
        <f>IFERROR(IF(VLOOKUP($A47,TableHandbook[],3,FALSE)=0,"",VLOOKUP($A47,TableHandbook[],3,FALSE)),"")</f>
        <v/>
      </c>
      <c r="D47" s="49" t="str">
        <f>IFERROR(IF(VLOOKUP($A47,TableHandbook[],4,FALSE)=0,"",VLOOKUP($A47,TableHandbook[],4,FALSE)),"")</f>
        <v>Russian and Eurasian Studies</v>
      </c>
      <c r="E47" s="50"/>
      <c r="F47" s="277" t="str">
        <f>IFERROR(IF(VLOOKUP($A47,TableHandbook[],6,FALSE)=0,"",VLOOKUP($A47,TableHandbook[],6,FALSE)),"")</f>
        <v>None</v>
      </c>
      <c r="G47" s="51">
        <f>IFERROR(IF(VLOOKUP($A47,TableHandbook[],5,FALSE)=0,"",VLOOKUP($A47,TableHandbook[],5,FALSE)),"")</f>
        <v>25</v>
      </c>
      <c r="H47" s="71" t="str">
        <f>IFERROR(VLOOKUP($A47,TableHandbook[],H$2,FALSE),"")</f>
        <v>Y</v>
      </c>
      <c r="I47" s="58" t="str">
        <f>IFERROR(VLOOKUP($A47,TableHandbook[],I$2,FALSE),"")</f>
        <v>Y</v>
      </c>
      <c r="J47" s="58" t="str">
        <f>IFERROR(VLOOKUP($A47,TableHandbook[],J$2,FALSE),"")</f>
        <v/>
      </c>
      <c r="K47" s="72" t="str">
        <f>IFERROR(VLOOKUP($A47,TableHandbook[],K$2,FALSE),"")</f>
        <v/>
      </c>
      <c r="L47" s="57"/>
      <c r="M47" s="142">
        <v>18</v>
      </c>
      <c r="N47" s="25"/>
      <c r="O47" s="25"/>
      <c r="P47" s="25"/>
      <c r="Q47" s="25"/>
      <c r="R47" s="25"/>
      <c r="S47" s="25"/>
      <c r="T47" s="25"/>
      <c r="U47" s="25"/>
      <c r="V47" s="25"/>
      <c r="W47" s="25"/>
    </row>
    <row r="48" spans="1:23" x14ac:dyDescent="0.25">
      <c r="A48" s="199" t="str">
        <f t="shared" si="6"/>
        <v>INTR5005</v>
      </c>
      <c r="B48" s="125">
        <f>IFERROR(IF(VLOOKUP($A48,TableHandbook[],2,FALSE)=0,"",VLOOKUP($A48,TableHandbook[],2,FALSE)),"")</f>
        <v>1</v>
      </c>
      <c r="C48" s="125" t="str">
        <f>IFERROR(IF(VLOOKUP($A48,TableHandbook[],3,FALSE)=0,"",VLOOKUP($A48,TableHandbook[],3,FALSE)),"")</f>
        <v/>
      </c>
      <c r="D48" s="49" t="str">
        <f>IFERROR(IF(VLOOKUP($A48,TableHandbook[],4,FALSE)=0,"",VLOOKUP($A48,TableHandbook[],4,FALSE)),"")</f>
        <v>Globalised Terrorism</v>
      </c>
      <c r="E48" s="50"/>
      <c r="F48" s="277" t="str">
        <f>IFERROR(IF(VLOOKUP($A48,TableHandbook[],6,FALSE)=0,"",VLOOKUP($A48,TableHandbook[],6,FALSE)),"")</f>
        <v>None</v>
      </c>
      <c r="G48" s="51">
        <f>IFERROR(IF(VLOOKUP($A48,TableHandbook[],5,FALSE)=0,"",VLOOKUP($A48,TableHandbook[],5,FALSE)),"")</f>
        <v>25</v>
      </c>
      <c r="H48" s="71" t="str">
        <f>IFERROR(VLOOKUP($A48,TableHandbook[],H$2,FALSE),"")</f>
        <v>Y</v>
      </c>
      <c r="I48" s="58" t="str">
        <f>IFERROR(VLOOKUP($A48,TableHandbook[],I$2,FALSE),"")</f>
        <v>Y</v>
      </c>
      <c r="J48" s="58" t="str">
        <f>IFERROR(VLOOKUP($A48,TableHandbook[],J$2,FALSE),"")</f>
        <v/>
      </c>
      <c r="K48" s="72" t="str">
        <f>IFERROR(VLOOKUP($A48,TableHandbook[],K$2,FALSE),"")</f>
        <v/>
      </c>
      <c r="L48" s="57"/>
      <c r="M48" s="142">
        <v>19</v>
      </c>
      <c r="N48" s="25"/>
      <c r="O48" s="25"/>
      <c r="P48" s="25"/>
      <c r="Q48" s="25"/>
      <c r="R48" s="25"/>
      <c r="S48" s="25"/>
      <c r="T48" s="25"/>
      <c r="U48" s="25"/>
      <c r="V48" s="25"/>
      <c r="W48" s="25"/>
    </row>
    <row r="49" spans="1:23" x14ac:dyDescent="0.25">
      <c r="A49" s="199" t="str">
        <f t="shared" si="6"/>
        <v>INTR5006</v>
      </c>
      <c r="B49" s="125">
        <f>IFERROR(IF(VLOOKUP($A49,TableHandbook[],2,FALSE)=0,"",VLOOKUP($A49,TableHandbook[],2,FALSE)),"")</f>
        <v>1</v>
      </c>
      <c r="C49" s="125" t="str">
        <f>IFERROR(IF(VLOOKUP($A49,TableHandbook[],3,FALSE)=0,"",VLOOKUP($A49,TableHandbook[],3,FALSE)),"")</f>
        <v/>
      </c>
      <c r="D49" s="49" t="str">
        <f>IFERROR(IF(VLOOKUP($A49,TableHandbook[],4,FALSE)=0,"",VLOOKUP($A49,TableHandbook[],4,FALSE)),"")</f>
        <v>Intelligence and Analysis</v>
      </c>
      <c r="E49" s="50"/>
      <c r="F49" s="277" t="str">
        <f>IFERROR(IF(VLOOKUP($A49,TableHandbook[],6,FALSE)=0,"",VLOOKUP($A49,TableHandbook[],6,FALSE)),"")</f>
        <v>None</v>
      </c>
      <c r="G49" s="51">
        <f>IFERROR(IF(VLOOKUP($A49,TableHandbook[],5,FALSE)=0,"",VLOOKUP($A49,TableHandbook[],5,FALSE)),"")</f>
        <v>25</v>
      </c>
      <c r="H49" s="71" t="str">
        <f>IFERROR(VLOOKUP($A49,TableHandbook[],H$2,FALSE),"")</f>
        <v/>
      </c>
      <c r="I49" s="58" t="str">
        <f>IFERROR(VLOOKUP($A49,TableHandbook[],I$2,FALSE),"")</f>
        <v/>
      </c>
      <c r="J49" s="58" t="str">
        <f>IFERROR(VLOOKUP($A49,TableHandbook[],J$2,FALSE),"")</f>
        <v>Y</v>
      </c>
      <c r="K49" s="72" t="str">
        <f>IFERROR(VLOOKUP($A49,TableHandbook[],K$2,FALSE),"")</f>
        <v>Y</v>
      </c>
      <c r="L49" s="57"/>
      <c r="M49" s="142">
        <v>20</v>
      </c>
      <c r="N49" s="25"/>
      <c r="O49" s="25"/>
      <c r="P49" s="25"/>
      <c r="Q49" s="25"/>
      <c r="R49" s="25"/>
      <c r="S49" s="25"/>
      <c r="T49" s="25"/>
      <c r="U49" s="25"/>
      <c r="V49" s="25"/>
      <c r="W49" s="25"/>
    </row>
    <row r="50" spans="1:23" x14ac:dyDescent="0.25">
      <c r="A50" s="199" t="str">
        <f t="shared" si="6"/>
        <v>INTR5008</v>
      </c>
      <c r="B50" s="125">
        <f>IFERROR(IF(VLOOKUP($A50,TableHandbook[],2,FALSE)=0,"",VLOOKUP($A50,TableHandbook[],2,FALSE)),"")</f>
        <v>2</v>
      </c>
      <c r="C50" s="125" t="str">
        <f>IFERROR(IF(VLOOKUP($A50,TableHandbook[],3,FALSE)=0,"",VLOOKUP($A50,TableHandbook[],3,FALSE)),"")</f>
        <v/>
      </c>
      <c r="D50" s="49" t="str">
        <f>IFERROR(IF(VLOOKUP($A50,TableHandbook[],4,FALSE)=0,"",VLOOKUP($A50,TableHandbook[],4,FALSE)),"")</f>
        <v>Cultures of Violence and Conflict</v>
      </c>
      <c r="E50" s="50"/>
      <c r="F50" s="277" t="str">
        <f>IFERROR(IF(VLOOKUP($A50,TableHandbook[],6,FALSE)=0,"",VLOOKUP($A50,TableHandbook[],6,FALSE)),"")</f>
        <v>None</v>
      </c>
      <c r="G50" s="51">
        <f>IFERROR(IF(VLOOKUP($A50,TableHandbook[],5,FALSE)=0,"",VLOOKUP($A50,TableHandbook[],5,FALSE)),"")</f>
        <v>25</v>
      </c>
      <c r="H50" s="71" t="str">
        <f>IFERROR(VLOOKUP($A50,TableHandbook[],H$2,FALSE),"")</f>
        <v>Y</v>
      </c>
      <c r="I50" s="58" t="str">
        <f>IFERROR(VLOOKUP($A50,TableHandbook[],I$2,FALSE),"")</f>
        <v>Y</v>
      </c>
      <c r="J50" s="58" t="str">
        <f>IFERROR(VLOOKUP($A50,TableHandbook[],J$2,FALSE),"")</f>
        <v/>
      </c>
      <c r="K50" s="72" t="str">
        <f>IFERROR(VLOOKUP($A50,TableHandbook[],K$2,FALSE),"")</f>
        <v/>
      </c>
      <c r="L50" s="57"/>
      <c r="M50" s="142">
        <v>21</v>
      </c>
      <c r="N50" s="25"/>
      <c r="O50" s="25"/>
      <c r="P50" s="25"/>
      <c r="Q50" s="25"/>
      <c r="R50" s="25"/>
      <c r="S50" s="25"/>
      <c r="T50" s="25"/>
      <c r="U50" s="25"/>
      <c r="V50" s="25"/>
      <c r="W50" s="25"/>
    </row>
    <row r="51" spans="1:23" x14ac:dyDescent="0.25">
      <c r="A51" s="199" t="str">
        <f t="shared" si="6"/>
        <v>INTR5009</v>
      </c>
      <c r="B51" s="125">
        <f>IFERROR(IF(VLOOKUP($A51,TableHandbook[],2,FALSE)=0,"",VLOOKUP($A51,TableHandbook[],2,FALSE)),"")</f>
        <v>1</v>
      </c>
      <c r="C51" s="125" t="str">
        <f>IFERROR(IF(VLOOKUP($A51,TableHandbook[],3,FALSE)=0,"",VLOOKUP($A51,TableHandbook[],3,FALSE)),"")</f>
        <v/>
      </c>
      <c r="D51" s="49" t="str">
        <f>IFERROR(IF(VLOOKUP($A51,TableHandbook[],4,FALSE)=0,"",VLOOKUP($A51,TableHandbook[],4,FALSE)),"")</f>
        <v>Information Operations and Cyber Power</v>
      </c>
      <c r="E51" s="50"/>
      <c r="F51" s="277" t="str">
        <f>IFERROR(IF(VLOOKUP($A51,TableHandbook[],6,FALSE)=0,"",VLOOKUP($A51,TableHandbook[],6,FALSE)),"")</f>
        <v>None</v>
      </c>
      <c r="G51" s="51">
        <f>IFERROR(IF(VLOOKUP($A51,TableHandbook[],5,FALSE)=0,"",VLOOKUP($A51,TableHandbook[],5,FALSE)),"")</f>
        <v>25</v>
      </c>
      <c r="H51" s="71" t="str">
        <f>IFERROR(VLOOKUP($A51,TableHandbook[],H$2,FALSE),"")</f>
        <v>Y</v>
      </c>
      <c r="I51" s="58" t="str">
        <f>IFERROR(VLOOKUP($A51,TableHandbook[],I$2,FALSE),"")</f>
        <v>Y</v>
      </c>
      <c r="J51" s="58" t="str">
        <f>IFERROR(VLOOKUP($A51,TableHandbook[],J$2,FALSE),"")</f>
        <v/>
      </c>
      <c r="K51" s="72" t="str">
        <f>IFERROR(VLOOKUP($A51,TableHandbook[],K$2,FALSE),"")</f>
        <v/>
      </c>
      <c r="L51" s="57"/>
      <c r="M51" s="142">
        <v>22</v>
      </c>
      <c r="N51" s="25"/>
      <c r="O51" s="25"/>
      <c r="P51" s="25"/>
      <c r="Q51" s="25"/>
      <c r="R51" s="25"/>
      <c r="S51" s="25"/>
      <c r="T51" s="25"/>
      <c r="U51" s="25"/>
      <c r="V51" s="25"/>
      <c r="W51" s="25"/>
    </row>
    <row r="52" spans="1:23" x14ac:dyDescent="0.25">
      <c r="A52" s="199" t="str">
        <f t="shared" si="6"/>
        <v>POLS5002</v>
      </c>
      <c r="B52" s="125">
        <f>IFERROR(IF(VLOOKUP($A52,TableHandbook[],2,FALSE)=0,"",VLOOKUP($A52,TableHandbook[],2,FALSE)),"")</f>
        <v>1</v>
      </c>
      <c r="C52" s="125" t="str">
        <f>IFERROR(IF(VLOOKUP($A52,TableHandbook[],3,FALSE)=0,"",VLOOKUP($A52,TableHandbook[],3,FALSE)),"")</f>
        <v/>
      </c>
      <c r="D52" s="49" t="str">
        <f>IFERROR(IF(VLOOKUP($A52,TableHandbook[],4,FALSE)=0,"",VLOOKUP($A52,TableHandbook[],4,FALSE)),"")</f>
        <v>Security and Conflict in the Indian Ocean and Persian Gulf</v>
      </c>
      <c r="E52" s="50"/>
      <c r="F52" s="277" t="str">
        <f>IFERROR(IF(VLOOKUP($A52,TableHandbook[],6,FALSE)=0,"",VLOOKUP($A52,TableHandbook[],6,FALSE)),"")</f>
        <v>None</v>
      </c>
      <c r="G52" s="51">
        <f>IFERROR(IF(VLOOKUP($A52,TableHandbook[],5,FALSE)=0,"",VLOOKUP($A52,TableHandbook[],5,FALSE)),"")</f>
        <v>25</v>
      </c>
      <c r="H52" s="71" t="str">
        <f>IFERROR(VLOOKUP($A52,TableHandbook[],H$2,FALSE),"")</f>
        <v>Y</v>
      </c>
      <c r="I52" s="58" t="str">
        <f>IFERROR(VLOOKUP($A52,TableHandbook[],I$2,FALSE),"")</f>
        <v>Y</v>
      </c>
      <c r="J52" s="58" t="str">
        <f>IFERROR(VLOOKUP($A52,TableHandbook[],J$2,FALSE),"")</f>
        <v/>
      </c>
      <c r="K52" s="72" t="str">
        <f>IFERROR(VLOOKUP($A52,TableHandbook[],K$2,FALSE),"")</f>
        <v/>
      </c>
      <c r="L52" s="57"/>
      <c r="M52" s="142">
        <v>23</v>
      </c>
      <c r="N52" s="25"/>
      <c r="O52" s="25"/>
      <c r="P52" s="25"/>
      <c r="Q52" s="25"/>
      <c r="R52" s="25"/>
      <c r="S52" s="25"/>
      <c r="T52" s="25"/>
      <c r="U52" s="25"/>
      <c r="V52" s="25"/>
      <c r="W52" s="25"/>
    </row>
    <row r="53" spans="1:23" x14ac:dyDescent="0.25">
      <c r="A53" s="199" t="str">
        <f t="shared" si="6"/>
        <v>POLS5004</v>
      </c>
      <c r="B53" s="125">
        <f>IFERROR(IF(VLOOKUP($A53,TableHandbook[],2,FALSE)=0,"",VLOOKUP($A53,TableHandbook[],2,FALSE)),"")</f>
        <v>1</v>
      </c>
      <c r="C53" s="125" t="str">
        <f>IFERROR(IF(VLOOKUP($A53,TableHandbook[],3,FALSE)=0,"",VLOOKUP($A53,TableHandbook[],3,FALSE)),"")</f>
        <v/>
      </c>
      <c r="D53" s="49" t="str">
        <f>IFERROR(IF(VLOOKUP($A53,TableHandbook[],4,FALSE)=0,"",VLOOKUP($A53,TableHandbook[],4,FALSE)),"")</f>
        <v>Geo-Strategy and Energy Security</v>
      </c>
      <c r="E53" s="50"/>
      <c r="F53" s="277" t="str">
        <f>IFERROR(IF(VLOOKUP($A53,TableHandbook[],6,FALSE)=0,"",VLOOKUP($A53,TableHandbook[],6,FALSE)),"")</f>
        <v>None</v>
      </c>
      <c r="G53" s="51">
        <f>IFERROR(IF(VLOOKUP($A53,TableHandbook[],5,FALSE)=0,"",VLOOKUP($A53,TableHandbook[],5,FALSE)),"")</f>
        <v>25</v>
      </c>
      <c r="H53" s="71" t="str">
        <f>IFERROR(VLOOKUP($A53,TableHandbook[],H$2,FALSE),"")</f>
        <v/>
      </c>
      <c r="I53" s="58" t="str">
        <f>IFERROR(VLOOKUP($A53,TableHandbook[],I$2,FALSE),"")</f>
        <v/>
      </c>
      <c r="J53" s="58" t="str">
        <f>IFERROR(VLOOKUP($A53,TableHandbook[],J$2,FALSE),"")</f>
        <v>Y</v>
      </c>
      <c r="K53" s="72" t="str">
        <f>IFERROR(VLOOKUP($A53,TableHandbook[],K$2,FALSE),"")</f>
        <v>Y</v>
      </c>
      <c r="L53" s="57"/>
      <c r="M53" s="142">
        <v>24</v>
      </c>
      <c r="N53" s="25"/>
      <c r="O53" s="25"/>
      <c r="P53" s="25"/>
      <c r="Q53" s="25"/>
      <c r="R53" s="25"/>
      <c r="S53" s="25"/>
      <c r="T53" s="25"/>
      <c r="U53" s="25"/>
      <c r="V53" s="25"/>
      <c r="W53" s="25"/>
    </row>
    <row r="54" spans="1:23" x14ac:dyDescent="0.25">
      <c r="A54" s="199" t="str">
        <f t="shared" si="6"/>
        <v xml:space="preserve"> </v>
      </c>
      <c r="B54" s="125" t="str">
        <f>IFERROR(IF(VLOOKUP($A54,TableHandbook[],2,FALSE)=0,"",VLOOKUP($A54,TableHandbook[],2,FALSE)),"")</f>
        <v/>
      </c>
      <c r="C54" s="125" t="str">
        <f>IFERROR(IF(VLOOKUP($A54,TableHandbook[],3,FALSE)=0,"",VLOOKUP($A54,TableHandbook[],3,FALSE)),"")</f>
        <v/>
      </c>
      <c r="D54" s="49" t="str">
        <f>IFERROR(IF(VLOOKUP($A54,TableHandbook[],4,FALSE)=0,"",VLOOKUP($A54,TableHandbook[],4,FALSE)),"")</f>
        <v/>
      </c>
      <c r="E54" s="50"/>
      <c r="F54" s="277" t="str">
        <f>IFERROR(IF(VLOOKUP($A54,TableHandbook[],6,FALSE)=0,"",VLOOKUP($A54,TableHandbook[],6,FALSE)),"")</f>
        <v/>
      </c>
      <c r="G54" s="51" t="str">
        <f>IFERROR(IF(VLOOKUP($A54,TableHandbook[],5,FALSE)=0,"",VLOOKUP($A54,TableHandbook[],5,FALSE)),"")</f>
        <v/>
      </c>
      <c r="H54" s="71" t="str">
        <f>IFERROR(VLOOKUP($A54,TableHandbook[],H$2,FALSE),"")</f>
        <v/>
      </c>
      <c r="I54" s="58" t="str">
        <f>IFERROR(VLOOKUP($A54,TableHandbook[],I$2,FALSE),"")</f>
        <v/>
      </c>
      <c r="J54" s="58" t="str">
        <f>IFERROR(VLOOKUP($A54,TableHandbook[],J$2,FALSE),"")</f>
        <v/>
      </c>
      <c r="K54" s="72" t="str">
        <f>IFERROR(VLOOKUP($A54,TableHandbook[],K$2,FALSE),"")</f>
        <v/>
      </c>
      <c r="L54" s="57"/>
      <c r="M54" s="142">
        <v>25</v>
      </c>
      <c r="N54" s="25"/>
      <c r="O54" s="25"/>
      <c r="P54" s="25"/>
      <c r="Q54" s="25"/>
      <c r="R54" s="25"/>
      <c r="S54" s="25"/>
      <c r="T54" s="25"/>
      <c r="U54" s="25"/>
      <c r="V54" s="25"/>
      <c r="W54" s="25"/>
    </row>
    <row r="55" spans="1:23" x14ac:dyDescent="0.25">
      <c r="A55" s="199" t="str">
        <f t="shared" si="6"/>
        <v>Opt-HRIGTSt</v>
      </c>
      <c r="B55" s="125" t="str">
        <f>IFERROR(IF(VLOOKUP($A55,TableHandbook[],2,FALSE)=0,"",VLOOKUP($A55,TableHandbook[],2,FALSE)),"")</f>
        <v/>
      </c>
      <c r="C55" s="125" t="str">
        <f>IFERROR(IF(VLOOKUP($A55,TableHandbook[],3,FALSE)=0,"",VLOOKUP($A55,TableHandbook[],3,FALSE)),"")</f>
        <v/>
      </c>
      <c r="D55" s="49" t="str">
        <f>IFERROR(IF(VLOOKUP($A55,TableHandbook[],4,FALSE)=0,"",VLOOKUP($A55,TableHandbook[],4,FALSE)),"")</f>
        <v>Study 100CP of Option units from this list</v>
      </c>
      <c r="E55" s="50"/>
      <c r="F55" s="277" t="str">
        <f>IFERROR(IF(VLOOKUP($A55,TableHandbook[],6,FALSE)=0,"",VLOOKUP($A55,TableHandbook[],6,FALSE)),"")</f>
        <v>See below</v>
      </c>
      <c r="G55" s="51">
        <f>IFERROR(IF(VLOOKUP($A55,TableHandbook[],5,FALSE)=0,"",VLOOKUP($A55,TableHandbook[],5,FALSE)),"")</f>
        <v>100</v>
      </c>
      <c r="H55" s="71" t="str">
        <f>IFERROR(VLOOKUP($A55,TableHandbook[],H$2,FALSE),"")</f>
        <v/>
      </c>
      <c r="I55" s="58" t="str">
        <f>IFERROR(VLOOKUP($A55,TableHandbook[],I$2,FALSE),"")</f>
        <v/>
      </c>
      <c r="J55" s="58" t="str">
        <f>IFERROR(VLOOKUP($A55,TableHandbook[],J$2,FALSE),"")</f>
        <v/>
      </c>
      <c r="K55" s="72" t="str">
        <f>IFERROR(VLOOKUP($A55,TableHandbook[],K$2,FALSE),"")</f>
        <v/>
      </c>
      <c r="L55" s="57"/>
      <c r="M55" s="142">
        <v>26</v>
      </c>
      <c r="N55" s="25"/>
      <c r="O55" s="25"/>
      <c r="P55" s="25"/>
      <c r="Q55" s="25"/>
      <c r="R55" s="25"/>
      <c r="S55" s="25"/>
      <c r="T55" s="25"/>
      <c r="U55" s="25"/>
      <c r="V55" s="25"/>
      <c r="W55" s="25"/>
    </row>
    <row r="56" spans="1:23" x14ac:dyDescent="0.25">
      <c r="A56" s="199" t="str">
        <f t="shared" si="6"/>
        <v>HRIG5000</v>
      </c>
      <c r="B56" s="125">
        <f>IFERROR(IF(VLOOKUP($A56,TableHandbook[],2,FALSE)=0,"",VLOOKUP($A56,TableHandbook[],2,FALSE)),"")</f>
        <v>2</v>
      </c>
      <c r="C56" s="125" t="str">
        <f>IFERROR(IF(VLOOKUP($A56,TableHandbook[],3,FALSE)=0,"",VLOOKUP($A56,TableHandbook[],3,FALSE)),"")</f>
        <v/>
      </c>
      <c r="D56" s="49" t="str">
        <f>IFERROR(IF(VLOOKUP($A56,TableHandbook[],4,FALSE)=0,"",VLOOKUP($A56,TableHandbook[],4,FALSE)),"")</f>
        <v>Human Rights Education in Practice</v>
      </c>
      <c r="E56" s="50"/>
      <c r="F56" s="277" t="str">
        <f>IFERROR(IF(VLOOKUP($A56,TableHandbook[],6,FALSE)=0,"",VLOOKUP($A56,TableHandbook[],6,FALSE)),"")</f>
        <v>None</v>
      </c>
      <c r="G56" s="51">
        <f>IFERROR(IF(VLOOKUP($A56,TableHandbook[],5,FALSE)=0,"",VLOOKUP($A56,TableHandbook[],5,FALSE)),"")</f>
        <v>25</v>
      </c>
      <c r="H56" s="71" t="str">
        <f>IFERROR(VLOOKUP($A56,TableHandbook[],H$2,FALSE),"")</f>
        <v/>
      </c>
      <c r="I56" s="58" t="str">
        <f>IFERROR(VLOOKUP($A56,TableHandbook[],I$2,FALSE),"")</f>
        <v/>
      </c>
      <c r="J56" s="58" t="str">
        <f>IFERROR(VLOOKUP($A56,TableHandbook[],J$2,FALSE),"")</f>
        <v>Y</v>
      </c>
      <c r="K56" s="72" t="str">
        <f>IFERROR(VLOOKUP($A56,TableHandbook[],K$2,FALSE),"")</f>
        <v>Y</v>
      </c>
      <c r="L56" s="57"/>
      <c r="M56" s="142">
        <v>27</v>
      </c>
      <c r="N56" s="25"/>
      <c r="O56" s="25"/>
      <c r="P56" s="25"/>
      <c r="Q56" s="25"/>
      <c r="R56" s="25"/>
      <c r="S56" s="25"/>
      <c r="T56" s="25"/>
      <c r="U56" s="25"/>
      <c r="V56" s="25"/>
      <c r="W56" s="25"/>
    </row>
    <row r="57" spans="1:23" x14ac:dyDescent="0.25">
      <c r="A57" s="199" t="str">
        <f t="shared" si="6"/>
        <v>HRIG5001</v>
      </c>
      <c r="B57" s="125">
        <f>IFERROR(IF(VLOOKUP($A57,TableHandbook[],2,FALSE)=0,"",VLOOKUP($A57,TableHandbook[],2,FALSE)),"")</f>
        <v>2</v>
      </c>
      <c r="C57" s="125" t="str">
        <f>IFERROR(IF(VLOOKUP($A57,TableHandbook[],3,FALSE)=0,"",VLOOKUP($A57,TableHandbook[],3,FALSE)),"")</f>
        <v/>
      </c>
      <c r="D57" s="49" t="str">
        <f>IFERROR(IF(VLOOKUP($A57,TableHandbook[],4,FALSE)=0,"",VLOOKUP($A57,TableHandbook[],4,FALSE)),"")</f>
        <v>Social Justice and Development</v>
      </c>
      <c r="E57" s="50"/>
      <c r="F57" s="277" t="str">
        <f>IFERROR(IF(VLOOKUP($A57,TableHandbook[],6,FALSE)=0,"",VLOOKUP($A57,TableHandbook[],6,FALSE)),"")</f>
        <v>None</v>
      </c>
      <c r="G57" s="51">
        <f>IFERROR(IF(VLOOKUP($A57,TableHandbook[],5,FALSE)=0,"",VLOOKUP($A57,TableHandbook[],5,FALSE)),"")</f>
        <v>25</v>
      </c>
      <c r="H57" s="71" t="str">
        <f>IFERROR(VLOOKUP($A57,TableHandbook[],H$2,FALSE),"")</f>
        <v>Y</v>
      </c>
      <c r="I57" s="58" t="str">
        <f>IFERROR(VLOOKUP($A57,TableHandbook[],I$2,FALSE),"")</f>
        <v>Y</v>
      </c>
      <c r="J57" s="58" t="str">
        <f>IFERROR(VLOOKUP($A57,TableHandbook[],J$2,FALSE),"")</f>
        <v/>
      </c>
      <c r="K57" s="72" t="str">
        <f>IFERROR(VLOOKUP($A57,TableHandbook[],K$2,FALSE),"")</f>
        <v/>
      </c>
      <c r="L57" s="57"/>
      <c r="M57" s="142">
        <v>28</v>
      </c>
      <c r="N57" s="25"/>
      <c r="O57" s="25"/>
      <c r="P57" s="25"/>
      <c r="Q57" s="25"/>
      <c r="R57" s="25"/>
      <c r="S57" s="25"/>
      <c r="T57" s="25"/>
      <c r="U57" s="25"/>
      <c r="V57" s="25"/>
      <c r="W57" s="25"/>
    </row>
    <row r="58" spans="1:23" x14ac:dyDescent="0.25">
      <c r="A58" s="199" t="str">
        <f t="shared" si="6"/>
        <v>HRIG5002</v>
      </c>
      <c r="B58" s="125">
        <f>IFERROR(IF(VLOOKUP($A58,TableHandbook[],2,FALSE)=0,"",VLOOKUP($A58,TableHandbook[],2,FALSE)),"")</f>
        <v>2</v>
      </c>
      <c r="C58" s="125" t="str">
        <f>IFERROR(IF(VLOOKUP($A58,TableHandbook[],3,FALSE)=0,"",VLOOKUP($A58,TableHandbook[],3,FALSE)),"")</f>
        <v/>
      </c>
      <c r="D58" s="49" t="str">
        <f>IFERROR(IF(VLOOKUP($A58,TableHandbook[],4,FALSE)=0,"",VLOOKUP($A58,TableHandbook[],4,FALSE)),"")</f>
        <v>International Human Rights Law and Practice</v>
      </c>
      <c r="E58" s="50"/>
      <c r="F58" s="277" t="str">
        <f>IFERROR(IF(VLOOKUP($A58,TableHandbook[],6,FALSE)=0,"",VLOOKUP($A58,TableHandbook[],6,FALSE)),"")</f>
        <v>None</v>
      </c>
      <c r="G58" s="51">
        <f>IFERROR(IF(VLOOKUP($A58,TableHandbook[],5,FALSE)=0,"",VLOOKUP($A58,TableHandbook[],5,FALSE)),"")</f>
        <v>25</v>
      </c>
      <c r="H58" s="71" t="str">
        <f>IFERROR(VLOOKUP($A58,TableHandbook[],H$2,FALSE),"")</f>
        <v/>
      </c>
      <c r="I58" s="58" t="str">
        <f>IFERROR(VLOOKUP($A58,TableHandbook[],I$2,FALSE),"")</f>
        <v/>
      </c>
      <c r="J58" s="58" t="str">
        <f>IFERROR(VLOOKUP($A58,TableHandbook[],J$2,FALSE),"")</f>
        <v>Y</v>
      </c>
      <c r="K58" s="72" t="str">
        <f>IFERROR(VLOOKUP($A58,TableHandbook[],K$2,FALSE),"")</f>
        <v>Y</v>
      </c>
      <c r="L58" s="57"/>
      <c r="M58" s="142">
        <v>29</v>
      </c>
      <c r="N58" s="25"/>
      <c r="O58" s="25"/>
      <c r="P58" s="25"/>
      <c r="Q58" s="25"/>
      <c r="R58" s="25"/>
      <c r="S58" s="25"/>
      <c r="T58" s="25"/>
      <c r="U58" s="25"/>
      <c r="V58" s="25"/>
      <c r="W58" s="25"/>
    </row>
    <row r="59" spans="1:23" x14ac:dyDescent="0.25">
      <c r="A59" s="199" t="str">
        <f t="shared" si="6"/>
        <v>HRIG5003</v>
      </c>
      <c r="B59" s="125">
        <f>IFERROR(IF(VLOOKUP($A59,TableHandbook[],2,FALSE)=0,"",VLOOKUP($A59,TableHandbook[],2,FALSE)),"")</f>
        <v>2</v>
      </c>
      <c r="C59" s="125" t="str">
        <f>IFERROR(IF(VLOOKUP($A59,TableHandbook[],3,FALSE)=0,"",VLOOKUP($A59,TableHandbook[],3,FALSE)),"")</f>
        <v/>
      </c>
      <c r="D59" s="49" t="str">
        <f>IFERROR(IF(VLOOKUP($A59,TableHandbook[],4,FALSE)=0,"",VLOOKUP($A59,TableHandbook[],4,FALSE)),"")</f>
        <v>Activism, Advocacy and Change</v>
      </c>
      <c r="E59" s="50"/>
      <c r="F59" s="277" t="str">
        <f>IFERROR(IF(VLOOKUP($A59,TableHandbook[],6,FALSE)=0,"",VLOOKUP($A59,TableHandbook[],6,FALSE)),"")</f>
        <v>None</v>
      </c>
      <c r="G59" s="51">
        <f>IFERROR(IF(VLOOKUP($A59,TableHandbook[],5,FALSE)=0,"",VLOOKUP($A59,TableHandbook[],5,FALSE)),"")</f>
        <v>25</v>
      </c>
      <c r="H59" s="71" t="str">
        <f>IFERROR(VLOOKUP($A59,TableHandbook[],H$2,FALSE),"")</f>
        <v/>
      </c>
      <c r="I59" s="58" t="str">
        <f>IFERROR(VLOOKUP($A59,TableHandbook[],I$2,FALSE),"")</f>
        <v/>
      </c>
      <c r="J59" s="58" t="str">
        <f>IFERROR(VLOOKUP($A59,TableHandbook[],J$2,FALSE),"")</f>
        <v>Y</v>
      </c>
      <c r="K59" s="72" t="str">
        <f>IFERROR(VLOOKUP($A59,TableHandbook[],K$2,FALSE),"")</f>
        <v>Y</v>
      </c>
      <c r="L59" s="57"/>
      <c r="M59" s="142">
        <v>30</v>
      </c>
      <c r="N59" s="25"/>
      <c r="O59" s="25"/>
      <c r="P59" s="25"/>
      <c r="Q59" s="25"/>
      <c r="R59" s="25"/>
      <c r="S59" s="25"/>
      <c r="T59" s="25"/>
      <c r="U59" s="25"/>
      <c r="V59" s="25"/>
      <c r="W59" s="25"/>
    </row>
    <row r="60" spans="1:23" x14ac:dyDescent="0.25">
      <c r="A60" s="199" t="str">
        <f t="shared" si="6"/>
        <v>HRIG5004</v>
      </c>
      <c r="B60" s="125">
        <f>IFERROR(IF(VLOOKUP($A60,TableHandbook[],2,FALSE)=0,"",VLOOKUP($A60,TableHandbook[],2,FALSE)),"")</f>
        <v>3</v>
      </c>
      <c r="C60" s="125" t="str">
        <f>IFERROR(IF(VLOOKUP($A60,TableHandbook[],3,FALSE)=0,"",VLOOKUP($A60,TableHandbook[],3,FALSE)),"")</f>
        <v/>
      </c>
      <c r="D60" s="49" t="str">
        <f>IFERROR(IF(VLOOKUP($A60,TableHandbook[],4,FALSE)=0,"",VLOOKUP($A60,TableHandbook[],4,FALSE)),"")</f>
        <v>Forced Migration and Refugee Rights</v>
      </c>
      <c r="E60" s="50"/>
      <c r="F60" s="277" t="str">
        <f>IFERROR(IF(VLOOKUP($A60,TableHandbook[],6,FALSE)=0,"",VLOOKUP($A60,TableHandbook[],6,FALSE)),"")</f>
        <v>None</v>
      </c>
      <c r="G60" s="51">
        <f>IFERROR(IF(VLOOKUP($A60,TableHandbook[],5,FALSE)=0,"",VLOOKUP($A60,TableHandbook[],5,FALSE)),"")</f>
        <v>25</v>
      </c>
      <c r="H60" s="71" t="str">
        <f>IFERROR(VLOOKUP($A60,TableHandbook[],H$2,FALSE),"")</f>
        <v>Y</v>
      </c>
      <c r="I60" s="58" t="str">
        <f>IFERROR(VLOOKUP($A60,TableHandbook[],I$2,FALSE),"")</f>
        <v>Y</v>
      </c>
      <c r="J60" s="58" t="str">
        <f>IFERROR(VLOOKUP($A60,TableHandbook[],J$2,FALSE),"")</f>
        <v/>
      </c>
      <c r="K60" s="72" t="str">
        <f>IFERROR(VLOOKUP($A60,TableHandbook[],K$2,FALSE),"")</f>
        <v/>
      </c>
      <c r="L60" s="57"/>
      <c r="M60" s="142">
        <v>31</v>
      </c>
      <c r="N60" s="25"/>
      <c r="O60" s="25"/>
      <c r="P60" s="25"/>
      <c r="Q60" s="25"/>
      <c r="R60" s="25"/>
      <c r="S60" s="25"/>
      <c r="T60" s="25"/>
      <c r="U60" s="25"/>
      <c r="V60" s="25"/>
      <c r="W60" s="25"/>
    </row>
    <row r="61" spans="1:23" x14ac:dyDescent="0.25">
      <c r="A61" s="199" t="str">
        <f t="shared" si="6"/>
        <v>HRIG5014</v>
      </c>
      <c r="B61" s="125">
        <f>IFERROR(IF(VLOOKUP($A61,TableHandbook[],2,FALSE)=0,"",VLOOKUP($A61,TableHandbook[],2,FALSE)),"")</f>
        <v>2</v>
      </c>
      <c r="C61" s="125" t="str">
        <f>IFERROR(IF(VLOOKUP($A61,TableHandbook[],3,FALSE)=0,"",VLOOKUP($A61,TableHandbook[],3,FALSE)),"")</f>
        <v/>
      </c>
      <c r="D61" s="49" t="str">
        <f>IFERROR(IF(VLOOKUP($A61,TableHandbook[],4,FALSE)=0,"",VLOOKUP($A61,TableHandbook[],4,FALSE)),"")</f>
        <v>Dialogue across Cultures and Religions</v>
      </c>
      <c r="E61" s="50"/>
      <c r="F61" s="277" t="str">
        <f>IFERROR(IF(VLOOKUP($A61,TableHandbook[],6,FALSE)=0,"",VLOOKUP($A61,TableHandbook[],6,FALSE)),"")</f>
        <v>None</v>
      </c>
      <c r="G61" s="51">
        <f>IFERROR(IF(VLOOKUP($A61,TableHandbook[],5,FALSE)=0,"",VLOOKUP($A61,TableHandbook[],5,FALSE)),"")</f>
        <v>25</v>
      </c>
      <c r="H61" s="71" t="str">
        <f>IFERROR(VLOOKUP($A61,TableHandbook[],H$2,FALSE),"")</f>
        <v/>
      </c>
      <c r="I61" s="58" t="str">
        <f>IFERROR(VLOOKUP($A61,TableHandbook[],I$2,FALSE),"")</f>
        <v/>
      </c>
      <c r="J61" s="58" t="str">
        <f>IFERROR(VLOOKUP($A61,TableHandbook[],J$2,FALSE),"")</f>
        <v>Y</v>
      </c>
      <c r="K61" s="72" t="str">
        <f>IFERROR(VLOOKUP($A61,TableHandbook[],K$2,FALSE),"")</f>
        <v>Y</v>
      </c>
      <c r="L61" s="57"/>
      <c r="M61" s="142">
        <v>32</v>
      </c>
      <c r="N61" s="25"/>
      <c r="O61" s="25"/>
      <c r="P61" s="25"/>
      <c r="Q61" s="25"/>
      <c r="R61" s="25"/>
      <c r="S61" s="25"/>
      <c r="T61" s="25"/>
      <c r="U61" s="25"/>
      <c r="V61" s="25"/>
      <c r="W61" s="25"/>
    </row>
    <row r="62" spans="1:23" ht="15.75" x14ac:dyDescent="0.25">
      <c r="A62"/>
      <c r="B62"/>
      <c r="C62"/>
      <c r="D62"/>
      <c r="E62"/>
      <c r="F62"/>
      <c r="G62"/>
      <c r="H62"/>
      <c r="I62"/>
      <c r="J62"/>
      <c r="K62"/>
      <c r="L62"/>
      <c r="M62" s="142"/>
      <c r="N62" s="25"/>
      <c r="O62" s="25"/>
      <c r="P62" s="25"/>
      <c r="Q62" s="25"/>
      <c r="R62" s="25"/>
      <c r="S62" s="25"/>
      <c r="T62" s="25"/>
      <c r="U62" s="25"/>
      <c r="V62" s="25"/>
      <c r="W62" s="25"/>
    </row>
    <row r="63" spans="1:23" s="25" customFormat="1" ht="32.25" customHeight="1" x14ac:dyDescent="0.25">
      <c r="A63" s="320" t="s">
        <v>30</v>
      </c>
      <c r="B63" s="320"/>
      <c r="C63" s="320"/>
      <c r="D63" s="320"/>
      <c r="E63" s="320"/>
      <c r="F63" s="320"/>
      <c r="G63" s="320"/>
      <c r="H63" s="320"/>
      <c r="I63" s="320"/>
      <c r="J63" s="320"/>
      <c r="K63" s="320"/>
      <c r="L63" s="320"/>
    </row>
    <row r="64" spans="1:23" s="44" customFormat="1" ht="24.95" customHeight="1" x14ac:dyDescent="0.3">
      <c r="A64" s="40" t="s">
        <v>31</v>
      </c>
      <c r="B64" s="40"/>
      <c r="C64" s="40"/>
      <c r="D64" s="41"/>
      <c r="E64" s="41"/>
      <c r="F64" s="41"/>
      <c r="G64" s="41"/>
      <c r="H64" s="41"/>
      <c r="I64" s="41"/>
      <c r="J64" s="41"/>
      <c r="K64" s="41"/>
      <c r="L64" s="41"/>
      <c r="M64" s="145"/>
      <c r="N64" s="42"/>
      <c r="O64" s="42"/>
      <c r="P64" s="43"/>
      <c r="Q64" s="43"/>
      <c r="R64" s="43"/>
      <c r="S64" s="43"/>
      <c r="T64" s="43"/>
      <c r="U64" s="43"/>
      <c r="V64" s="43"/>
      <c r="W64" s="43"/>
    </row>
    <row r="65" spans="1:12" s="25" customFormat="1" ht="15" customHeight="1" x14ac:dyDescent="0.25">
      <c r="A65" s="45" t="s">
        <v>32</v>
      </c>
      <c r="B65" s="45"/>
      <c r="C65" s="45"/>
      <c r="D65" s="45"/>
      <c r="E65" s="52"/>
      <c r="F65" s="46"/>
      <c r="G65" s="53"/>
      <c r="H65" s="53"/>
      <c r="I65" s="53"/>
      <c r="J65" s="53"/>
      <c r="K65" s="53"/>
      <c r="L65" s="53" t="s">
        <v>33</v>
      </c>
    </row>
  </sheetData>
  <sheetProtection formatCells="0"/>
  <mergeCells count="2">
    <mergeCell ref="A3:D3"/>
    <mergeCell ref="A63:L63"/>
  </mergeCells>
  <conditionalFormatting sqref="A31:L61">
    <cfRule type="expression" dxfId="439" priority="4">
      <formula>LEFT($D31,5)="Study"</formula>
    </cfRule>
  </conditionalFormatting>
  <conditionalFormatting sqref="D5:D6">
    <cfRule type="containsText" dxfId="438" priority="2" operator="containsText" text="Choose">
      <formula>NOT(ISERROR(SEARCH("Choose",D5)))</formula>
    </cfRule>
  </conditionalFormatting>
  <conditionalFormatting sqref="A9:L17 A19:L27 A31:L61">
    <cfRule type="expression" dxfId="437" priority="3">
      <formula>$A9=""</formula>
    </cfRule>
  </conditionalFormatting>
  <conditionalFormatting sqref="H9:K27">
    <cfRule type="expression" dxfId="436" priority="1">
      <formula>$E9=LEFT(H$8,4)</formula>
    </cfRule>
  </conditionalFormatting>
  <dataValidations count="1">
    <dataValidation type="list" allowBlank="1" showInputMessage="1" showErrorMessage="1" sqref="L23 L13"/>
  </dataValidations>
  <hyperlinks>
    <hyperlink ref="A64:L6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1"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Unitsets!$A$41:$A$43</xm:f>
          </x14:formula1>
          <xm:sqref>D6</xm:sqref>
        </x14:dataValidation>
        <x14:dataValidation type="list" showInputMessage="1" showErrorMessage="1">
          <x14:formula1>
            <xm:f>'Unitsets Other'!$A$156:$A$160</xm:f>
          </x14:formula1>
          <xm:sqref>D5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V208"/>
  <sheetViews>
    <sheetView topLeftCell="A163" zoomScale="85" zoomScaleNormal="85" workbookViewId="0">
      <selection activeCell="D5" sqref="D5"/>
    </sheetView>
  </sheetViews>
  <sheetFormatPr defaultRowHeight="15.75" x14ac:dyDescent="0.25"/>
  <cols>
    <col min="1" max="1" width="59.625" style="84" bestFit="1" customWidth="1"/>
    <col min="2" max="2" width="11.5" style="81" bestFit="1" customWidth="1"/>
    <col min="3" max="3" width="11.5" style="81" customWidth="1"/>
    <col min="4" max="4" width="21.5" style="81" bestFit="1" customWidth="1"/>
    <col min="5" max="5" width="3.625" style="82" customWidth="1"/>
    <col min="6" max="6" width="10.75" style="82" bestFit="1" customWidth="1"/>
    <col min="7" max="7" width="15.125" style="82" bestFit="1" customWidth="1"/>
    <col min="8" max="8" width="10.375" style="82" bestFit="1" customWidth="1"/>
    <col min="9" max="9" width="17.5" style="82" bestFit="1" customWidth="1"/>
    <col min="10" max="10" width="6.125" style="82" bestFit="1" customWidth="1"/>
    <col min="11" max="11" width="15.125" style="82" bestFit="1" customWidth="1"/>
    <col min="12" max="12" width="6.125" style="82" bestFit="1" customWidth="1"/>
    <col min="13" max="13" width="15.375" style="82" bestFit="1" customWidth="1"/>
    <col min="14" max="14" width="6.125" style="82" bestFit="1" customWidth="1"/>
    <col min="15" max="15" width="15.375" style="82" bestFit="1" customWidth="1"/>
    <col min="16" max="16" width="6.125" style="82" bestFit="1" customWidth="1"/>
    <col min="17" max="17" width="15.75" style="82" bestFit="1" customWidth="1"/>
    <col min="18" max="18" width="6" style="82" customWidth="1"/>
    <col min="19" max="19" width="12.5" style="82" bestFit="1" customWidth="1"/>
    <col min="20" max="20" width="6" style="82" customWidth="1"/>
    <col min="21" max="21" width="12.5" style="82" bestFit="1" customWidth="1"/>
    <col min="22" max="22" width="6.625" style="82" customWidth="1"/>
    <col min="23" max="16384" width="9" style="82"/>
  </cols>
  <sheetData>
    <row r="1" spans="1:22" x14ac:dyDescent="0.25">
      <c r="A1"/>
      <c r="B1"/>
      <c r="C1"/>
      <c r="F1" s="83"/>
    </row>
    <row r="2" spans="1:22" x14ac:dyDescent="0.25">
      <c r="A2"/>
      <c r="B2"/>
      <c r="C2"/>
      <c r="F2" s="85"/>
      <c r="G2" s="86"/>
      <c r="H2" s="87"/>
      <c r="I2" s="86"/>
      <c r="J2" s="88"/>
      <c r="K2" s="86"/>
      <c r="L2" s="87"/>
      <c r="M2" s="86"/>
      <c r="N2" s="89"/>
      <c r="O2" s="86"/>
      <c r="R2" s="88"/>
      <c r="S2" s="86"/>
      <c r="T2" s="87"/>
      <c r="U2" s="87"/>
      <c r="V2" s="87"/>
    </row>
    <row r="3" spans="1:22" x14ac:dyDescent="0.25">
      <c r="A3" s="195" t="s">
        <v>215</v>
      </c>
      <c r="B3"/>
      <c r="C3"/>
      <c r="D3" s="126" t="s">
        <v>216</v>
      </c>
      <c r="E3" s="91">
        <v>1</v>
      </c>
      <c r="F3" s="93"/>
      <c r="G3" s="92" t="s">
        <v>217</v>
      </c>
      <c r="H3" s="93"/>
      <c r="I3" s="92" t="s">
        <v>218</v>
      </c>
      <c r="J3" s="93"/>
      <c r="K3" s="92" t="s">
        <v>219</v>
      </c>
      <c r="L3" s="93"/>
      <c r="M3" s="92" t="s">
        <v>220</v>
      </c>
      <c r="N3" s="93"/>
      <c r="O3" s="92" t="s">
        <v>221</v>
      </c>
      <c r="P3" s="93"/>
      <c r="Q3" s="92" t="s">
        <v>222</v>
      </c>
      <c r="R3" s="93"/>
      <c r="S3" s="92" t="s">
        <v>223</v>
      </c>
      <c r="T3" s="93"/>
      <c r="U3" s="92" t="s">
        <v>224</v>
      </c>
      <c r="V3" s="94"/>
    </row>
    <row r="4" spans="1:22" x14ac:dyDescent="0.25">
      <c r="A4" s="193" t="s">
        <v>86</v>
      </c>
      <c r="B4" t="s">
        <v>87</v>
      </c>
      <c r="C4"/>
      <c r="E4" s="95">
        <v>2</v>
      </c>
      <c r="F4" s="119" t="s">
        <v>50</v>
      </c>
      <c r="G4" s="96" t="s">
        <v>225</v>
      </c>
      <c r="H4" s="119" t="s">
        <v>52</v>
      </c>
      <c r="I4" s="96" t="s">
        <v>226</v>
      </c>
      <c r="J4" s="119" t="s">
        <v>50</v>
      </c>
      <c r="K4" s="96" t="s">
        <v>227</v>
      </c>
      <c r="L4" s="119" t="s">
        <v>52</v>
      </c>
      <c r="M4" s="96" t="s">
        <v>227</v>
      </c>
      <c r="N4" s="119" t="s">
        <v>50</v>
      </c>
      <c r="O4" s="96" t="s">
        <v>228</v>
      </c>
      <c r="P4" s="119" t="s">
        <v>52</v>
      </c>
      <c r="Q4" s="96" t="s">
        <v>229</v>
      </c>
      <c r="R4" s="119" t="s">
        <v>50</v>
      </c>
      <c r="S4" s="96" t="s">
        <v>228</v>
      </c>
      <c r="T4" s="119" t="s">
        <v>52</v>
      </c>
      <c r="U4" s="96" t="s">
        <v>229</v>
      </c>
      <c r="V4" s="91"/>
    </row>
    <row r="5" spans="1:22" x14ac:dyDescent="0.25">
      <c r="A5" s="193" t="s">
        <v>98</v>
      </c>
      <c r="B5" t="s">
        <v>99</v>
      </c>
      <c r="C5"/>
      <c r="E5" s="95">
        <v>3</v>
      </c>
      <c r="F5" s="120" t="s">
        <v>50</v>
      </c>
      <c r="G5" s="97"/>
      <c r="H5" s="120" t="s">
        <v>52</v>
      </c>
      <c r="I5" s="97" t="s">
        <v>230</v>
      </c>
      <c r="J5" s="120" t="s">
        <v>50</v>
      </c>
      <c r="K5" s="97"/>
      <c r="L5" s="120" t="s">
        <v>52</v>
      </c>
      <c r="M5" s="97"/>
      <c r="N5" s="120" t="s">
        <v>50</v>
      </c>
      <c r="O5" s="97" t="s">
        <v>231</v>
      </c>
      <c r="P5" s="120" t="s">
        <v>52</v>
      </c>
      <c r="Q5" s="97" t="s">
        <v>226</v>
      </c>
      <c r="R5" s="120" t="s">
        <v>50</v>
      </c>
      <c r="S5" s="97" t="s">
        <v>231</v>
      </c>
      <c r="T5" s="120" t="s">
        <v>52</v>
      </c>
      <c r="U5" s="97" t="s">
        <v>226</v>
      </c>
      <c r="V5" s="91"/>
    </row>
    <row r="6" spans="1:22" x14ac:dyDescent="0.25">
      <c r="A6" s="194" t="s">
        <v>100</v>
      </c>
      <c r="B6" t="s">
        <v>101</v>
      </c>
      <c r="C6"/>
      <c r="E6" s="95">
        <v>4</v>
      </c>
      <c r="F6" s="120" t="s">
        <v>50</v>
      </c>
      <c r="G6" s="97"/>
      <c r="H6" s="120" t="s">
        <v>52</v>
      </c>
      <c r="I6" s="97" t="s">
        <v>232</v>
      </c>
      <c r="J6" s="120" t="s">
        <v>50</v>
      </c>
      <c r="K6" s="97"/>
      <c r="L6" s="120" t="s">
        <v>52</v>
      </c>
      <c r="M6" s="97"/>
      <c r="N6" s="120" t="s">
        <v>50</v>
      </c>
      <c r="O6" s="97" t="s">
        <v>233</v>
      </c>
      <c r="P6" s="120" t="s">
        <v>52</v>
      </c>
      <c r="Q6" s="97" t="s">
        <v>232</v>
      </c>
      <c r="R6" s="120" t="s">
        <v>50</v>
      </c>
      <c r="S6" s="97" t="s">
        <v>234</v>
      </c>
      <c r="T6" s="120" t="s">
        <v>52</v>
      </c>
      <c r="U6" s="97" t="s">
        <v>232</v>
      </c>
      <c r="V6" s="91"/>
    </row>
    <row r="7" spans="1:22" x14ac:dyDescent="0.25">
      <c r="A7"/>
      <c r="B7"/>
      <c r="C7"/>
      <c r="E7" s="95">
        <v>5</v>
      </c>
      <c r="F7" s="120" t="s">
        <v>50</v>
      </c>
      <c r="G7" s="97"/>
      <c r="H7" s="120" t="s">
        <v>52</v>
      </c>
      <c r="I7" s="97" t="s">
        <v>229</v>
      </c>
      <c r="J7" s="120" t="s">
        <v>50</v>
      </c>
      <c r="K7" s="97"/>
      <c r="L7" s="120" t="s">
        <v>52</v>
      </c>
      <c r="M7" s="97"/>
      <c r="N7" s="120" t="s">
        <v>50</v>
      </c>
      <c r="O7" s="97" t="s">
        <v>112</v>
      </c>
      <c r="P7" s="120" t="s">
        <v>52</v>
      </c>
      <c r="Q7" s="97" t="s">
        <v>235</v>
      </c>
      <c r="R7" s="120" t="s">
        <v>50</v>
      </c>
      <c r="S7" s="97" t="s">
        <v>236</v>
      </c>
      <c r="T7" s="120" t="s">
        <v>52</v>
      </c>
      <c r="U7" s="97" t="s">
        <v>235</v>
      </c>
      <c r="V7" s="91"/>
    </row>
    <row r="8" spans="1:22" x14ac:dyDescent="0.25">
      <c r="A8"/>
      <c r="B8"/>
      <c r="C8"/>
      <c r="E8" s="95">
        <v>6</v>
      </c>
      <c r="F8" s="120" t="s">
        <v>52</v>
      </c>
      <c r="G8" s="205"/>
      <c r="H8" s="120" t="s">
        <v>50</v>
      </c>
      <c r="I8" s="97"/>
      <c r="J8" s="120" t="s">
        <v>52</v>
      </c>
      <c r="K8" s="97"/>
      <c r="L8" s="120" t="s">
        <v>50</v>
      </c>
      <c r="M8" s="97"/>
      <c r="N8" s="120" t="s">
        <v>52</v>
      </c>
      <c r="O8" s="97" t="s">
        <v>232</v>
      </c>
      <c r="P8" s="120" t="s">
        <v>50</v>
      </c>
      <c r="Q8" s="97" t="s">
        <v>228</v>
      </c>
      <c r="R8" s="120" t="s">
        <v>52</v>
      </c>
      <c r="S8" s="97" t="s">
        <v>229</v>
      </c>
      <c r="T8" s="120" t="s">
        <v>50</v>
      </c>
      <c r="U8" s="97" t="s">
        <v>231</v>
      </c>
      <c r="V8" s="91"/>
    </row>
    <row r="9" spans="1:22" x14ac:dyDescent="0.25">
      <c r="A9"/>
      <c r="B9"/>
      <c r="C9"/>
      <c r="E9" s="95">
        <v>7</v>
      </c>
      <c r="F9" s="120" t="s">
        <v>52</v>
      </c>
      <c r="G9" s="97"/>
      <c r="H9" s="120" t="s">
        <v>50</v>
      </c>
      <c r="I9" s="97"/>
      <c r="J9" s="120" t="s">
        <v>52</v>
      </c>
      <c r="K9" s="97"/>
      <c r="L9" s="120" t="s">
        <v>50</v>
      </c>
      <c r="M9" s="97"/>
      <c r="N9" s="120" t="s">
        <v>52</v>
      </c>
      <c r="O9" s="97" t="s">
        <v>226</v>
      </c>
      <c r="P9" s="120" t="s">
        <v>50</v>
      </c>
      <c r="Q9" s="97" t="s">
        <v>231</v>
      </c>
      <c r="R9" s="120" t="s">
        <v>52</v>
      </c>
      <c r="S9" s="97" t="s">
        <v>226</v>
      </c>
      <c r="T9" s="120" t="s">
        <v>50</v>
      </c>
      <c r="U9" s="97" t="s">
        <v>228</v>
      </c>
      <c r="V9" s="91"/>
    </row>
    <row r="10" spans="1:22" x14ac:dyDescent="0.25">
      <c r="A10"/>
      <c r="B10"/>
      <c r="C10"/>
      <c r="E10" s="95">
        <v>8</v>
      </c>
      <c r="F10" s="120" t="s">
        <v>52</v>
      </c>
      <c r="G10" s="97"/>
      <c r="H10" s="120" t="s">
        <v>50</v>
      </c>
      <c r="I10" s="97"/>
      <c r="J10" s="120" t="s">
        <v>52</v>
      </c>
      <c r="K10" s="97"/>
      <c r="L10" s="120" t="s">
        <v>50</v>
      </c>
      <c r="M10" s="97"/>
      <c r="N10" s="120" t="s">
        <v>52</v>
      </c>
      <c r="O10" s="97" t="s">
        <v>229</v>
      </c>
      <c r="P10" s="120" t="s">
        <v>50</v>
      </c>
      <c r="Q10" s="97" t="s">
        <v>233</v>
      </c>
      <c r="R10" s="120" t="s">
        <v>52</v>
      </c>
      <c r="S10" s="97" t="s">
        <v>232</v>
      </c>
      <c r="T10" s="120" t="s">
        <v>50</v>
      </c>
      <c r="U10" s="97" t="s">
        <v>234</v>
      </c>
      <c r="V10" s="91"/>
    </row>
    <row r="11" spans="1:22" x14ac:dyDescent="0.25">
      <c r="A11"/>
      <c r="B11"/>
      <c r="C11"/>
      <c r="E11" s="95">
        <v>9</v>
      </c>
      <c r="F11" s="120" t="s">
        <v>52</v>
      </c>
      <c r="G11" s="97"/>
      <c r="H11" s="121" t="s">
        <v>50</v>
      </c>
      <c r="I11" s="97"/>
      <c r="J11" s="120" t="s">
        <v>52</v>
      </c>
      <c r="K11" s="97"/>
      <c r="L11" s="121" t="s">
        <v>50</v>
      </c>
      <c r="M11" s="97"/>
      <c r="N11" s="120" t="s">
        <v>52</v>
      </c>
      <c r="O11" s="127" t="s">
        <v>230</v>
      </c>
      <c r="P11" s="121" t="s">
        <v>50</v>
      </c>
      <c r="Q11" s="97" t="s">
        <v>112</v>
      </c>
      <c r="R11" s="120" t="s">
        <v>52</v>
      </c>
      <c r="S11" s="97" t="s">
        <v>235</v>
      </c>
      <c r="T11" s="121" t="s">
        <v>50</v>
      </c>
      <c r="U11" s="97" t="s">
        <v>236</v>
      </c>
      <c r="V11" s="91"/>
    </row>
    <row r="12" spans="1:22" x14ac:dyDescent="0.25">
      <c r="A12"/>
      <c r="B12"/>
      <c r="C12"/>
      <c r="E12" s="95">
        <v>10</v>
      </c>
      <c r="F12" s="119" t="s">
        <v>92</v>
      </c>
      <c r="G12" s="96"/>
      <c r="H12" s="120" t="s">
        <v>93</v>
      </c>
      <c r="I12" s="96"/>
      <c r="J12" s="119" t="s">
        <v>92</v>
      </c>
      <c r="K12" s="96"/>
      <c r="L12" s="120" t="s">
        <v>93</v>
      </c>
      <c r="M12" s="96"/>
      <c r="N12" s="119" t="s">
        <v>92</v>
      </c>
      <c r="O12" s="96" t="s">
        <v>235</v>
      </c>
      <c r="P12" s="120" t="s">
        <v>93</v>
      </c>
      <c r="Q12" s="274" t="s">
        <v>230</v>
      </c>
      <c r="R12" s="119" t="s">
        <v>92</v>
      </c>
      <c r="S12" s="96" t="s">
        <v>237</v>
      </c>
      <c r="T12" s="120" t="s">
        <v>93</v>
      </c>
      <c r="U12" s="96" t="s">
        <v>230</v>
      </c>
      <c r="V12" s="101"/>
    </row>
    <row r="13" spans="1:22" x14ac:dyDescent="0.25">
      <c r="A13"/>
      <c r="B13"/>
      <c r="C13"/>
      <c r="E13" s="95">
        <v>11</v>
      </c>
      <c r="F13" s="120" t="s">
        <v>92</v>
      </c>
      <c r="G13" s="97"/>
      <c r="H13" s="120" t="s">
        <v>93</v>
      </c>
      <c r="I13" s="97"/>
      <c r="J13" s="120" t="s">
        <v>92</v>
      </c>
      <c r="K13" s="97"/>
      <c r="L13" s="120" t="s">
        <v>93</v>
      </c>
      <c r="M13" s="97"/>
      <c r="N13" s="120" t="s">
        <v>92</v>
      </c>
      <c r="O13" s="97" t="s">
        <v>235</v>
      </c>
      <c r="P13" s="120" t="s">
        <v>93</v>
      </c>
      <c r="Q13" s="97" t="s">
        <v>235</v>
      </c>
      <c r="R13" s="120" t="s">
        <v>92</v>
      </c>
      <c r="S13" s="97" t="s">
        <v>238</v>
      </c>
      <c r="T13" s="120" t="s">
        <v>93</v>
      </c>
      <c r="U13" s="97" t="s">
        <v>235</v>
      </c>
      <c r="V13" s="101"/>
    </row>
    <row r="14" spans="1:22" x14ac:dyDescent="0.25">
      <c r="A14"/>
      <c r="B14"/>
      <c r="C14"/>
      <c r="E14" s="95">
        <v>12</v>
      </c>
      <c r="F14" s="120" t="s">
        <v>92</v>
      </c>
      <c r="G14" s="97"/>
      <c r="H14" s="120" t="s">
        <v>93</v>
      </c>
      <c r="I14" s="97"/>
      <c r="J14" s="120" t="s">
        <v>92</v>
      </c>
      <c r="K14" s="97"/>
      <c r="L14" s="120" t="s">
        <v>93</v>
      </c>
      <c r="M14" s="97"/>
      <c r="N14" s="120" t="s">
        <v>92</v>
      </c>
      <c r="O14" s="97" t="s">
        <v>239</v>
      </c>
      <c r="P14" s="120" t="s">
        <v>93</v>
      </c>
      <c r="Q14" s="97" t="s">
        <v>239</v>
      </c>
      <c r="R14" s="120" t="s">
        <v>92</v>
      </c>
      <c r="S14" s="215" t="s">
        <v>240</v>
      </c>
      <c r="T14" s="120" t="s">
        <v>93</v>
      </c>
      <c r="U14" s="215" t="s">
        <v>240</v>
      </c>
      <c r="V14" s="101"/>
    </row>
    <row r="15" spans="1:22" x14ac:dyDescent="0.25">
      <c r="A15"/>
      <c r="B15"/>
      <c r="C15"/>
      <c r="E15" s="95">
        <v>13</v>
      </c>
      <c r="F15" s="120" t="s">
        <v>92</v>
      </c>
      <c r="G15" s="97"/>
      <c r="H15" s="120" t="s">
        <v>93</v>
      </c>
      <c r="I15" s="97"/>
      <c r="J15" s="120" t="s">
        <v>92</v>
      </c>
      <c r="K15" s="97"/>
      <c r="L15" s="120" t="s">
        <v>93</v>
      </c>
      <c r="M15" s="97"/>
      <c r="N15" s="120" t="s">
        <v>92</v>
      </c>
      <c r="O15" s="97" t="s">
        <v>112</v>
      </c>
      <c r="P15" s="120" t="s">
        <v>93</v>
      </c>
      <c r="Q15" s="97" t="s">
        <v>112</v>
      </c>
      <c r="R15" s="120" t="s">
        <v>92</v>
      </c>
      <c r="S15" s="215" t="s">
        <v>112</v>
      </c>
      <c r="T15" s="120" t="s">
        <v>93</v>
      </c>
      <c r="U15" s="215" t="s">
        <v>112</v>
      </c>
      <c r="V15" s="101"/>
    </row>
    <row r="16" spans="1:22" x14ac:dyDescent="0.25">
      <c r="A16"/>
      <c r="B16"/>
      <c r="C16"/>
      <c r="E16" s="95">
        <v>14</v>
      </c>
      <c r="F16" s="120" t="s">
        <v>93</v>
      </c>
      <c r="G16" s="97"/>
      <c r="H16" s="120" t="s">
        <v>92</v>
      </c>
      <c r="I16" s="97"/>
      <c r="J16" s="120" t="s">
        <v>93</v>
      </c>
      <c r="K16" s="97"/>
      <c r="L16" s="120" t="s">
        <v>92</v>
      </c>
      <c r="M16" s="97"/>
      <c r="N16" s="120" t="s">
        <v>93</v>
      </c>
      <c r="O16" s="97"/>
      <c r="P16" s="120" t="s">
        <v>92</v>
      </c>
      <c r="Q16" s="97"/>
      <c r="R16" s="120" t="s">
        <v>93</v>
      </c>
      <c r="S16" s="97" t="s">
        <v>230</v>
      </c>
      <c r="T16" s="120" t="s">
        <v>92</v>
      </c>
      <c r="U16" s="97" t="s">
        <v>237</v>
      </c>
      <c r="V16" s="101"/>
    </row>
    <row r="17" spans="1:22" x14ac:dyDescent="0.25">
      <c r="A17"/>
      <c r="B17"/>
      <c r="C17"/>
      <c r="E17" s="95">
        <v>15</v>
      </c>
      <c r="F17" s="120" t="s">
        <v>93</v>
      </c>
      <c r="G17" s="196"/>
      <c r="H17" s="120" t="s">
        <v>92</v>
      </c>
      <c r="I17" s="196"/>
      <c r="J17" s="120" t="s">
        <v>93</v>
      </c>
      <c r="K17" s="196"/>
      <c r="L17" s="120" t="s">
        <v>92</v>
      </c>
      <c r="M17" s="196"/>
      <c r="N17" s="120" t="s">
        <v>93</v>
      </c>
      <c r="O17" s="196"/>
      <c r="P17" s="120" t="s">
        <v>92</v>
      </c>
      <c r="Q17" s="196"/>
      <c r="R17" s="120" t="s">
        <v>93</v>
      </c>
      <c r="S17" s="97" t="s">
        <v>235</v>
      </c>
      <c r="T17" s="120" t="s">
        <v>92</v>
      </c>
      <c r="U17" s="97" t="s">
        <v>238</v>
      </c>
      <c r="V17" s="101"/>
    </row>
    <row r="18" spans="1:22" x14ac:dyDescent="0.25">
      <c r="A18"/>
      <c r="B18"/>
      <c r="C18"/>
      <c r="E18" s="95">
        <v>16</v>
      </c>
      <c r="F18" s="120" t="s">
        <v>93</v>
      </c>
      <c r="G18" s="97"/>
      <c r="H18" s="120" t="s">
        <v>92</v>
      </c>
      <c r="I18" s="97"/>
      <c r="J18" s="120" t="s">
        <v>93</v>
      </c>
      <c r="K18" s="97"/>
      <c r="L18" s="120" t="s">
        <v>92</v>
      </c>
      <c r="M18" s="97"/>
      <c r="N18" s="120" t="s">
        <v>93</v>
      </c>
      <c r="O18" s="97"/>
      <c r="P18" s="120" t="s">
        <v>92</v>
      </c>
      <c r="Q18" s="97"/>
      <c r="R18" s="120" t="s">
        <v>93</v>
      </c>
      <c r="S18" s="215" t="s">
        <v>241</v>
      </c>
      <c r="T18" s="120" t="s">
        <v>92</v>
      </c>
      <c r="U18" s="215" t="s">
        <v>241</v>
      </c>
      <c r="V18" s="101"/>
    </row>
    <row r="19" spans="1:22" x14ac:dyDescent="0.25">
      <c r="A19"/>
      <c r="B19"/>
      <c r="C19"/>
      <c r="E19" s="95">
        <v>17</v>
      </c>
      <c r="F19" s="121" t="s">
        <v>93</v>
      </c>
      <c r="G19" s="102"/>
      <c r="H19" s="121" t="s">
        <v>92</v>
      </c>
      <c r="I19" s="102"/>
      <c r="J19" s="121" t="s">
        <v>93</v>
      </c>
      <c r="K19" s="102"/>
      <c r="L19" s="121" t="s">
        <v>92</v>
      </c>
      <c r="M19" s="102"/>
      <c r="N19" s="121" t="s">
        <v>93</v>
      </c>
      <c r="O19" s="102"/>
      <c r="P19" s="121" t="s">
        <v>92</v>
      </c>
      <c r="Q19" s="102"/>
      <c r="R19" s="121" t="s">
        <v>93</v>
      </c>
      <c r="S19" s="217" t="s">
        <v>112</v>
      </c>
      <c r="T19" s="121" t="s">
        <v>92</v>
      </c>
      <c r="U19" s="217" t="s">
        <v>112</v>
      </c>
      <c r="V19" s="101"/>
    </row>
    <row r="20" spans="1:22" x14ac:dyDescent="0.25">
      <c r="A20"/>
      <c r="B20"/>
      <c r="C20"/>
      <c r="G20" s="275" t="s">
        <v>242</v>
      </c>
      <c r="H20"/>
      <c r="I20" s="275" t="s">
        <v>242</v>
      </c>
      <c r="J20"/>
      <c r="K20"/>
      <c r="L20"/>
      <c r="M20"/>
      <c r="N20" s="101"/>
      <c r="O20" s="108" t="s">
        <v>119</v>
      </c>
      <c r="P20" s="101"/>
      <c r="Q20" s="108" t="s">
        <v>119</v>
      </c>
      <c r="R20" s="101"/>
      <c r="S20" s="108" t="s">
        <v>119</v>
      </c>
      <c r="T20" s="101"/>
      <c r="U20" s="108" t="s">
        <v>119</v>
      </c>
      <c r="V20" s="101"/>
    </row>
    <row r="21" spans="1:22" ht="16.5" thickBot="1" x14ac:dyDescent="0.3">
      <c r="A21"/>
      <c r="B21"/>
      <c r="C21"/>
      <c r="G21" s="95"/>
      <c r="H21" s="101"/>
      <c r="I21" s="91"/>
      <c r="J21"/>
      <c r="K21"/>
      <c r="L21"/>
      <c r="M21" s="91"/>
      <c r="N21"/>
      <c r="O21" s="275" t="s">
        <v>243</v>
      </c>
      <c r="P21"/>
      <c r="Q21" s="275" t="s">
        <v>243</v>
      </c>
      <c r="R21"/>
      <c r="S21"/>
      <c r="T21"/>
      <c r="U21"/>
      <c r="V21"/>
    </row>
    <row r="22" spans="1:22" x14ac:dyDescent="0.25">
      <c r="A22"/>
      <c r="B22"/>
      <c r="C22"/>
      <c r="D22" s="126" t="s">
        <v>244</v>
      </c>
      <c r="E22" s="91">
        <v>1</v>
      </c>
      <c r="F22" s="132" t="s">
        <v>87</v>
      </c>
      <c r="G22" s="133" t="s">
        <v>91</v>
      </c>
      <c r="H22" s="197" t="s">
        <v>99</v>
      </c>
      <c r="I22" s="134" t="s">
        <v>101</v>
      </c>
      <c r="J22"/>
      <c r="K22" s="101"/>
      <c r="L22" s="91"/>
      <c r="M22"/>
      <c r="N22"/>
      <c r="O22"/>
      <c r="P22"/>
      <c r="Q22"/>
      <c r="R22"/>
      <c r="S22"/>
      <c r="T22"/>
      <c r="U22"/>
      <c r="V22"/>
    </row>
    <row r="23" spans="1:22" x14ac:dyDescent="0.25">
      <c r="A23"/>
      <c r="B23"/>
      <c r="C23"/>
      <c r="D23"/>
      <c r="E23" s="95">
        <v>2</v>
      </c>
      <c r="F23" s="135" t="s">
        <v>226</v>
      </c>
      <c r="G23" s="198" t="s">
        <v>245</v>
      </c>
      <c r="H23" s="209" t="s">
        <v>233</v>
      </c>
      <c r="I23" s="137" t="s">
        <v>240</v>
      </c>
      <c r="J23"/>
      <c r="K23" s="101"/>
      <c r="L23" s="91"/>
      <c r="M23" s="101"/>
      <c r="N23" s="91"/>
      <c r="O23" s="101"/>
      <c r="P23" s="91"/>
      <c r="Q23" s="101"/>
      <c r="R23" s="91"/>
      <c r="S23" s="101"/>
      <c r="T23" s="91"/>
    </row>
    <row r="24" spans="1:22" x14ac:dyDescent="0.25">
      <c r="A24"/>
      <c r="B24"/>
      <c r="C24"/>
      <c r="D24"/>
      <c r="E24" s="95">
        <v>3</v>
      </c>
      <c r="F24" s="135" t="s">
        <v>231</v>
      </c>
      <c r="G24" s="136"/>
      <c r="H24" s="211" t="s">
        <v>139</v>
      </c>
      <c r="I24" s="137" t="s">
        <v>139</v>
      </c>
      <c r="J24"/>
      <c r="K24" s="101"/>
      <c r="L24" s="91"/>
      <c r="M24" s="101"/>
      <c r="N24" s="91"/>
      <c r="O24" s="101"/>
      <c r="P24" s="91"/>
      <c r="Q24" s="101"/>
      <c r="R24" s="91"/>
      <c r="S24" s="101"/>
      <c r="T24" s="91"/>
    </row>
    <row r="25" spans="1:22" x14ac:dyDescent="0.25">
      <c r="A25"/>
      <c r="B25"/>
      <c r="C25"/>
      <c r="E25" s="95">
        <v>4</v>
      </c>
      <c r="F25" s="135" t="s">
        <v>230</v>
      </c>
      <c r="G25" s="136"/>
      <c r="H25" s="211" t="s">
        <v>165</v>
      </c>
      <c r="I25" s="137" t="s">
        <v>165</v>
      </c>
      <c r="J25"/>
      <c r="K25" s="101"/>
      <c r="R25" s="81"/>
      <c r="S25" s="81"/>
      <c r="T25" s="81"/>
    </row>
    <row r="26" spans="1:22" x14ac:dyDescent="0.25">
      <c r="A26"/>
      <c r="B26"/>
      <c r="C26"/>
      <c r="E26" s="95">
        <v>5</v>
      </c>
      <c r="F26" s="135" t="s">
        <v>232</v>
      </c>
      <c r="G26" s="136"/>
      <c r="H26" s="211" t="s">
        <v>148</v>
      </c>
      <c r="I26" s="137" t="s">
        <v>148</v>
      </c>
      <c r="J26"/>
      <c r="R26" s="81"/>
      <c r="S26" s="81"/>
      <c r="T26" s="81"/>
    </row>
    <row r="27" spans="1:22" x14ac:dyDescent="0.25">
      <c r="A27"/>
      <c r="B27"/>
      <c r="C27"/>
      <c r="E27" s="95">
        <v>6</v>
      </c>
      <c r="F27" s="135" t="s">
        <v>246</v>
      </c>
      <c r="G27" s="136"/>
      <c r="H27" s="211" t="s">
        <v>239</v>
      </c>
      <c r="I27" s="137" t="s">
        <v>241</v>
      </c>
      <c r="J27"/>
      <c r="K27" s="101"/>
      <c r="L27" s="91"/>
      <c r="R27" s="81"/>
      <c r="S27" s="81"/>
      <c r="T27" s="81"/>
    </row>
    <row r="28" spans="1:22" x14ac:dyDescent="0.25">
      <c r="A28"/>
      <c r="B28"/>
      <c r="C28"/>
      <c r="E28" s="95">
        <v>7</v>
      </c>
      <c r="F28" s="135" t="s">
        <v>229</v>
      </c>
      <c r="G28" s="136"/>
      <c r="H28" s="211" t="s">
        <v>161</v>
      </c>
      <c r="I28" s="137" t="s">
        <v>161</v>
      </c>
      <c r="J28"/>
      <c r="K28" s="101"/>
      <c r="L28" s="91"/>
      <c r="R28" s="81"/>
      <c r="S28" s="81"/>
      <c r="T28" s="81"/>
    </row>
    <row r="29" spans="1:22" ht="16.5" thickBot="1" x14ac:dyDescent="0.3">
      <c r="A29"/>
      <c r="B29"/>
      <c r="C29"/>
      <c r="E29" s="95">
        <v>8</v>
      </c>
      <c r="F29" s="138"/>
      <c r="G29" s="139"/>
      <c r="H29" s="213" t="s">
        <v>144</v>
      </c>
      <c r="I29" s="140" t="s">
        <v>144</v>
      </c>
      <c r="J29"/>
      <c r="K29" s="101"/>
      <c r="L29" s="91"/>
      <c r="R29" s="81"/>
      <c r="S29" s="81"/>
      <c r="T29" s="81"/>
    </row>
    <row r="30" spans="1:22" x14ac:dyDescent="0.25">
      <c r="A30"/>
      <c r="B30"/>
      <c r="C30"/>
      <c r="E30" s="95"/>
      <c r="F30"/>
      <c r="G30"/>
      <c r="H30"/>
      <c r="I30"/>
      <c r="J30"/>
      <c r="R30" s="81"/>
      <c r="S30" s="81"/>
      <c r="T30" s="81"/>
    </row>
    <row r="31" spans="1:22" x14ac:dyDescent="0.25">
      <c r="A31"/>
      <c r="B31"/>
      <c r="C31"/>
      <c r="E31" s="95"/>
      <c r="F31"/>
      <c r="G31"/>
      <c r="H31"/>
      <c r="I31"/>
      <c r="J31"/>
      <c r="R31" s="81"/>
      <c r="S31" s="81"/>
      <c r="T31" s="81"/>
    </row>
    <row r="32" spans="1:22" x14ac:dyDescent="0.25">
      <c r="A32" s="195" t="s">
        <v>247</v>
      </c>
      <c r="B32"/>
      <c r="C32"/>
      <c r="D32" s="126" t="s">
        <v>248</v>
      </c>
      <c r="E32" s="91">
        <v>1</v>
      </c>
      <c r="F32" s="93"/>
      <c r="G32" s="92" t="s">
        <v>249</v>
      </c>
      <c r="H32" s="93"/>
      <c r="I32" s="92" t="s">
        <v>250</v>
      </c>
      <c r="J32" s="93"/>
      <c r="K32" s="92" t="s">
        <v>251</v>
      </c>
      <c r="L32" s="93"/>
      <c r="M32" s="92" t="s">
        <v>252</v>
      </c>
      <c r="N32" s="93"/>
      <c r="O32" s="92" t="s">
        <v>253</v>
      </c>
      <c r="P32" s="93"/>
      <c r="Q32" s="92" t="s">
        <v>254</v>
      </c>
      <c r="R32" s="93"/>
      <c r="S32" s="92" t="s">
        <v>255</v>
      </c>
      <c r="T32" s="93"/>
      <c r="U32" s="92" t="s">
        <v>256</v>
      </c>
    </row>
    <row r="33" spans="1:21" ht="15.75" customHeight="1" x14ac:dyDescent="0.25">
      <c r="A33" s="193" t="s">
        <v>62</v>
      </c>
      <c r="B33" t="s">
        <v>63</v>
      </c>
      <c r="C33"/>
      <c r="E33" s="95">
        <v>2</v>
      </c>
      <c r="F33" s="119" t="s">
        <v>50</v>
      </c>
      <c r="G33" s="96" t="s">
        <v>257</v>
      </c>
      <c r="H33" s="119" t="s">
        <v>52</v>
      </c>
      <c r="I33" s="207" t="s">
        <v>225</v>
      </c>
      <c r="J33" s="119" t="s">
        <v>50</v>
      </c>
      <c r="K33" s="96" t="s">
        <v>227</v>
      </c>
      <c r="L33" s="119" t="s">
        <v>52</v>
      </c>
      <c r="M33" s="96" t="s">
        <v>227</v>
      </c>
      <c r="N33" s="119" t="s">
        <v>50</v>
      </c>
      <c r="O33" s="96" t="s">
        <v>257</v>
      </c>
      <c r="P33" s="119" t="s">
        <v>52</v>
      </c>
      <c r="Q33" s="207" t="s">
        <v>225</v>
      </c>
      <c r="R33" s="119" t="s">
        <v>50</v>
      </c>
      <c r="S33" s="96" t="s">
        <v>258</v>
      </c>
      <c r="T33" s="119" t="s">
        <v>52</v>
      </c>
      <c r="U33" s="96" t="s">
        <v>259</v>
      </c>
    </row>
    <row r="34" spans="1:21" x14ac:dyDescent="0.25">
      <c r="A34" s="193" t="s">
        <v>74</v>
      </c>
      <c r="B34" t="s">
        <v>75</v>
      </c>
      <c r="C34"/>
      <c r="E34" s="95">
        <v>3</v>
      </c>
      <c r="F34" s="120" t="s">
        <v>50</v>
      </c>
      <c r="G34" s="97" t="s">
        <v>258</v>
      </c>
      <c r="H34" s="120" t="s">
        <v>52</v>
      </c>
      <c r="I34" s="97"/>
      <c r="J34" s="120" t="s">
        <v>50</v>
      </c>
      <c r="K34" s="97"/>
      <c r="L34" s="120" t="s">
        <v>52</v>
      </c>
      <c r="M34" s="97"/>
      <c r="N34" s="120" t="s">
        <v>50</v>
      </c>
      <c r="O34" s="97" t="s">
        <v>258</v>
      </c>
      <c r="P34" s="120" t="s">
        <v>52</v>
      </c>
      <c r="Q34" s="97"/>
      <c r="R34" s="120" t="s">
        <v>50</v>
      </c>
      <c r="S34" s="97" t="s">
        <v>257</v>
      </c>
      <c r="T34" s="120" t="s">
        <v>52</v>
      </c>
      <c r="U34" s="97" t="s">
        <v>260</v>
      </c>
    </row>
    <row r="35" spans="1:21" ht="15.75" customHeight="1" x14ac:dyDescent="0.25">
      <c r="A35" s="194" t="s">
        <v>84</v>
      </c>
      <c r="B35" t="s">
        <v>85</v>
      </c>
      <c r="C35"/>
      <c r="E35" s="95">
        <v>4</v>
      </c>
      <c r="F35" s="120" t="s">
        <v>50</v>
      </c>
      <c r="G35" s="97" t="s">
        <v>261</v>
      </c>
      <c r="H35" s="120" t="s">
        <v>52</v>
      </c>
      <c r="I35" s="97"/>
      <c r="J35" s="120" t="s">
        <v>50</v>
      </c>
      <c r="K35" s="97"/>
      <c r="L35" s="120" t="s">
        <v>52</v>
      </c>
      <c r="M35" s="97"/>
      <c r="N35" s="120" t="s">
        <v>50</v>
      </c>
      <c r="O35" s="97" t="s">
        <v>261</v>
      </c>
      <c r="P35" s="120" t="s">
        <v>52</v>
      </c>
      <c r="Q35" s="97"/>
      <c r="R35" s="120" t="s">
        <v>50</v>
      </c>
      <c r="S35" s="97" t="s">
        <v>262</v>
      </c>
      <c r="T35" s="120" t="s">
        <v>52</v>
      </c>
      <c r="U35" s="97" t="s">
        <v>263</v>
      </c>
    </row>
    <row r="36" spans="1:21" ht="15.75" customHeight="1" x14ac:dyDescent="0.25">
      <c r="A36"/>
      <c r="B36"/>
      <c r="C36"/>
      <c r="E36" s="95">
        <v>5</v>
      </c>
      <c r="F36" s="120" t="s">
        <v>50</v>
      </c>
      <c r="G36" s="97" t="s">
        <v>262</v>
      </c>
      <c r="H36" s="120" t="s">
        <v>52</v>
      </c>
      <c r="I36" s="97"/>
      <c r="J36" s="120" t="s">
        <v>50</v>
      </c>
      <c r="K36" s="97"/>
      <c r="L36" s="120" t="s">
        <v>52</v>
      </c>
      <c r="M36" s="97"/>
      <c r="N36" s="120" t="s">
        <v>50</v>
      </c>
      <c r="O36" s="97" t="s">
        <v>262</v>
      </c>
      <c r="P36" s="120" t="s">
        <v>52</v>
      </c>
      <c r="Q36" s="97"/>
      <c r="R36" s="120" t="s">
        <v>50</v>
      </c>
      <c r="S36" s="97" t="s">
        <v>261</v>
      </c>
      <c r="T36" s="120" t="s">
        <v>52</v>
      </c>
      <c r="U36" s="97" t="s">
        <v>264</v>
      </c>
    </row>
    <row r="37" spans="1:21" x14ac:dyDescent="0.25">
      <c r="A37"/>
      <c r="B37"/>
      <c r="C37"/>
      <c r="E37" s="95">
        <v>6</v>
      </c>
      <c r="F37" s="120" t="s">
        <v>52</v>
      </c>
      <c r="G37" s="205"/>
      <c r="H37" s="120" t="s">
        <v>50</v>
      </c>
      <c r="I37" s="97"/>
      <c r="J37" s="120" t="s">
        <v>52</v>
      </c>
      <c r="K37" s="97"/>
      <c r="L37" s="120" t="s">
        <v>50</v>
      </c>
      <c r="M37" s="97"/>
      <c r="N37" s="120" t="s">
        <v>52</v>
      </c>
      <c r="O37" s="97" t="s">
        <v>264</v>
      </c>
      <c r="P37" s="120" t="s">
        <v>50</v>
      </c>
      <c r="Q37" s="97"/>
      <c r="R37" s="120" t="s">
        <v>52</v>
      </c>
      <c r="S37" s="97" t="s">
        <v>259</v>
      </c>
      <c r="T37" s="120" t="s">
        <v>50</v>
      </c>
      <c r="U37" s="97" t="s">
        <v>258</v>
      </c>
    </row>
    <row r="38" spans="1:21" x14ac:dyDescent="0.25">
      <c r="A38"/>
      <c r="B38"/>
      <c r="C38"/>
      <c r="E38" s="95">
        <v>7</v>
      </c>
      <c r="F38" s="120" t="s">
        <v>52</v>
      </c>
      <c r="G38" s="97"/>
      <c r="H38" s="120" t="s">
        <v>50</v>
      </c>
      <c r="I38" s="97"/>
      <c r="J38" s="120" t="s">
        <v>52</v>
      </c>
      <c r="K38" s="97"/>
      <c r="L38" s="120" t="s">
        <v>50</v>
      </c>
      <c r="M38" s="97"/>
      <c r="N38" s="120" t="s">
        <v>52</v>
      </c>
      <c r="O38" s="97" t="s">
        <v>260</v>
      </c>
      <c r="P38" s="120" t="s">
        <v>50</v>
      </c>
      <c r="Q38" s="97"/>
      <c r="R38" s="120" t="s">
        <v>52</v>
      </c>
      <c r="S38" s="97" t="s">
        <v>260</v>
      </c>
      <c r="T38" s="120" t="s">
        <v>50</v>
      </c>
      <c r="U38" s="97" t="s">
        <v>257</v>
      </c>
    </row>
    <row r="39" spans="1:21" x14ac:dyDescent="0.25">
      <c r="A39" s="281" t="s">
        <v>265</v>
      </c>
      <c r="B39"/>
      <c r="C39"/>
      <c r="E39" s="95">
        <v>8</v>
      </c>
      <c r="F39" s="120" t="s">
        <v>52</v>
      </c>
      <c r="G39" s="97"/>
      <c r="H39" s="120" t="s">
        <v>50</v>
      </c>
      <c r="I39" s="97"/>
      <c r="J39" s="120" t="s">
        <v>52</v>
      </c>
      <c r="K39" s="97"/>
      <c r="L39" s="120" t="s">
        <v>50</v>
      </c>
      <c r="M39" s="97"/>
      <c r="N39" s="120" t="s">
        <v>52</v>
      </c>
      <c r="O39" s="97" t="s">
        <v>259</v>
      </c>
      <c r="P39" s="120" t="s">
        <v>50</v>
      </c>
      <c r="Q39" s="97"/>
      <c r="R39" s="120" t="s">
        <v>52</v>
      </c>
      <c r="S39" s="97" t="s">
        <v>263</v>
      </c>
      <c r="T39" s="120" t="s">
        <v>50</v>
      </c>
      <c r="U39" s="97" t="s">
        <v>262</v>
      </c>
    </row>
    <row r="40" spans="1:21" x14ac:dyDescent="0.25">
      <c r="B40"/>
      <c r="C40"/>
      <c r="E40" s="95">
        <v>9</v>
      </c>
      <c r="F40" s="120" t="s">
        <v>52</v>
      </c>
      <c r="G40" s="97"/>
      <c r="H40" s="121" t="s">
        <v>50</v>
      </c>
      <c r="I40" s="97"/>
      <c r="J40" s="120" t="s">
        <v>52</v>
      </c>
      <c r="K40" s="97"/>
      <c r="L40" s="121" t="s">
        <v>50</v>
      </c>
      <c r="M40" s="97"/>
      <c r="N40" s="120" t="s">
        <v>52</v>
      </c>
      <c r="O40" s="97" t="s">
        <v>263</v>
      </c>
      <c r="P40" s="121" t="s">
        <v>50</v>
      </c>
      <c r="Q40" s="97"/>
      <c r="R40" s="120" t="s">
        <v>52</v>
      </c>
      <c r="S40" s="97" t="s">
        <v>264</v>
      </c>
      <c r="T40" s="121" t="s">
        <v>50</v>
      </c>
      <c r="U40" s="97" t="s">
        <v>261</v>
      </c>
    </row>
    <row r="41" spans="1:21" x14ac:dyDescent="0.25">
      <c r="B41"/>
      <c r="C41"/>
      <c r="E41" s="95">
        <v>10</v>
      </c>
      <c r="F41" s="119" t="s">
        <v>92</v>
      </c>
      <c r="G41" s="96"/>
      <c r="H41" s="120" t="s">
        <v>93</v>
      </c>
      <c r="I41" s="96"/>
      <c r="J41" s="119" t="s">
        <v>92</v>
      </c>
      <c r="K41" s="96"/>
      <c r="L41" s="120" t="s">
        <v>93</v>
      </c>
      <c r="M41" s="96"/>
      <c r="N41" s="119" t="s">
        <v>92</v>
      </c>
      <c r="O41" s="96" t="s">
        <v>266</v>
      </c>
      <c r="P41" s="120" t="s">
        <v>93</v>
      </c>
      <c r="Q41" s="96"/>
      <c r="R41" s="119" t="s">
        <v>92</v>
      </c>
      <c r="S41" s="96" t="s">
        <v>266</v>
      </c>
      <c r="T41" s="120" t="s">
        <v>93</v>
      </c>
      <c r="U41" s="96" t="s">
        <v>267</v>
      </c>
    </row>
    <row r="42" spans="1:21" x14ac:dyDescent="0.25">
      <c r="E42" s="95">
        <v>11</v>
      </c>
      <c r="F42" s="120" t="s">
        <v>92</v>
      </c>
      <c r="G42" s="97"/>
      <c r="H42" s="120" t="s">
        <v>93</v>
      </c>
      <c r="I42" s="97"/>
      <c r="J42" s="120" t="s">
        <v>92</v>
      </c>
      <c r="K42" s="97"/>
      <c r="L42" s="120" t="s">
        <v>93</v>
      </c>
      <c r="M42" s="97"/>
      <c r="N42" s="120" t="s">
        <v>92</v>
      </c>
      <c r="O42" s="97" t="s">
        <v>268</v>
      </c>
      <c r="P42" s="120" t="s">
        <v>93</v>
      </c>
      <c r="Q42" s="97"/>
      <c r="R42" s="120" t="s">
        <v>92</v>
      </c>
      <c r="S42" s="97" t="s">
        <v>269</v>
      </c>
      <c r="T42" s="120" t="s">
        <v>93</v>
      </c>
      <c r="U42" s="97" t="s">
        <v>267</v>
      </c>
    </row>
    <row r="43" spans="1:21" x14ac:dyDescent="0.25">
      <c r="E43" s="95">
        <v>12</v>
      </c>
      <c r="F43" s="120" t="s">
        <v>92</v>
      </c>
      <c r="G43" s="97"/>
      <c r="H43" s="120" t="s">
        <v>93</v>
      </c>
      <c r="I43" s="97"/>
      <c r="J43" s="120" t="s">
        <v>92</v>
      </c>
      <c r="K43" s="97"/>
      <c r="L43" s="120" t="s">
        <v>93</v>
      </c>
      <c r="M43" s="97"/>
      <c r="N43" s="120" t="s">
        <v>92</v>
      </c>
      <c r="O43" s="215" t="s">
        <v>139</v>
      </c>
      <c r="P43" s="120" t="s">
        <v>93</v>
      </c>
      <c r="Q43" s="97"/>
      <c r="R43" s="120" t="s">
        <v>92</v>
      </c>
      <c r="S43" s="215" t="s">
        <v>139</v>
      </c>
      <c r="T43" s="120" t="s">
        <v>93</v>
      </c>
      <c r="U43" s="97" t="s">
        <v>267</v>
      </c>
    </row>
    <row r="44" spans="1:21" x14ac:dyDescent="0.25">
      <c r="E44" s="95">
        <v>13</v>
      </c>
      <c r="F44" s="120" t="s">
        <v>92</v>
      </c>
      <c r="G44" s="97"/>
      <c r="H44" s="120" t="s">
        <v>93</v>
      </c>
      <c r="I44" s="97"/>
      <c r="J44" s="120" t="s">
        <v>92</v>
      </c>
      <c r="K44" s="97"/>
      <c r="L44" s="120" t="s">
        <v>93</v>
      </c>
      <c r="M44" s="97"/>
      <c r="N44" s="120" t="s">
        <v>92</v>
      </c>
      <c r="O44" s="215" t="s">
        <v>112</v>
      </c>
      <c r="P44" s="120" t="s">
        <v>93</v>
      </c>
      <c r="Q44" s="97"/>
      <c r="R44" s="120" t="s">
        <v>92</v>
      </c>
      <c r="S44" s="215" t="s">
        <v>112</v>
      </c>
      <c r="T44" s="120" t="s">
        <v>93</v>
      </c>
      <c r="U44" s="97" t="s">
        <v>267</v>
      </c>
    </row>
    <row r="45" spans="1:21" x14ac:dyDescent="0.25">
      <c r="E45" s="95">
        <v>14</v>
      </c>
      <c r="F45" s="120" t="s">
        <v>93</v>
      </c>
      <c r="G45" s="97"/>
      <c r="H45" s="120" t="s">
        <v>92</v>
      </c>
      <c r="I45" s="97"/>
      <c r="J45" s="120" t="s">
        <v>93</v>
      </c>
      <c r="K45" s="97"/>
      <c r="L45" s="120" t="s">
        <v>92</v>
      </c>
      <c r="M45" s="97"/>
      <c r="N45" s="120" t="s">
        <v>93</v>
      </c>
      <c r="O45" s="97"/>
      <c r="P45" s="120" t="s">
        <v>92</v>
      </c>
      <c r="Q45" s="97"/>
      <c r="R45" s="120" t="s">
        <v>93</v>
      </c>
      <c r="S45" s="97" t="s">
        <v>267</v>
      </c>
      <c r="T45" s="120" t="s">
        <v>92</v>
      </c>
      <c r="U45" s="97" t="s">
        <v>266</v>
      </c>
    </row>
    <row r="46" spans="1:21" x14ac:dyDescent="0.25">
      <c r="E46" s="95">
        <v>15</v>
      </c>
      <c r="F46" s="120" t="s">
        <v>93</v>
      </c>
      <c r="G46" s="196"/>
      <c r="H46" s="120" t="s">
        <v>92</v>
      </c>
      <c r="I46" s="196"/>
      <c r="J46" s="120" t="s">
        <v>93</v>
      </c>
      <c r="K46" s="196"/>
      <c r="L46" s="120" t="s">
        <v>92</v>
      </c>
      <c r="M46" s="196"/>
      <c r="N46" s="120" t="s">
        <v>93</v>
      </c>
      <c r="O46" s="196"/>
      <c r="P46" s="120" t="s">
        <v>92</v>
      </c>
      <c r="Q46" s="196"/>
      <c r="R46" s="120" t="s">
        <v>93</v>
      </c>
      <c r="S46" s="97" t="s">
        <v>267</v>
      </c>
      <c r="T46" s="120" t="s">
        <v>92</v>
      </c>
      <c r="U46" s="97" t="s">
        <v>269</v>
      </c>
    </row>
    <row r="47" spans="1:21" x14ac:dyDescent="0.25">
      <c r="E47" s="95">
        <v>16</v>
      </c>
      <c r="F47" s="120" t="s">
        <v>93</v>
      </c>
      <c r="G47" s="97"/>
      <c r="H47" s="120" t="s">
        <v>92</v>
      </c>
      <c r="I47" s="97"/>
      <c r="J47" s="120" t="s">
        <v>93</v>
      </c>
      <c r="K47" s="97"/>
      <c r="L47" s="120" t="s">
        <v>92</v>
      </c>
      <c r="M47" s="97"/>
      <c r="N47" s="120" t="s">
        <v>93</v>
      </c>
      <c r="O47" s="97"/>
      <c r="P47" s="120" t="s">
        <v>92</v>
      </c>
      <c r="Q47" s="97"/>
      <c r="R47" s="120" t="s">
        <v>93</v>
      </c>
      <c r="S47" s="97" t="s">
        <v>267</v>
      </c>
      <c r="T47" s="120" t="s">
        <v>92</v>
      </c>
      <c r="U47" s="215" t="s">
        <v>139</v>
      </c>
    </row>
    <row r="48" spans="1:21" x14ac:dyDescent="0.25">
      <c r="E48" s="95">
        <v>17</v>
      </c>
      <c r="F48" s="121" t="s">
        <v>93</v>
      </c>
      <c r="G48" s="102"/>
      <c r="H48" s="121" t="s">
        <v>92</v>
      </c>
      <c r="I48" s="102"/>
      <c r="J48" s="121" t="s">
        <v>93</v>
      </c>
      <c r="K48" s="102"/>
      <c r="L48" s="121" t="s">
        <v>92</v>
      </c>
      <c r="M48" s="102"/>
      <c r="N48" s="121" t="s">
        <v>93</v>
      </c>
      <c r="O48" s="102"/>
      <c r="P48" s="121" t="s">
        <v>92</v>
      </c>
      <c r="Q48" s="102"/>
      <c r="R48" s="121" t="s">
        <v>93</v>
      </c>
      <c r="S48" s="102" t="s">
        <v>267</v>
      </c>
      <c r="T48" s="121" t="s">
        <v>92</v>
      </c>
      <c r="U48" s="217" t="s">
        <v>112</v>
      </c>
    </row>
    <row r="49" spans="4:21" x14ac:dyDescent="0.25">
      <c r="G49"/>
      <c r="H49"/>
      <c r="I49"/>
      <c r="J49"/>
      <c r="K49"/>
      <c r="L49"/>
      <c r="M49"/>
      <c r="N49" s="101"/>
      <c r="O49" s="108" t="s">
        <v>119</v>
      </c>
      <c r="P49" s="101"/>
      <c r="Q49"/>
      <c r="R49" s="101"/>
      <c r="S49" s="108" t="s">
        <v>119</v>
      </c>
      <c r="T49" s="101"/>
      <c r="U49" s="108" t="s">
        <v>119</v>
      </c>
    </row>
    <row r="50" spans="4:21" ht="16.5" thickBot="1" x14ac:dyDescent="0.3">
      <c r="D50"/>
      <c r="E50"/>
      <c r="J50"/>
      <c r="K50"/>
    </row>
    <row r="51" spans="4:21" x14ac:dyDescent="0.25">
      <c r="D51" s="126" t="s">
        <v>270</v>
      </c>
      <c r="E51" s="91">
        <v>1</v>
      </c>
      <c r="F51" s="132" t="s">
        <v>63</v>
      </c>
      <c r="G51" s="133" t="s">
        <v>70</v>
      </c>
      <c r="H51" s="197" t="s">
        <v>75</v>
      </c>
      <c r="I51" s="134" t="s">
        <v>85</v>
      </c>
      <c r="J51"/>
      <c r="K51"/>
    </row>
    <row r="52" spans="4:21" x14ac:dyDescent="0.25">
      <c r="D52"/>
      <c r="E52" s="95">
        <v>2</v>
      </c>
      <c r="F52" s="216" t="s">
        <v>245</v>
      </c>
      <c r="G52" s="209" t="s">
        <v>245</v>
      </c>
      <c r="H52" s="209" t="s">
        <v>268</v>
      </c>
      <c r="I52" s="210" t="s">
        <v>269</v>
      </c>
      <c r="J52"/>
      <c r="K52"/>
    </row>
    <row r="53" spans="4:21" x14ac:dyDescent="0.25">
      <c r="D53"/>
      <c r="E53" s="95">
        <v>3</v>
      </c>
      <c r="F53" s="208"/>
      <c r="G53" s="211"/>
      <c r="H53" s="211" t="s">
        <v>271</v>
      </c>
      <c r="I53" s="210" t="s">
        <v>271</v>
      </c>
      <c r="J53"/>
      <c r="K53"/>
    </row>
    <row r="54" spans="4:21" x14ac:dyDescent="0.25">
      <c r="E54" s="95">
        <v>4</v>
      </c>
      <c r="F54" s="208"/>
      <c r="G54" s="211"/>
      <c r="H54" s="211" t="s">
        <v>202</v>
      </c>
      <c r="I54" s="210" t="s">
        <v>202</v>
      </c>
      <c r="J54"/>
      <c r="K54"/>
    </row>
    <row r="55" spans="4:21" x14ac:dyDescent="0.25">
      <c r="E55" s="95">
        <v>5</v>
      </c>
      <c r="F55" s="208"/>
      <c r="G55" s="211"/>
      <c r="H55" s="211"/>
      <c r="I55" s="210" t="s">
        <v>148</v>
      </c>
      <c r="J55"/>
      <c r="K55"/>
    </row>
    <row r="56" spans="4:21" x14ac:dyDescent="0.25">
      <c r="E56" s="95">
        <v>6</v>
      </c>
      <c r="F56" s="208"/>
      <c r="G56" s="211"/>
      <c r="H56" s="211"/>
      <c r="I56" s="210" t="s">
        <v>267</v>
      </c>
      <c r="J56"/>
      <c r="K56"/>
    </row>
    <row r="57" spans="4:21" x14ac:dyDescent="0.25">
      <c r="E57" s="95">
        <v>7</v>
      </c>
      <c r="F57" s="208"/>
      <c r="G57" s="211"/>
      <c r="H57" s="211"/>
      <c r="I57" s="210" t="s">
        <v>230</v>
      </c>
      <c r="J57"/>
      <c r="K57"/>
    </row>
    <row r="58" spans="4:21" x14ac:dyDescent="0.25">
      <c r="E58" s="95">
        <v>8</v>
      </c>
      <c r="F58" s="208"/>
      <c r="G58" s="211"/>
      <c r="H58" s="211"/>
      <c r="I58" s="210" t="s">
        <v>232</v>
      </c>
      <c r="J58"/>
      <c r="K58"/>
    </row>
    <row r="59" spans="4:21" x14ac:dyDescent="0.25">
      <c r="E59" s="95">
        <v>9</v>
      </c>
      <c r="F59" s="208"/>
      <c r="G59" s="211"/>
      <c r="H59" s="211"/>
      <c r="I59" s="210" t="s">
        <v>272</v>
      </c>
      <c r="J59"/>
      <c r="K59"/>
    </row>
    <row r="60" spans="4:21" x14ac:dyDescent="0.25">
      <c r="E60" s="95">
        <v>10</v>
      </c>
      <c r="F60" s="208"/>
      <c r="G60" s="211"/>
      <c r="H60" s="211"/>
      <c r="I60" s="210" t="s">
        <v>229</v>
      </c>
      <c r="J60"/>
      <c r="K60"/>
    </row>
    <row r="61" spans="4:21" x14ac:dyDescent="0.25">
      <c r="E61" s="95">
        <v>11</v>
      </c>
      <c r="F61" s="208"/>
      <c r="G61" s="211"/>
      <c r="H61" s="211"/>
      <c r="I61" s="210" t="s">
        <v>273</v>
      </c>
      <c r="J61"/>
      <c r="K61" s="280" t="s">
        <v>274</v>
      </c>
    </row>
    <row r="62" spans="4:21" x14ac:dyDescent="0.25">
      <c r="E62" s="95">
        <v>12</v>
      </c>
      <c r="F62" s="208"/>
      <c r="G62" s="211"/>
      <c r="H62" s="211"/>
      <c r="I62" s="210" t="s">
        <v>275</v>
      </c>
      <c r="J62"/>
      <c r="K62" s="185" t="s">
        <v>276</v>
      </c>
    </row>
    <row r="63" spans="4:21" x14ac:dyDescent="0.25">
      <c r="E63" s="95">
        <v>13</v>
      </c>
      <c r="F63" s="208"/>
      <c r="G63" s="211"/>
      <c r="H63" s="211"/>
      <c r="I63" s="210" t="s">
        <v>277</v>
      </c>
      <c r="J63"/>
      <c r="K63"/>
    </row>
    <row r="64" spans="4:21" x14ac:dyDescent="0.25">
      <c r="E64" s="95">
        <v>14</v>
      </c>
      <c r="F64" s="208"/>
      <c r="G64" s="211"/>
      <c r="H64" s="211"/>
      <c r="I64" s="210" t="s">
        <v>278</v>
      </c>
      <c r="J64"/>
      <c r="K64"/>
    </row>
    <row r="65" spans="1:21" ht="16.5" thickBot="1" x14ac:dyDescent="0.3">
      <c r="E65" s="95">
        <v>15</v>
      </c>
      <c r="F65" s="212"/>
      <c r="G65" s="213"/>
      <c r="H65" s="213"/>
      <c r="I65" s="214"/>
      <c r="J65"/>
      <c r="K65"/>
    </row>
    <row r="66" spans="1:21" x14ac:dyDescent="0.25">
      <c r="D66"/>
      <c r="E66"/>
      <c r="J66"/>
      <c r="K66"/>
    </row>
    <row r="67" spans="1:21" x14ac:dyDescent="0.25">
      <c r="D67"/>
      <c r="E67"/>
      <c r="J67"/>
      <c r="K67"/>
    </row>
    <row r="68" spans="1:21" x14ac:dyDescent="0.25">
      <c r="A68" s="195" t="s">
        <v>211</v>
      </c>
      <c r="B68"/>
      <c r="C68"/>
      <c r="D68" s="126" t="s">
        <v>279</v>
      </c>
      <c r="E68" s="91">
        <v>1</v>
      </c>
      <c r="F68" s="93"/>
      <c r="G68" s="92" t="s">
        <v>280</v>
      </c>
      <c r="H68" s="93"/>
      <c r="I68" s="92" t="s">
        <v>281</v>
      </c>
      <c r="J68" s="93"/>
      <c r="K68" s="92" t="s">
        <v>282</v>
      </c>
      <c r="L68" s="93"/>
      <c r="M68" s="92" t="s">
        <v>283</v>
      </c>
      <c r="N68" s="93"/>
      <c r="O68" s="92" t="s">
        <v>284</v>
      </c>
      <c r="P68" s="93"/>
      <c r="Q68" s="92" t="s">
        <v>285</v>
      </c>
      <c r="R68"/>
      <c r="S68"/>
      <c r="T68"/>
      <c r="U68"/>
    </row>
    <row r="69" spans="1:21" x14ac:dyDescent="0.25">
      <c r="A69" s="193" t="s">
        <v>102</v>
      </c>
      <c r="B69" t="s">
        <v>103</v>
      </c>
      <c r="C69"/>
      <c r="E69" s="95">
        <v>2</v>
      </c>
      <c r="F69" s="119" t="s">
        <v>50</v>
      </c>
      <c r="G69" s="96" t="s">
        <v>286</v>
      </c>
      <c r="H69" s="119" t="s">
        <v>52</v>
      </c>
      <c r="I69" s="96" t="s">
        <v>286</v>
      </c>
      <c r="J69" s="119" t="s">
        <v>50</v>
      </c>
      <c r="K69" s="96" t="s">
        <v>286</v>
      </c>
      <c r="L69" s="119" t="s">
        <v>52</v>
      </c>
      <c r="M69" s="96" t="s">
        <v>286</v>
      </c>
      <c r="N69" s="119" t="s">
        <v>50</v>
      </c>
      <c r="O69" s="96" t="s">
        <v>287</v>
      </c>
      <c r="P69" s="119" t="s">
        <v>52</v>
      </c>
      <c r="Q69" s="96" t="s">
        <v>287</v>
      </c>
      <c r="R69"/>
      <c r="S69"/>
      <c r="T69"/>
      <c r="U69"/>
    </row>
    <row r="70" spans="1:21" x14ac:dyDescent="0.25">
      <c r="A70" s="193" t="s">
        <v>104</v>
      </c>
      <c r="B70" t="s">
        <v>105</v>
      </c>
      <c r="C70"/>
      <c r="E70" s="95">
        <v>3</v>
      </c>
      <c r="F70" s="120" t="s">
        <v>50</v>
      </c>
      <c r="G70" s="97" t="s">
        <v>287</v>
      </c>
      <c r="H70" s="120" t="s">
        <v>52</v>
      </c>
      <c r="I70" s="97" t="s">
        <v>287</v>
      </c>
      <c r="J70" s="120" t="s">
        <v>50</v>
      </c>
      <c r="K70" s="97" t="s">
        <v>287</v>
      </c>
      <c r="L70" s="120" t="s">
        <v>52</v>
      </c>
      <c r="M70" s="97" t="s">
        <v>287</v>
      </c>
      <c r="N70" s="120" t="s">
        <v>50</v>
      </c>
      <c r="O70" s="97" t="s">
        <v>287</v>
      </c>
      <c r="P70" s="120" t="s">
        <v>52</v>
      </c>
      <c r="Q70" s="97" t="s">
        <v>287</v>
      </c>
      <c r="R70"/>
      <c r="S70"/>
      <c r="T70"/>
      <c r="U70"/>
    </row>
    <row r="71" spans="1:21" x14ac:dyDescent="0.25">
      <c r="A71" s="194" t="s">
        <v>110</v>
      </c>
      <c r="B71" t="s">
        <v>111</v>
      </c>
      <c r="C71"/>
      <c r="E71" s="95">
        <v>4</v>
      </c>
      <c r="F71" s="120" t="s">
        <v>50</v>
      </c>
      <c r="G71" s="97" t="s">
        <v>287</v>
      </c>
      <c r="H71" s="120" t="s">
        <v>52</v>
      </c>
      <c r="I71" s="97" t="s">
        <v>287</v>
      </c>
      <c r="J71" s="120" t="s">
        <v>50</v>
      </c>
      <c r="K71" s="97" t="s">
        <v>287</v>
      </c>
      <c r="L71" s="120" t="s">
        <v>52</v>
      </c>
      <c r="M71" s="97" t="s">
        <v>287</v>
      </c>
      <c r="N71" s="120" t="s">
        <v>50</v>
      </c>
      <c r="O71" s="215" t="s">
        <v>165</v>
      </c>
      <c r="P71" s="120" t="s">
        <v>52</v>
      </c>
      <c r="Q71" s="215" t="s">
        <v>165</v>
      </c>
      <c r="R71"/>
      <c r="S71"/>
      <c r="T71"/>
      <c r="U71"/>
    </row>
    <row r="72" spans="1:21" x14ac:dyDescent="0.25">
      <c r="A72"/>
      <c r="B72"/>
      <c r="C72"/>
      <c r="E72" s="95">
        <v>5</v>
      </c>
      <c r="F72" s="120" t="s">
        <v>50</v>
      </c>
      <c r="G72" s="97" t="s">
        <v>287</v>
      </c>
      <c r="H72" s="120" t="s">
        <v>52</v>
      </c>
      <c r="I72" s="97" t="s">
        <v>287</v>
      </c>
      <c r="J72" s="120" t="s">
        <v>50</v>
      </c>
      <c r="K72" s="97" t="s">
        <v>287</v>
      </c>
      <c r="L72" s="120" t="s">
        <v>52</v>
      </c>
      <c r="M72" s="97" t="s">
        <v>287</v>
      </c>
      <c r="N72" s="120" t="s">
        <v>50</v>
      </c>
      <c r="O72" s="215" t="s">
        <v>112</v>
      </c>
      <c r="P72" s="120" t="s">
        <v>52</v>
      </c>
      <c r="Q72" s="215" t="s">
        <v>112</v>
      </c>
      <c r="R72"/>
      <c r="S72"/>
      <c r="T72"/>
      <c r="U72"/>
    </row>
    <row r="73" spans="1:21" x14ac:dyDescent="0.25">
      <c r="A73"/>
      <c r="B73"/>
      <c r="C73"/>
      <c r="E73" s="95">
        <v>6</v>
      </c>
      <c r="F73" s="120" t="s">
        <v>52</v>
      </c>
      <c r="G73" s="205"/>
      <c r="H73" s="120" t="s">
        <v>50</v>
      </c>
      <c r="I73" s="97"/>
      <c r="J73" s="120" t="s">
        <v>52</v>
      </c>
      <c r="K73" s="97" t="s">
        <v>287</v>
      </c>
      <c r="L73" s="120" t="s">
        <v>50</v>
      </c>
      <c r="M73" s="97" t="s">
        <v>287</v>
      </c>
      <c r="N73" s="120" t="s">
        <v>52</v>
      </c>
      <c r="O73" s="97" t="s">
        <v>286</v>
      </c>
      <c r="P73" s="120" t="s">
        <v>50</v>
      </c>
      <c r="Q73" s="97" t="s">
        <v>286</v>
      </c>
      <c r="R73"/>
      <c r="S73"/>
      <c r="T73"/>
      <c r="U73"/>
    </row>
    <row r="74" spans="1:21" x14ac:dyDescent="0.25">
      <c r="A74" s="281" t="s">
        <v>288</v>
      </c>
      <c r="B74"/>
      <c r="C74"/>
      <c r="E74" s="95">
        <v>7</v>
      </c>
      <c r="F74" s="120" t="s">
        <v>52</v>
      </c>
      <c r="G74" s="97"/>
      <c r="H74" s="120" t="s">
        <v>50</v>
      </c>
      <c r="I74" s="97"/>
      <c r="J74" s="120" t="s">
        <v>52</v>
      </c>
      <c r="K74" s="97" t="s">
        <v>287</v>
      </c>
      <c r="L74" s="120" t="s">
        <v>50</v>
      </c>
      <c r="M74" s="97" t="s">
        <v>287</v>
      </c>
      <c r="N74" s="120" t="s">
        <v>52</v>
      </c>
      <c r="O74" s="97" t="s">
        <v>287</v>
      </c>
      <c r="P74" s="120" t="s">
        <v>50</v>
      </c>
      <c r="Q74" s="97" t="s">
        <v>287</v>
      </c>
      <c r="R74"/>
      <c r="S74"/>
      <c r="T74"/>
      <c r="U74"/>
    </row>
    <row r="75" spans="1:21" x14ac:dyDescent="0.25">
      <c r="A75"/>
      <c r="B75"/>
      <c r="C75"/>
      <c r="E75" s="95">
        <v>8</v>
      </c>
      <c r="F75" s="120" t="s">
        <v>52</v>
      </c>
      <c r="G75" s="97"/>
      <c r="H75" s="120" t="s">
        <v>50</v>
      </c>
      <c r="I75" s="97"/>
      <c r="J75" s="120" t="s">
        <v>52</v>
      </c>
      <c r="K75" s="97" t="s">
        <v>287</v>
      </c>
      <c r="L75" s="120" t="s">
        <v>50</v>
      </c>
      <c r="M75" s="97" t="s">
        <v>287</v>
      </c>
      <c r="N75" s="120" t="s">
        <v>52</v>
      </c>
      <c r="O75" s="97" t="s">
        <v>287</v>
      </c>
      <c r="P75" s="120" t="s">
        <v>50</v>
      </c>
      <c r="Q75" s="97" t="s">
        <v>287</v>
      </c>
      <c r="R75"/>
      <c r="S75"/>
      <c r="T75"/>
      <c r="U75"/>
    </row>
    <row r="76" spans="1:21" x14ac:dyDescent="0.25">
      <c r="A76"/>
      <c r="B76"/>
      <c r="C76"/>
      <c r="E76" s="95">
        <v>9</v>
      </c>
      <c r="F76" s="120" t="s">
        <v>52</v>
      </c>
      <c r="G76" s="97"/>
      <c r="H76" s="121" t="s">
        <v>50</v>
      </c>
      <c r="I76" s="97"/>
      <c r="J76" s="120" t="s">
        <v>52</v>
      </c>
      <c r="K76" s="97" t="s">
        <v>287</v>
      </c>
      <c r="L76" s="121" t="s">
        <v>50</v>
      </c>
      <c r="M76" s="97" t="s">
        <v>287</v>
      </c>
      <c r="N76" s="120" t="s">
        <v>52</v>
      </c>
      <c r="O76" s="97" t="s">
        <v>287</v>
      </c>
      <c r="P76" s="121" t="s">
        <v>50</v>
      </c>
      <c r="Q76" s="97" t="s">
        <v>287</v>
      </c>
      <c r="R76"/>
      <c r="S76"/>
      <c r="T76"/>
      <c r="U76"/>
    </row>
    <row r="77" spans="1:21" x14ac:dyDescent="0.25">
      <c r="A77"/>
      <c r="B77"/>
      <c r="C77"/>
      <c r="E77" s="95">
        <v>10</v>
      </c>
      <c r="F77" s="119" t="s">
        <v>92</v>
      </c>
      <c r="G77" s="96"/>
      <c r="H77" s="120" t="s">
        <v>93</v>
      </c>
      <c r="I77" s="96"/>
      <c r="J77" s="119" t="s">
        <v>92</v>
      </c>
      <c r="K77" s="96"/>
      <c r="L77" s="120" t="s">
        <v>93</v>
      </c>
      <c r="M77" s="96"/>
      <c r="N77" s="119" t="s">
        <v>92</v>
      </c>
      <c r="O77" s="96" t="s">
        <v>287</v>
      </c>
      <c r="P77" s="120" t="s">
        <v>93</v>
      </c>
      <c r="Q77" s="96" t="s">
        <v>287</v>
      </c>
      <c r="R77"/>
      <c r="S77"/>
      <c r="T77"/>
      <c r="U77"/>
    </row>
    <row r="78" spans="1:21" x14ac:dyDescent="0.25">
      <c r="A78"/>
      <c r="B78"/>
      <c r="C78"/>
      <c r="E78" s="95">
        <v>11</v>
      </c>
      <c r="F78" s="120" t="s">
        <v>92</v>
      </c>
      <c r="G78" s="97"/>
      <c r="H78" s="120" t="s">
        <v>93</v>
      </c>
      <c r="I78" s="97"/>
      <c r="J78" s="120" t="s">
        <v>92</v>
      </c>
      <c r="K78" s="97"/>
      <c r="L78" s="120" t="s">
        <v>93</v>
      </c>
      <c r="M78" s="97"/>
      <c r="N78" s="120" t="s">
        <v>92</v>
      </c>
      <c r="O78" s="97" t="s">
        <v>287</v>
      </c>
      <c r="P78" s="120" t="s">
        <v>93</v>
      </c>
      <c r="Q78" s="97" t="s">
        <v>287</v>
      </c>
      <c r="R78"/>
      <c r="S78"/>
      <c r="T78"/>
      <c r="U78"/>
    </row>
    <row r="79" spans="1:21" x14ac:dyDescent="0.25">
      <c r="A79"/>
      <c r="B79"/>
      <c r="C79"/>
      <c r="E79" s="95">
        <v>12</v>
      </c>
      <c r="F79" s="120" t="s">
        <v>92</v>
      </c>
      <c r="G79" s="97"/>
      <c r="H79" s="120" t="s">
        <v>93</v>
      </c>
      <c r="I79" s="97"/>
      <c r="J79" s="120" t="s">
        <v>92</v>
      </c>
      <c r="K79" s="97"/>
      <c r="L79" s="120" t="s">
        <v>93</v>
      </c>
      <c r="M79" s="97"/>
      <c r="N79" s="120" t="s">
        <v>92</v>
      </c>
      <c r="O79" s="215" t="s">
        <v>144</v>
      </c>
      <c r="P79" s="120" t="s">
        <v>93</v>
      </c>
      <c r="Q79" s="215" t="s">
        <v>144</v>
      </c>
      <c r="R79"/>
      <c r="S79"/>
      <c r="T79"/>
      <c r="U79"/>
    </row>
    <row r="80" spans="1:21" x14ac:dyDescent="0.25">
      <c r="A80"/>
      <c r="B80"/>
      <c r="C80"/>
      <c r="E80" s="95">
        <v>13</v>
      </c>
      <c r="F80" s="120" t="s">
        <v>92</v>
      </c>
      <c r="G80" s="97"/>
      <c r="H80" s="120" t="s">
        <v>93</v>
      </c>
      <c r="I80" s="97"/>
      <c r="J80" s="120" t="s">
        <v>92</v>
      </c>
      <c r="K80" s="97"/>
      <c r="L80" s="120" t="s">
        <v>93</v>
      </c>
      <c r="M80" s="97"/>
      <c r="N80" s="120" t="s">
        <v>92</v>
      </c>
      <c r="O80" s="215" t="s">
        <v>112</v>
      </c>
      <c r="P80" s="120" t="s">
        <v>93</v>
      </c>
      <c r="Q80" s="215" t="s">
        <v>112</v>
      </c>
      <c r="R80"/>
      <c r="S80"/>
      <c r="T80"/>
      <c r="U80"/>
    </row>
    <row r="81" spans="1:21" x14ac:dyDescent="0.25">
      <c r="A81"/>
      <c r="B81"/>
      <c r="C81"/>
      <c r="E81" s="95">
        <v>14</v>
      </c>
      <c r="F81" s="120" t="s">
        <v>93</v>
      </c>
      <c r="G81" s="97"/>
      <c r="H81" s="120" t="s">
        <v>92</v>
      </c>
      <c r="I81" s="97"/>
      <c r="J81" s="120" t="s">
        <v>93</v>
      </c>
      <c r="K81" s="97"/>
      <c r="L81" s="120" t="s">
        <v>92</v>
      </c>
      <c r="M81" s="97"/>
      <c r="N81" s="120" t="s">
        <v>93</v>
      </c>
      <c r="O81" s="97"/>
      <c r="P81" s="120" t="s">
        <v>92</v>
      </c>
      <c r="Q81" s="97"/>
      <c r="R81"/>
      <c r="S81"/>
      <c r="T81"/>
      <c r="U81"/>
    </row>
    <row r="82" spans="1:21" x14ac:dyDescent="0.25">
      <c r="A82"/>
      <c r="B82"/>
      <c r="C82"/>
      <c r="E82" s="95">
        <v>15</v>
      </c>
      <c r="F82" s="120" t="s">
        <v>93</v>
      </c>
      <c r="G82" s="196"/>
      <c r="H82" s="120" t="s">
        <v>92</v>
      </c>
      <c r="I82" s="196"/>
      <c r="J82" s="120" t="s">
        <v>93</v>
      </c>
      <c r="K82" s="196"/>
      <c r="L82" s="120" t="s">
        <v>92</v>
      </c>
      <c r="M82" s="196"/>
      <c r="N82" s="120" t="s">
        <v>93</v>
      </c>
      <c r="O82" s="196"/>
      <c r="P82" s="120" t="s">
        <v>92</v>
      </c>
      <c r="Q82" s="196"/>
      <c r="R82"/>
      <c r="S82"/>
      <c r="T82"/>
      <c r="U82"/>
    </row>
    <row r="83" spans="1:21" x14ac:dyDescent="0.25">
      <c r="A83"/>
      <c r="B83"/>
      <c r="C83"/>
      <c r="E83" s="95">
        <v>16</v>
      </c>
      <c r="F83" s="120" t="s">
        <v>93</v>
      </c>
      <c r="G83" s="97"/>
      <c r="H83" s="120" t="s">
        <v>92</v>
      </c>
      <c r="I83" s="97"/>
      <c r="J83" s="120" t="s">
        <v>93</v>
      </c>
      <c r="K83" s="97"/>
      <c r="L83" s="120" t="s">
        <v>92</v>
      </c>
      <c r="M83" s="97"/>
      <c r="N83" s="120" t="s">
        <v>93</v>
      </c>
      <c r="O83" s="97"/>
      <c r="P83" s="120" t="s">
        <v>92</v>
      </c>
      <c r="Q83" s="97"/>
      <c r="R83"/>
      <c r="S83"/>
      <c r="T83"/>
      <c r="U83"/>
    </row>
    <row r="84" spans="1:21" x14ac:dyDescent="0.25">
      <c r="A84"/>
      <c r="B84"/>
      <c r="C84"/>
      <c r="E84" s="95">
        <v>17</v>
      </c>
      <c r="F84" s="121" t="s">
        <v>93</v>
      </c>
      <c r="G84" s="102"/>
      <c r="H84" s="121" t="s">
        <v>92</v>
      </c>
      <c r="I84" s="102"/>
      <c r="J84" s="121" t="s">
        <v>93</v>
      </c>
      <c r="K84" s="102"/>
      <c r="L84" s="121" t="s">
        <v>92</v>
      </c>
      <c r="M84" s="102"/>
      <c r="N84" s="121" t="s">
        <v>93</v>
      </c>
      <c r="O84" s="102"/>
      <c r="P84" s="121" t="s">
        <v>92</v>
      </c>
      <c r="Q84" s="102"/>
      <c r="R84"/>
      <c r="S84"/>
      <c r="T84"/>
      <c r="U84"/>
    </row>
    <row r="85" spans="1:21" x14ac:dyDescent="0.25">
      <c r="A85"/>
      <c r="B85"/>
      <c r="C85"/>
      <c r="G85"/>
      <c r="H85"/>
      <c r="I85"/>
      <c r="J85"/>
      <c r="K85"/>
      <c r="L85"/>
      <c r="M85"/>
      <c r="N85" s="101"/>
      <c r="O85" s="108" t="s">
        <v>119</v>
      </c>
      <c r="P85" s="101"/>
      <c r="Q85" s="108" t="s">
        <v>119</v>
      </c>
      <c r="R85" s="101"/>
      <c r="S85"/>
      <c r="T85"/>
      <c r="U85"/>
    </row>
    <row r="86" spans="1:21" ht="16.5" thickBot="1" x14ac:dyDescent="0.3">
      <c r="A86"/>
      <c r="B86"/>
      <c r="C86"/>
      <c r="G86" s="95"/>
      <c r="H86" s="101"/>
      <c r="I86" s="91"/>
      <c r="J86"/>
      <c r="K86"/>
      <c r="L86"/>
      <c r="M86" s="91"/>
      <c r="N86"/>
      <c r="O86"/>
      <c r="P86"/>
      <c r="Q86"/>
      <c r="R86"/>
      <c r="S86"/>
      <c r="T86"/>
      <c r="U86"/>
    </row>
    <row r="87" spans="1:21" x14ac:dyDescent="0.25">
      <c r="A87"/>
      <c r="B87"/>
      <c r="C87"/>
      <c r="D87" s="126" t="s">
        <v>289</v>
      </c>
      <c r="E87" s="91">
        <v>1</v>
      </c>
      <c r="F87" s="132" t="s">
        <v>103</v>
      </c>
      <c r="G87" s="133" t="s">
        <v>105</v>
      </c>
      <c r="H87" s="134" t="s">
        <v>111</v>
      </c>
      <c r="I87"/>
      <c r="J87" s="101"/>
      <c r="K87" s="91"/>
      <c r="L87"/>
      <c r="M87"/>
      <c r="N87"/>
      <c r="O87"/>
      <c r="P87"/>
      <c r="Q87"/>
      <c r="R87"/>
      <c r="S87"/>
      <c r="T87"/>
    </row>
    <row r="88" spans="1:21" x14ac:dyDescent="0.25">
      <c r="A88"/>
      <c r="B88"/>
      <c r="C88"/>
      <c r="D88"/>
      <c r="E88" s="95">
        <v>2</v>
      </c>
      <c r="F88" s="135" t="s">
        <v>286</v>
      </c>
      <c r="G88" s="198" t="s">
        <v>286</v>
      </c>
      <c r="H88" s="137" t="s">
        <v>286</v>
      </c>
      <c r="I88"/>
      <c r="J88" s="101"/>
      <c r="K88" s="91"/>
      <c r="L88" s="101"/>
      <c r="M88" s="91"/>
      <c r="N88" s="101"/>
      <c r="O88" s="91"/>
      <c r="P88" s="101"/>
      <c r="Q88" s="91"/>
      <c r="R88" s="101"/>
      <c r="S88" s="91"/>
    </row>
    <row r="89" spans="1:21" x14ac:dyDescent="0.25">
      <c r="A89"/>
      <c r="B89"/>
      <c r="C89"/>
      <c r="D89"/>
      <c r="E89" s="91">
        <v>3</v>
      </c>
      <c r="F89" s="135" t="s">
        <v>167</v>
      </c>
      <c r="G89" s="136" t="s">
        <v>167</v>
      </c>
      <c r="H89" s="137" t="s">
        <v>167</v>
      </c>
      <c r="I89"/>
      <c r="J89" s="101"/>
      <c r="K89" s="91"/>
      <c r="L89" s="101"/>
      <c r="M89" s="91"/>
      <c r="N89" s="101"/>
      <c r="O89" s="91"/>
      <c r="P89" s="101"/>
      <c r="Q89" s="91"/>
      <c r="R89" s="101"/>
      <c r="S89" s="91"/>
    </row>
    <row r="90" spans="1:21" x14ac:dyDescent="0.25">
      <c r="A90"/>
      <c r="B90"/>
      <c r="C90"/>
      <c r="E90" s="95">
        <v>4</v>
      </c>
      <c r="F90" s="135" t="s">
        <v>290</v>
      </c>
      <c r="G90" s="136" t="s">
        <v>290</v>
      </c>
      <c r="H90" s="137" t="s">
        <v>290</v>
      </c>
      <c r="I90"/>
      <c r="J90" s="101"/>
      <c r="Q90" s="81"/>
      <c r="R90" s="81"/>
      <c r="S90" s="81"/>
    </row>
    <row r="91" spans="1:21" x14ac:dyDescent="0.25">
      <c r="A91"/>
      <c r="B91"/>
      <c r="C91"/>
      <c r="E91" s="91">
        <v>5</v>
      </c>
      <c r="F91" s="135" t="s">
        <v>148</v>
      </c>
      <c r="G91" s="136" t="s">
        <v>148</v>
      </c>
      <c r="H91" s="137" t="s">
        <v>148</v>
      </c>
      <c r="I91"/>
      <c r="Q91" s="81"/>
      <c r="R91" s="81"/>
      <c r="S91" s="81"/>
    </row>
    <row r="92" spans="1:21" x14ac:dyDescent="0.25">
      <c r="A92"/>
      <c r="B92"/>
      <c r="C92"/>
      <c r="E92" s="95">
        <v>6</v>
      </c>
      <c r="F92" s="135" t="s">
        <v>287</v>
      </c>
      <c r="G92" s="136" t="s">
        <v>287</v>
      </c>
      <c r="H92" s="137" t="s">
        <v>287</v>
      </c>
      <c r="I92"/>
      <c r="J92" s="101"/>
      <c r="K92" s="91"/>
      <c r="Q92" s="81"/>
      <c r="R92" s="81"/>
      <c r="S92" s="81"/>
    </row>
    <row r="93" spans="1:21" x14ac:dyDescent="0.25">
      <c r="A93"/>
      <c r="B93"/>
      <c r="C93"/>
      <c r="E93" s="91">
        <v>7</v>
      </c>
      <c r="F93" s="135" t="s">
        <v>167</v>
      </c>
      <c r="G93" s="136" t="s">
        <v>167</v>
      </c>
      <c r="H93" s="137" t="s">
        <v>291</v>
      </c>
      <c r="I93"/>
      <c r="J93" s="101"/>
      <c r="K93" s="91"/>
      <c r="Q93" s="81"/>
      <c r="R93" s="81"/>
      <c r="S93" s="81"/>
    </row>
    <row r="94" spans="1:21" x14ac:dyDescent="0.25">
      <c r="A94"/>
      <c r="B94"/>
      <c r="C94"/>
      <c r="E94" s="95">
        <v>8</v>
      </c>
      <c r="F94" s="135" t="s">
        <v>290</v>
      </c>
      <c r="G94" s="136" t="s">
        <v>290</v>
      </c>
      <c r="H94" s="137" t="s">
        <v>202</v>
      </c>
      <c r="I94"/>
      <c r="J94"/>
      <c r="R94" s="81"/>
      <c r="S94" s="81"/>
      <c r="T94" s="81"/>
    </row>
    <row r="95" spans="1:21" x14ac:dyDescent="0.25">
      <c r="E95" s="91">
        <v>9</v>
      </c>
      <c r="F95" s="135" t="s">
        <v>291</v>
      </c>
      <c r="G95" s="136" t="s">
        <v>291</v>
      </c>
      <c r="H95" s="137" t="s">
        <v>292</v>
      </c>
    </row>
    <row r="96" spans="1:21" x14ac:dyDescent="0.25">
      <c r="E96" s="95">
        <v>10</v>
      </c>
      <c r="F96" s="135" t="s">
        <v>202</v>
      </c>
      <c r="G96" s="136" t="s">
        <v>202</v>
      </c>
      <c r="H96" s="137" t="s">
        <v>293</v>
      </c>
    </row>
    <row r="97" spans="1:18" x14ac:dyDescent="0.25">
      <c r="E97" s="91">
        <v>11</v>
      </c>
      <c r="F97" s="135" t="s">
        <v>292</v>
      </c>
      <c r="G97" s="136" t="s">
        <v>292</v>
      </c>
      <c r="H97" s="137" t="s">
        <v>294</v>
      </c>
    </row>
    <row r="98" spans="1:18" x14ac:dyDescent="0.25">
      <c r="E98" s="95">
        <v>12</v>
      </c>
      <c r="F98" s="135" t="s">
        <v>293</v>
      </c>
      <c r="G98" s="136" t="s">
        <v>293</v>
      </c>
      <c r="H98" s="137" t="s">
        <v>295</v>
      </c>
    </row>
    <row r="99" spans="1:18" x14ac:dyDescent="0.25">
      <c r="E99" s="91">
        <v>13</v>
      </c>
      <c r="F99" s="135" t="s">
        <v>294</v>
      </c>
      <c r="G99" s="136" t="s">
        <v>294</v>
      </c>
      <c r="H99" s="137" t="s">
        <v>146</v>
      </c>
    </row>
    <row r="100" spans="1:18" x14ac:dyDescent="0.25">
      <c r="E100" s="95">
        <v>14</v>
      </c>
      <c r="F100" s="135" t="s">
        <v>295</v>
      </c>
      <c r="G100" s="136" t="s">
        <v>295</v>
      </c>
      <c r="H100" s="137" t="s">
        <v>296</v>
      </c>
    </row>
    <row r="101" spans="1:18" x14ac:dyDescent="0.25">
      <c r="E101" s="91">
        <v>15</v>
      </c>
      <c r="F101" s="135" t="s">
        <v>146</v>
      </c>
      <c r="G101" s="136" t="s">
        <v>146</v>
      </c>
      <c r="H101" s="137"/>
    </row>
    <row r="102" spans="1:18" ht="16.5" thickBot="1" x14ac:dyDescent="0.3">
      <c r="E102" s="95">
        <v>16</v>
      </c>
      <c r="F102" s="138" t="s">
        <v>296</v>
      </c>
      <c r="G102" s="139" t="s">
        <v>296</v>
      </c>
      <c r="H102" s="140"/>
    </row>
    <row r="103" spans="1:18" x14ac:dyDescent="0.25">
      <c r="E103" s="95"/>
      <c r="F103" s="136"/>
      <c r="G103" s="136"/>
      <c r="H103" s="136"/>
    </row>
    <row r="104" spans="1:18" x14ac:dyDescent="0.25">
      <c r="E104"/>
      <c r="F104"/>
      <c r="G104"/>
      <c r="H104"/>
    </row>
    <row r="105" spans="1:18" x14ac:dyDescent="0.25">
      <c r="A105" s="195" t="s">
        <v>213</v>
      </c>
      <c r="B105"/>
      <c r="C105"/>
      <c r="D105" s="126" t="s">
        <v>297</v>
      </c>
      <c r="E105" s="91">
        <v>1</v>
      </c>
      <c r="F105" s="93"/>
      <c r="G105" s="92" t="s">
        <v>298</v>
      </c>
      <c r="H105" s="93"/>
      <c r="I105" s="92" t="s">
        <v>299</v>
      </c>
      <c r="J105" s="93"/>
      <c r="K105" s="92" t="s">
        <v>300</v>
      </c>
      <c r="L105" s="93"/>
      <c r="M105" s="92" t="s">
        <v>301</v>
      </c>
      <c r="N105" s="93"/>
      <c r="O105" s="92" t="s">
        <v>302</v>
      </c>
      <c r="P105" s="93"/>
      <c r="Q105" s="92" t="s">
        <v>303</v>
      </c>
      <c r="R105"/>
    </row>
    <row r="106" spans="1:18" x14ac:dyDescent="0.25">
      <c r="A106" s="193" t="s">
        <v>113</v>
      </c>
      <c r="B106" t="s">
        <v>114</v>
      </c>
      <c r="C106"/>
      <c r="E106" s="95">
        <v>2</v>
      </c>
      <c r="F106" s="119" t="s">
        <v>50</v>
      </c>
      <c r="G106" s="274" t="s">
        <v>304</v>
      </c>
      <c r="H106" s="119" t="s">
        <v>52</v>
      </c>
      <c r="I106" s="274" t="s">
        <v>277</v>
      </c>
      <c r="J106" s="119" t="s">
        <v>50</v>
      </c>
      <c r="K106" s="274" t="s">
        <v>304</v>
      </c>
      <c r="L106" s="119" t="s">
        <v>52</v>
      </c>
      <c r="M106" s="96" t="s">
        <v>277</v>
      </c>
      <c r="N106" s="119" t="s">
        <v>50</v>
      </c>
      <c r="O106" s="274" t="s">
        <v>304</v>
      </c>
      <c r="P106" s="119" t="s">
        <v>52</v>
      </c>
      <c r="Q106" s="96" t="s">
        <v>277</v>
      </c>
      <c r="R106"/>
    </row>
    <row r="107" spans="1:18" x14ac:dyDescent="0.25">
      <c r="A107" s="193" t="s">
        <v>115</v>
      </c>
      <c r="B107" t="s">
        <v>116</v>
      </c>
      <c r="C107"/>
      <c r="E107" s="95">
        <v>3</v>
      </c>
      <c r="F107" s="120" t="s">
        <v>50</v>
      </c>
      <c r="G107" s="97" t="s">
        <v>305</v>
      </c>
      <c r="H107" s="120" t="s">
        <v>52</v>
      </c>
      <c r="I107" s="97" t="s">
        <v>305</v>
      </c>
      <c r="J107" s="120" t="s">
        <v>50</v>
      </c>
      <c r="K107" s="97" t="s">
        <v>305</v>
      </c>
      <c r="L107" s="120" t="s">
        <v>52</v>
      </c>
      <c r="M107" s="97" t="s">
        <v>305</v>
      </c>
      <c r="N107" s="120" t="s">
        <v>50</v>
      </c>
      <c r="O107" s="97" t="s">
        <v>305</v>
      </c>
      <c r="P107" s="120" t="s">
        <v>52</v>
      </c>
      <c r="Q107" s="97" t="s">
        <v>305</v>
      </c>
      <c r="R107"/>
    </row>
    <row r="108" spans="1:18" x14ac:dyDescent="0.25">
      <c r="A108" s="194" t="s">
        <v>117</v>
      </c>
      <c r="B108" t="s">
        <v>118</v>
      </c>
      <c r="C108"/>
      <c r="E108" s="95">
        <v>4</v>
      </c>
      <c r="F108" s="120" t="s">
        <v>50</v>
      </c>
      <c r="G108" s="97" t="s">
        <v>305</v>
      </c>
      <c r="H108" s="120" t="s">
        <v>52</v>
      </c>
      <c r="I108" s="97" t="s">
        <v>305</v>
      </c>
      <c r="J108" s="120" t="s">
        <v>50</v>
      </c>
      <c r="K108" s="97" t="s">
        <v>305</v>
      </c>
      <c r="L108" s="120" t="s">
        <v>52</v>
      </c>
      <c r="M108" s="97" t="s">
        <v>305</v>
      </c>
      <c r="N108" s="120" t="s">
        <v>50</v>
      </c>
      <c r="O108" s="97" t="s">
        <v>305</v>
      </c>
      <c r="P108" s="120" t="s">
        <v>52</v>
      </c>
      <c r="Q108" s="97" t="s">
        <v>305</v>
      </c>
      <c r="R108"/>
    </row>
    <row r="109" spans="1:18" x14ac:dyDescent="0.25">
      <c r="A109"/>
      <c r="B109"/>
      <c r="C109"/>
      <c r="E109" s="95">
        <v>5</v>
      </c>
      <c r="F109" s="120" t="s">
        <v>50</v>
      </c>
      <c r="G109" s="97" t="s">
        <v>305</v>
      </c>
      <c r="H109" s="120" t="s">
        <v>52</v>
      </c>
      <c r="I109" s="97" t="s">
        <v>305</v>
      </c>
      <c r="J109" s="120" t="s">
        <v>50</v>
      </c>
      <c r="K109" s="97" t="s">
        <v>305</v>
      </c>
      <c r="L109" s="120" t="s">
        <v>52</v>
      </c>
      <c r="M109" s="97" t="s">
        <v>305</v>
      </c>
      <c r="N109" s="120" t="s">
        <v>50</v>
      </c>
      <c r="O109" s="97" t="s">
        <v>305</v>
      </c>
      <c r="P109" s="120" t="s">
        <v>52</v>
      </c>
      <c r="Q109" s="97" t="s">
        <v>305</v>
      </c>
      <c r="R109"/>
    </row>
    <row r="110" spans="1:18" x14ac:dyDescent="0.25">
      <c r="A110"/>
      <c r="B110"/>
      <c r="C110"/>
      <c r="E110" s="95">
        <v>6</v>
      </c>
      <c r="F110" s="120" t="s">
        <v>52</v>
      </c>
      <c r="G110" s="205"/>
      <c r="H110" s="120" t="s">
        <v>50</v>
      </c>
      <c r="I110" s="97"/>
      <c r="J110" s="120" t="s">
        <v>52</v>
      </c>
      <c r="K110" s="97" t="s">
        <v>277</v>
      </c>
      <c r="L110" s="120" t="s">
        <v>50</v>
      </c>
      <c r="M110" s="127" t="s">
        <v>304</v>
      </c>
      <c r="N110" s="120" t="s">
        <v>52</v>
      </c>
      <c r="O110" s="97" t="s">
        <v>277</v>
      </c>
      <c r="P110" s="120" t="s">
        <v>50</v>
      </c>
      <c r="Q110" s="127" t="s">
        <v>304</v>
      </c>
      <c r="R110"/>
    </row>
    <row r="111" spans="1:18" x14ac:dyDescent="0.25">
      <c r="A111" s="281" t="s">
        <v>306</v>
      </c>
      <c r="B111"/>
      <c r="C111"/>
      <c r="E111" s="95">
        <v>7</v>
      </c>
      <c r="F111" s="120" t="s">
        <v>52</v>
      </c>
      <c r="G111" s="97"/>
      <c r="H111" s="120" t="s">
        <v>50</v>
      </c>
      <c r="I111" s="97"/>
      <c r="J111" s="120" t="s">
        <v>52</v>
      </c>
      <c r="K111" s="97" t="s">
        <v>305</v>
      </c>
      <c r="L111" s="120" t="s">
        <v>50</v>
      </c>
      <c r="M111" s="97" t="s">
        <v>305</v>
      </c>
      <c r="N111" s="120" t="s">
        <v>52</v>
      </c>
      <c r="O111" s="97" t="s">
        <v>305</v>
      </c>
      <c r="P111" s="120" t="s">
        <v>50</v>
      </c>
      <c r="Q111" s="97" t="s">
        <v>305</v>
      </c>
      <c r="R111"/>
    </row>
    <row r="112" spans="1:18" x14ac:dyDescent="0.25">
      <c r="A112" s="281" t="s">
        <v>307</v>
      </c>
      <c r="B112"/>
      <c r="C112"/>
      <c r="E112" s="95">
        <v>8</v>
      </c>
      <c r="F112" s="120" t="s">
        <v>52</v>
      </c>
      <c r="G112" s="97"/>
      <c r="H112" s="120" t="s">
        <v>50</v>
      </c>
      <c r="I112" s="97"/>
      <c r="J112" s="120" t="s">
        <v>52</v>
      </c>
      <c r="K112" s="97" t="s">
        <v>305</v>
      </c>
      <c r="L112" s="120" t="s">
        <v>50</v>
      </c>
      <c r="M112" s="97" t="s">
        <v>305</v>
      </c>
      <c r="N112" s="120" t="s">
        <v>52</v>
      </c>
      <c r="O112" s="97" t="s">
        <v>305</v>
      </c>
      <c r="P112" s="120" t="s">
        <v>50</v>
      </c>
      <c r="Q112" s="97" t="s">
        <v>305</v>
      </c>
      <c r="R112"/>
    </row>
    <row r="113" spans="1:18" x14ac:dyDescent="0.25">
      <c r="A113" t="s">
        <v>308</v>
      </c>
      <c r="B113"/>
      <c r="C113"/>
      <c r="E113" s="95">
        <v>9</v>
      </c>
      <c r="F113" s="120" t="s">
        <v>52</v>
      </c>
      <c r="G113" s="97"/>
      <c r="H113" s="121" t="s">
        <v>50</v>
      </c>
      <c r="I113" s="97"/>
      <c r="J113" s="120" t="s">
        <v>52</v>
      </c>
      <c r="K113" s="97" t="s">
        <v>305</v>
      </c>
      <c r="L113" s="121" t="s">
        <v>50</v>
      </c>
      <c r="M113" s="97" t="s">
        <v>305</v>
      </c>
      <c r="N113" s="120" t="s">
        <v>52</v>
      </c>
      <c r="O113" s="97" t="s">
        <v>305</v>
      </c>
      <c r="P113" s="121" t="s">
        <v>50</v>
      </c>
      <c r="Q113" s="97" t="s">
        <v>305</v>
      </c>
      <c r="R113"/>
    </row>
    <row r="114" spans="1:18" x14ac:dyDescent="0.25">
      <c r="A114"/>
      <c r="B114"/>
      <c r="C114"/>
      <c r="E114" s="95">
        <v>10</v>
      </c>
      <c r="F114" s="119" t="s">
        <v>92</v>
      </c>
      <c r="G114" s="96"/>
      <c r="H114" s="120" t="s">
        <v>93</v>
      </c>
      <c r="I114" s="96"/>
      <c r="J114" s="119" t="s">
        <v>92</v>
      </c>
      <c r="K114" s="96"/>
      <c r="L114" s="120" t="s">
        <v>93</v>
      </c>
      <c r="M114" s="96"/>
      <c r="N114" s="119" t="s">
        <v>92</v>
      </c>
      <c r="O114" s="96" t="s">
        <v>305</v>
      </c>
      <c r="P114" s="120" t="s">
        <v>93</v>
      </c>
      <c r="Q114" s="96" t="s">
        <v>305</v>
      </c>
      <c r="R114"/>
    </row>
    <row r="115" spans="1:18" x14ac:dyDescent="0.25">
      <c r="A115"/>
      <c r="B115"/>
      <c r="C115"/>
      <c r="E115" s="95">
        <v>11</v>
      </c>
      <c r="F115" s="120" t="s">
        <v>92</v>
      </c>
      <c r="G115" s="97"/>
      <c r="H115" s="120" t="s">
        <v>93</v>
      </c>
      <c r="I115" s="97"/>
      <c r="J115" s="120" t="s">
        <v>92</v>
      </c>
      <c r="K115" s="97"/>
      <c r="L115" s="120" t="s">
        <v>93</v>
      </c>
      <c r="M115" s="97"/>
      <c r="N115" s="120" t="s">
        <v>92</v>
      </c>
      <c r="O115" s="97" t="s">
        <v>305</v>
      </c>
      <c r="P115" s="120" t="s">
        <v>93</v>
      </c>
      <c r="Q115" s="97" t="s">
        <v>305</v>
      </c>
      <c r="R115"/>
    </row>
    <row r="116" spans="1:18" x14ac:dyDescent="0.25">
      <c r="A116"/>
      <c r="B116"/>
      <c r="C116"/>
      <c r="E116" s="95">
        <v>12</v>
      </c>
      <c r="F116" s="120" t="s">
        <v>92</v>
      </c>
      <c r="G116" s="97"/>
      <c r="H116" s="120" t="s">
        <v>93</v>
      </c>
      <c r="I116" s="97"/>
      <c r="J116" s="120" t="s">
        <v>92</v>
      </c>
      <c r="K116" s="97"/>
      <c r="L116" s="120" t="s">
        <v>93</v>
      </c>
      <c r="M116" s="97"/>
      <c r="N116" s="120" t="s">
        <v>92</v>
      </c>
      <c r="O116" s="97" t="s">
        <v>305</v>
      </c>
      <c r="P116" s="120" t="s">
        <v>93</v>
      </c>
      <c r="Q116" s="97" t="s">
        <v>305</v>
      </c>
      <c r="R116"/>
    </row>
    <row r="117" spans="1:18" x14ac:dyDescent="0.25">
      <c r="A117"/>
      <c r="B117"/>
      <c r="C117"/>
      <c r="E117" s="95">
        <v>13</v>
      </c>
      <c r="F117" s="120" t="s">
        <v>92</v>
      </c>
      <c r="G117" s="97"/>
      <c r="H117" s="120" t="s">
        <v>93</v>
      </c>
      <c r="I117" s="97"/>
      <c r="J117" s="120" t="s">
        <v>92</v>
      </c>
      <c r="K117" s="97"/>
      <c r="L117" s="120" t="s">
        <v>93</v>
      </c>
      <c r="M117" s="97"/>
      <c r="N117" s="120" t="s">
        <v>92</v>
      </c>
      <c r="O117" s="97" t="s">
        <v>305</v>
      </c>
      <c r="P117" s="120" t="s">
        <v>93</v>
      </c>
      <c r="Q117" s="97" t="s">
        <v>305</v>
      </c>
      <c r="R117"/>
    </row>
    <row r="118" spans="1:18" x14ac:dyDescent="0.25">
      <c r="A118"/>
      <c r="B118"/>
      <c r="C118"/>
      <c r="E118" s="95">
        <v>14</v>
      </c>
      <c r="F118" s="120" t="s">
        <v>93</v>
      </c>
      <c r="G118" s="97"/>
      <c r="H118" s="120" t="s">
        <v>92</v>
      </c>
      <c r="I118" s="97"/>
      <c r="J118" s="120" t="s">
        <v>93</v>
      </c>
      <c r="K118" s="97"/>
      <c r="L118" s="120" t="s">
        <v>92</v>
      </c>
      <c r="M118" s="97"/>
      <c r="N118" s="120" t="s">
        <v>93</v>
      </c>
      <c r="O118" s="97"/>
      <c r="P118" s="120" t="s">
        <v>92</v>
      </c>
      <c r="Q118" s="97"/>
      <c r="R118"/>
    </row>
    <row r="119" spans="1:18" x14ac:dyDescent="0.25">
      <c r="A119"/>
      <c r="B119"/>
      <c r="C119"/>
      <c r="E119" s="95">
        <v>15</v>
      </c>
      <c r="F119" s="120" t="s">
        <v>93</v>
      </c>
      <c r="G119" s="196"/>
      <c r="H119" s="120" t="s">
        <v>92</v>
      </c>
      <c r="I119" s="196"/>
      <c r="J119" s="120" t="s">
        <v>93</v>
      </c>
      <c r="K119" s="196"/>
      <c r="L119" s="120" t="s">
        <v>92</v>
      </c>
      <c r="M119" s="196"/>
      <c r="N119" s="120" t="s">
        <v>93</v>
      </c>
      <c r="O119" s="196"/>
      <c r="P119" s="120" t="s">
        <v>92</v>
      </c>
      <c r="Q119" s="196"/>
      <c r="R119"/>
    </row>
    <row r="120" spans="1:18" x14ac:dyDescent="0.25">
      <c r="A120"/>
      <c r="B120"/>
      <c r="C120"/>
      <c r="E120" s="95">
        <v>16</v>
      </c>
      <c r="F120" s="120" t="s">
        <v>93</v>
      </c>
      <c r="G120" s="97"/>
      <c r="H120" s="120" t="s">
        <v>92</v>
      </c>
      <c r="I120" s="97"/>
      <c r="J120" s="120" t="s">
        <v>93</v>
      </c>
      <c r="K120" s="97"/>
      <c r="L120" s="120" t="s">
        <v>92</v>
      </c>
      <c r="M120" s="97"/>
      <c r="N120" s="120" t="s">
        <v>93</v>
      </c>
      <c r="O120" s="97"/>
      <c r="P120" s="120" t="s">
        <v>92</v>
      </c>
      <c r="Q120" s="97"/>
      <c r="R120"/>
    </row>
    <row r="121" spans="1:18" x14ac:dyDescent="0.25">
      <c r="A121"/>
      <c r="B121"/>
      <c r="C121"/>
      <c r="E121" s="95">
        <v>17</v>
      </c>
      <c r="F121" s="121" t="s">
        <v>93</v>
      </c>
      <c r="G121" s="102"/>
      <c r="H121" s="121" t="s">
        <v>92</v>
      </c>
      <c r="I121" s="102"/>
      <c r="J121" s="121" t="s">
        <v>93</v>
      </c>
      <c r="K121" s="102"/>
      <c r="L121" s="121" t="s">
        <v>92</v>
      </c>
      <c r="M121" s="102"/>
      <c r="N121" s="121" t="s">
        <v>93</v>
      </c>
      <c r="O121" s="102"/>
      <c r="P121" s="121" t="s">
        <v>92</v>
      </c>
      <c r="Q121" s="102"/>
      <c r="R121"/>
    </row>
    <row r="122" spans="1:18" x14ac:dyDescent="0.25">
      <c r="A122"/>
      <c r="B122"/>
      <c r="C122"/>
      <c r="G122"/>
      <c r="H122"/>
      <c r="I122"/>
      <c r="J122"/>
      <c r="K122"/>
      <c r="L122"/>
      <c r="M122"/>
      <c r="N122" s="101"/>
      <c r="O122"/>
      <c r="P122"/>
      <c r="Q122"/>
      <c r="R122" s="101"/>
    </row>
    <row r="123" spans="1:18" ht="16.5" thickBot="1" x14ac:dyDescent="0.3">
      <c r="A123"/>
      <c r="B123"/>
      <c r="C123"/>
      <c r="G123" s="95"/>
      <c r="H123" s="101"/>
      <c r="I123" s="91"/>
      <c r="J123"/>
      <c r="K123"/>
      <c r="L123"/>
      <c r="M123" s="91"/>
      <c r="N123"/>
      <c r="O123"/>
      <c r="P123"/>
      <c r="Q123"/>
      <c r="R123"/>
    </row>
    <row r="124" spans="1:18" x14ac:dyDescent="0.25">
      <c r="A124"/>
      <c r="B124"/>
      <c r="C124"/>
      <c r="D124" s="126" t="s">
        <v>309</v>
      </c>
      <c r="E124" s="91">
        <v>1</v>
      </c>
      <c r="F124" s="132" t="s">
        <v>114</v>
      </c>
      <c r="G124" s="133" t="s">
        <v>116</v>
      </c>
      <c r="H124" s="134" t="s">
        <v>118</v>
      </c>
      <c r="I124"/>
      <c r="J124" s="101"/>
      <c r="K124" s="91"/>
      <c r="L124"/>
      <c r="M124"/>
      <c r="N124"/>
      <c r="O124"/>
      <c r="P124"/>
      <c r="Q124"/>
      <c r="R124"/>
    </row>
    <row r="125" spans="1:18" x14ac:dyDescent="0.25">
      <c r="A125"/>
      <c r="B125"/>
      <c r="C125"/>
      <c r="D125"/>
      <c r="E125" s="95">
        <v>2</v>
      </c>
      <c r="F125" s="135" t="s">
        <v>310</v>
      </c>
      <c r="G125" s="198" t="s">
        <v>311</v>
      </c>
      <c r="H125" s="219" t="s">
        <v>311</v>
      </c>
      <c r="I125"/>
      <c r="J125" s="101"/>
      <c r="K125" s="91"/>
      <c r="L125" s="101"/>
      <c r="M125" s="91"/>
      <c r="N125" s="101"/>
      <c r="O125" s="91"/>
      <c r="P125" s="101"/>
      <c r="Q125" s="91"/>
      <c r="R125" s="101"/>
    </row>
    <row r="126" spans="1:18" x14ac:dyDescent="0.25">
      <c r="A126"/>
      <c r="B126"/>
      <c r="C126"/>
      <c r="D126"/>
      <c r="E126" s="91">
        <v>3</v>
      </c>
      <c r="F126" s="218" t="s">
        <v>276</v>
      </c>
      <c r="G126" s="185" t="s">
        <v>276</v>
      </c>
      <c r="H126" s="220" t="s">
        <v>276</v>
      </c>
      <c r="I126" s="280" t="s">
        <v>274</v>
      </c>
      <c r="J126" s="101"/>
      <c r="K126" s="91"/>
      <c r="L126" s="101"/>
      <c r="M126" s="91"/>
      <c r="N126" s="101"/>
      <c r="O126" s="91"/>
      <c r="P126" s="101"/>
      <c r="Q126" s="91"/>
      <c r="R126" s="101"/>
    </row>
    <row r="127" spans="1:18" x14ac:dyDescent="0.25">
      <c r="A127"/>
      <c r="B127"/>
      <c r="C127"/>
      <c r="E127" s="95">
        <v>4</v>
      </c>
      <c r="F127" s="135" t="s">
        <v>277</v>
      </c>
      <c r="G127" s="136" t="s">
        <v>304</v>
      </c>
      <c r="H127" s="137" t="s">
        <v>304</v>
      </c>
      <c r="I127"/>
      <c r="J127" s="101"/>
      <c r="Q127" s="81"/>
      <c r="R127" s="81"/>
    </row>
    <row r="128" spans="1:18" x14ac:dyDescent="0.25">
      <c r="A128"/>
      <c r="B128"/>
      <c r="C128"/>
      <c r="E128" s="91">
        <v>5</v>
      </c>
      <c r="F128" s="135" t="s">
        <v>304</v>
      </c>
      <c r="G128" s="136" t="s">
        <v>148</v>
      </c>
      <c r="H128" s="137" t="s">
        <v>148</v>
      </c>
      <c r="I128"/>
      <c r="Q128" s="81"/>
      <c r="R128" s="81"/>
    </row>
    <row r="129" spans="1:18" x14ac:dyDescent="0.25">
      <c r="A129"/>
      <c r="B129"/>
      <c r="C129"/>
      <c r="E129" s="95">
        <v>6</v>
      </c>
      <c r="F129" s="135" t="s">
        <v>148</v>
      </c>
      <c r="G129" s="136" t="s">
        <v>305</v>
      </c>
      <c r="H129" s="137" t="s">
        <v>312</v>
      </c>
      <c r="I129"/>
      <c r="J129" s="101"/>
      <c r="K129" s="91"/>
      <c r="Q129" s="81"/>
      <c r="R129" s="81"/>
    </row>
    <row r="130" spans="1:18" x14ac:dyDescent="0.25">
      <c r="A130"/>
      <c r="B130"/>
      <c r="C130"/>
      <c r="E130" s="91">
        <v>7</v>
      </c>
      <c r="F130" s="135" t="s">
        <v>305</v>
      </c>
      <c r="G130" s="136" t="s">
        <v>273</v>
      </c>
      <c r="H130" s="137" t="s">
        <v>165</v>
      </c>
      <c r="I130"/>
      <c r="J130" s="101"/>
      <c r="K130" s="91"/>
      <c r="Q130" s="81"/>
      <c r="R130" s="81"/>
    </row>
    <row r="131" spans="1:18" x14ac:dyDescent="0.25">
      <c r="A131"/>
      <c r="B131"/>
      <c r="C131"/>
      <c r="E131" s="95">
        <v>8</v>
      </c>
      <c r="F131" s="135" t="s">
        <v>273</v>
      </c>
      <c r="G131" s="136" t="s">
        <v>313</v>
      </c>
      <c r="H131" s="137" t="s">
        <v>112</v>
      </c>
      <c r="I131"/>
      <c r="J131"/>
      <c r="R131" s="81"/>
    </row>
    <row r="132" spans="1:18" x14ac:dyDescent="0.25">
      <c r="E132" s="91">
        <v>9</v>
      </c>
      <c r="F132" s="135" t="s">
        <v>313</v>
      </c>
      <c r="G132" s="136" t="s">
        <v>314</v>
      </c>
      <c r="H132" s="137" t="s">
        <v>148</v>
      </c>
    </row>
    <row r="133" spans="1:18" x14ac:dyDescent="0.25">
      <c r="E133" s="95">
        <v>10</v>
      </c>
      <c r="F133" s="135" t="s">
        <v>314</v>
      </c>
      <c r="G133" s="136" t="s">
        <v>315</v>
      </c>
      <c r="H133" s="137" t="s">
        <v>316</v>
      </c>
    </row>
    <row r="134" spans="1:18" x14ac:dyDescent="0.25">
      <c r="E134" s="91">
        <v>11</v>
      </c>
      <c r="F134" s="135" t="s">
        <v>315</v>
      </c>
      <c r="G134" s="136" t="s">
        <v>275</v>
      </c>
      <c r="H134" s="137" t="s">
        <v>144</v>
      </c>
      <c r="K134"/>
    </row>
    <row r="135" spans="1:18" x14ac:dyDescent="0.25">
      <c r="E135" s="95">
        <v>12</v>
      </c>
      <c r="F135" s="135" t="s">
        <v>275</v>
      </c>
      <c r="G135" s="136" t="s">
        <v>317</v>
      </c>
      <c r="H135" s="137" t="s">
        <v>112</v>
      </c>
      <c r="K135"/>
    </row>
    <row r="136" spans="1:18" x14ac:dyDescent="0.25">
      <c r="E136" s="91">
        <v>13</v>
      </c>
      <c r="F136" s="135" t="s">
        <v>317</v>
      </c>
      <c r="G136" s="136" t="s">
        <v>318</v>
      </c>
      <c r="H136" s="137" t="s">
        <v>139</v>
      </c>
      <c r="K136"/>
    </row>
    <row r="137" spans="1:18" x14ac:dyDescent="0.25">
      <c r="E137" s="95">
        <v>14</v>
      </c>
      <c r="F137" s="135" t="s">
        <v>318</v>
      </c>
      <c r="G137" s="136" t="s">
        <v>319</v>
      </c>
      <c r="H137" s="137" t="s">
        <v>112</v>
      </c>
    </row>
    <row r="138" spans="1:18" x14ac:dyDescent="0.25">
      <c r="E138" s="91">
        <v>15</v>
      </c>
      <c r="F138" s="135" t="s">
        <v>319</v>
      </c>
      <c r="G138" s="136" t="s">
        <v>278</v>
      </c>
      <c r="H138" s="137" t="s">
        <v>148</v>
      </c>
    </row>
    <row r="139" spans="1:18" x14ac:dyDescent="0.25">
      <c r="E139" s="95">
        <v>16</v>
      </c>
      <c r="F139" s="135" t="s">
        <v>278</v>
      </c>
      <c r="G139" s="136"/>
      <c r="H139" s="137" t="s">
        <v>320</v>
      </c>
    </row>
    <row r="140" spans="1:18" x14ac:dyDescent="0.25">
      <c r="E140" s="95">
        <v>17</v>
      </c>
      <c r="F140" s="135"/>
      <c r="G140" s="136"/>
      <c r="H140" s="137" t="s">
        <v>273</v>
      </c>
    </row>
    <row r="141" spans="1:18" x14ac:dyDescent="0.25">
      <c r="E141" s="91">
        <v>18</v>
      </c>
      <c r="F141" s="135"/>
      <c r="G141" s="136"/>
      <c r="H141" s="137" t="s">
        <v>313</v>
      </c>
    </row>
    <row r="142" spans="1:18" x14ac:dyDescent="0.25">
      <c r="E142" s="95">
        <v>19</v>
      </c>
      <c r="F142" s="135"/>
      <c r="G142" s="136"/>
      <c r="H142" s="137" t="s">
        <v>314</v>
      </c>
    </row>
    <row r="143" spans="1:18" x14ac:dyDescent="0.25">
      <c r="E143" s="95">
        <v>20</v>
      </c>
      <c r="F143" s="135"/>
      <c r="G143" s="136"/>
      <c r="H143" s="137" t="s">
        <v>315</v>
      </c>
      <c r="I143"/>
    </row>
    <row r="144" spans="1:18" x14ac:dyDescent="0.25">
      <c r="E144" s="95">
        <v>21</v>
      </c>
      <c r="F144" s="135"/>
      <c r="G144" s="136"/>
      <c r="H144" s="137" t="s">
        <v>275</v>
      </c>
    </row>
    <row r="145" spans="1:21" x14ac:dyDescent="0.25">
      <c r="E145" s="95">
        <v>22</v>
      </c>
      <c r="F145" s="135"/>
      <c r="G145" s="136"/>
      <c r="H145" s="137" t="s">
        <v>317</v>
      </c>
    </row>
    <row r="146" spans="1:21" x14ac:dyDescent="0.25">
      <c r="E146" s="95">
        <v>23</v>
      </c>
      <c r="F146" s="135"/>
      <c r="G146" s="136"/>
      <c r="H146" s="137" t="s">
        <v>318</v>
      </c>
    </row>
    <row r="147" spans="1:21" x14ac:dyDescent="0.25">
      <c r="E147" s="95">
        <v>24</v>
      </c>
      <c r="F147" s="135"/>
      <c r="G147" s="136"/>
      <c r="H147" s="137" t="s">
        <v>319</v>
      </c>
    </row>
    <row r="148" spans="1:21" x14ac:dyDescent="0.25">
      <c r="E148" s="95">
        <v>25</v>
      </c>
      <c r="F148" s="135"/>
      <c r="G148" s="136"/>
      <c r="H148" s="137" t="s">
        <v>278</v>
      </c>
    </row>
    <row r="149" spans="1:21" x14ac:dyDescent="0.25">
      <c r="E149" s="95">
        <v>26</v>
      </c>
      <c r="F149" s="135"/>
      <c r="G149" s="136"/>
      <c r="H149" s="137"/>
    </row>
    <row r="150" spans="1:21" x14ac:dyDescent="0.25">
      <c r="E150" s="95">
        <v>27</v>
      </c>
      <c r="F150" s="135"/>
      <c r="G150" s="136"/>
      <c r="H150" s="137"/>
    </row>
    <row r="151" spans="1:21" x14ac:dyDescent="0.25">
      <c r="E151" s="95">
        <v>28</v>
      </c>
      <c r="F151" s="135"/>
      <c r="G151" s="136"/>
      <c r="H151" s="137"/>
    </row>
    <row r="152" spans="1:21" x14ac:dyDescent="0.25">
      <c r="E152" s="95">
        <v>29</v>
      </c>
      <c r="F152" s="135"/>
      <c r="G152" s="136"/>
      <c r="H152" s="137"/>
    </row>
    <row r="153" spans="1:21" ht="16.5" thickBot="1" x14ac:dyDescent="0.3">
      <c r="E153" s="95">
        <v>30</v>
      </c>
      <c r="F153" s="138"/>
      <c r="G153" s="139"/>
      <c r="H153" s="140"/>
    </row>
    <row r="154" spans="1:21" x14ac:dyDescent="0.25">
      <c r="F154"/>
      <c r="G154"/>
      <c r="H154"/>
    </row>
    <row r="156" spans="1:21" x14ac:dyDescent="0.25">
      <c r="A156" s="195" t="s">
        <v>321</v>
      </c>
      <c r="B156"/>
      <c r="C156"/>
      <c r="D156" s="126" t="s">
        <v>322</v>
      </c>
      <c r="E156" s="91">
        <v>1</v>
      </c>
      <c r="F156" s="93"/>
      <c r="G156" s="92" t="s">
        <v>323</v>
      </c>
      <c r="H156" s="93"/>
      <c r="I156" s="92" t="s">
        <v>324</v>
      </c>
      <c r="J156" s="93"/>
      <c r="K156" s="92" t="s">
        <v>325</v>
      </c>
      <c r="L156" s="93"/>
      <c r="M156" s="92" t="s">
        <v>326</v>
      </c>
      <c r="N156" s="93"/>
      <c r="O156" s="92" t="s">
        <v>327</v>
      </c>
      <c r="P156" s="93"/>
      <c r="Q156" s="92" t="s">
        <v>328</v>
      </c>
      <c r="R156" s="93"/>
      <c r="S156" s="92" t="s">
        <v>329</v>
      </c>
      <c r="T156" s="93"/>
      <c r="U156" s="92" t="s">
        <v>330</v>
      </c>
    </row>
    <row r="157" spans="1:21" x14ac:dyDescent="0.25">
      <c r="A157" s="193" t="s">
        <v>120</v>
      </c>
      <c r="B157" t="s">
        <v>121</v>
      </c>
      <c r="C157"/>
      <c r="E157" s="95">
        <v>2</v>
      </c>
      <c r="F157" s="119" t="s">
        <v>50</v>
      </c>
      <c r="G157" s="96" t="s">
        <v>234</v>
      </c>
      <c r="H157" s="119" t="s">
        <v>52</v>
      </c>
      <c r="I157" s="207" t="s">
        <v>225</v>
      </c>
      <c r="J157" s="119" t="s">
        <v>50</v>
      </c>
      <c r="K157" s="96" t="s">
        <v>234</v>
      </c>
      <c r="L157" s="119" t="s">
        <v>52</v>
      </c>
      <c r="M157" s="207" t="s">
        <v>225</v>
      </c>
      <c r="N157" s="119" t="s">
        <v>50</v>
      </c>
      <c r="O157" s="96" t="s">
        <v>234</v>
      </c>
      <c r="P157" s="119" t="s">
        <v>52</v>
      </c>
      <c r="Q157" s="207" t="s">
        <v>225</v>
      </c>
      <c r="R157" s="119" t="s">
        <v>50</v>
      </c>
      <c r="S157" s="96" t="s">
        <v>237</v>
      </c>
      <c r="T157" s="119" t="s">
        <v>52</v>
      </c>
      <c r="U157" s="96" t="s">
        <v>331</v>
      </c>
    </row>
    <row r="158" spans="1:21" x14ac:dyDescent="0.25">
      <c r="A158" s="193" t="s">
        <v>124</v>
      </c>
      <c r="B158" t="s">
        <v>332</v>
      </c>
      <c r="C158"/>
      <c r="E158" s="95">
        <v>3</v>
      </c>
      <c r="F158" s="120" t="s">
        <v>50</v>
      </c>
      <c r="G158" s="97" t="s">
        <v>236</v>
      </c>
      <c r="H158" s="120" t="s">
        <v>52</v>
      </c>
      <c r="I158" s="97"/>
      <c r="J158" s="120" t="s">
        <v>50</v>
      </c>
      <c r="K158" s="97" t="s">
        <v>236</v>
      </c>
      <c r="L158" s="120" t="s">
        <v>52</v>
      </c>
      <c r="M158" s="97"/>
      <c r="N158" s="120" t="s">
        <v>50</v>
      </c>
      <c r="O158" s="97" t="s">
        <v>236</v>
      </c>
      <c r="P158" s="120" t="s">
        <v>52</v>
      </c>
      <c r="Q158" s="97"/>
      <c r="R158" s="120" t="s">
        <v>50</v>
      </c>
      <c r="S158" s="97" t="s">
        <v>238</v>
      </c>
      <c r="T158" s="120" t="s">
        <v>52</v>
      </c>
      <c r="U158" s="97" t="s">
        <v>649</v>
      </c>
    </row>
    <row r="159" spans="1:21" x14ac:dyDescent="0.25">
      <c r="A159" s="193" t="s">
        <v>128</v>
      </c>
      <c r="B159" t="s">
        <v>332</v>
      </c>
      <c r="C159"/>
      <c r="E159" s="95">
        <v>4</v>
      </c>
      <c r="F159" s="120" t="s">
        <v>50</v>
      </c>
      <c r="G159" s="97" t="s">
        <v>237</v>
      </c>
      <c r="H159" s="120" t="s">
        <v>52</v>
      </c>
      <c r="I159" s="97"/>
      <c r="J159" s="120" t="s">
        <v>50</v>
      </c>
      <c r="K159" s="97" t="s">
        <v>237</v>
      </c>
      <c r="L159" s="120" t="s">
        <v>52</v>
      </c>
      <c r="M159" s="97"/>
      <c r="N159" s="120" t="s">
        <v>50</v>
      </c>
      <c r="O159" s="97" t="s">
        <v>237</v>
      </c>
      <c r="P159" s="120" t="s">
        <v>52</v>
      </c>
      <c r="Q159" s="97"/>
      <c r="R159" s="120" t="s">
        <v>50</v>
      </c>
      <c r="S159" s="97" t="s">
        <v>234</v>
      </c>
      <c r="T159" s="120" t="s">
        <v>52</v>
      </c>
      <c r="U159" s="97" t="s">
        <v>649</v>
      </c>
    </row>
    <row r="160" spans="1:21" x14ac:dyDescent="0.25">
      <c r="A160" s="194" t="s">
        <v>130</v>
      </c>
      <c r="B160" t="s">
        <v>131</v>
      </c>
      <c r="C160"/>
      <c r="E160" s="95">
        <v>5</v>
      </c>
      <c r="F160" s="120" t="s">
        <v>50</v>
      </c>
      <c r="G160" s="97" t="s">
        <v>238</v>
      </c>
      <c r="H160" s="120" t="s">
        <v>52</v>
      </c>
      <c r="I160" s="97"/>
      <c r="J160" s="120" t="s">
        <v>50</v>
      </c>
      <c r="K160" s="97" t="s">
        <v>238</v>
      </c>
      <c r="L160" s="120" t="s">
        <v>52</v>
      </c>
      <c r="M160" s="97"/>
      <c r="N160" s="120" t="s">
        <v>50</v>
      </c>
      <c r="O160" s="97" t="s">
        <v>238</v>
      </c>
      <c r="P160" s="120" t="s">
        <v>52</v>
      </c>
      <c r="Q160" s="97"/>
      <c r="R160" s="120" t="s">
        <v>50</v>
      </c>
      <c r="S160" s="97" t="s">
        <v>236</v>
      </c>
      <c r="T160" s="120" t="s">
        <v>52</v>
      </c>
      <c r="U160" s="97" t="s">
        <v>649</v>
      </c>
    </row>
    <row r="161" spans="1:21" x14ac:dyDescent="0.25">
      <c r="A161"/>
      <c r="B161"/>
      <c r="C161"/>
      <c r="E161" s="95">
        <v>6</v>
      </c>
      <c r="F161" s="120" t="s">
        <v>52</v>
      </c>
      <c r="G161" s="205"/>
      <c r="H161" s="120" t="s">
        <v>50</v>
      </c>
      <c r="I161" s="205"/>
      <c r="J161" s="120" t="s">
        <v>52</v>
      </c>
      <c r="K161" s="205" t="s">
        <v>501</v>
      </c>
      <c r="L161" s="120" t="s">
        <v>50</v>
      </c>
      <c r="M161" s="205"/>
      <c r="N161" s="120" t="s">
        <v>52</v>
      </c>
      <c r="O161" s="205" t="s">
        <v>331</v>
      </c>
      <c r="P161" s="120" t="s">
        <v>50</v>
      </c>
      <c r="Q161" s="205"/>
      <c r="R161" s="120" t="s">
        <v>52</v>
      </c>
      <c r="S161" s="205" t="s">
        <v>331</v>
      </c>
      <c r="T161" s="120" t="s">
        <v>50</v>
      </c>
      <c r="U161" s="205" t="s">
        <v>237</v>
      </c>
    </row>
    <row r="162" spans="1:21" x14ac:dyDescent="0.25">
      <c r="A162"/>
      <c r="B162"/>
      <c r="C162"/>
      <c r="E162" s="95">
        <v>7</v>
      </c>
      <c r="F162" s="120" t="s">
        <v>52</v>
      </c>
      <c r="G162" s="97"/>
      <c r="H162" s="120" t="s">
        <v>50</v>
      </c>
      <c r="I162" s="97"/>
      <c r="J162" s="120" t="s">
        <v>52</v>
      </c>
      <c r="K162" s="97" t="s">
        <v>501</v>
      </c>
      <c r="L162" s="120" t="s">
        <v>50</v>
      </c>
      <c r="M162" s="97"/>
      <c r="N162" s="120" t="s">
        <v>52</v>
      </c>
      <c r="O162" s="97" t="s">
        <v>305</v>
      </c>
      <c r="P162" s="120" t="s">
        <v>50</v>
      </c>
      <c r="Q162" s="97"/>
      <c r="R162" s="120" t="s">
        <v>52</v>
      </c>
      <c r="S162" s="97" t="s">
        <v>649</v>
      </c>
      <c r="T162" s="120" t="s">
        <v>50</v>
      </c>
      <c r="U162" s="97" t="s">
        <v>238</v>
      </c>
    </row>
    <row r="163" spans="1:21" x14ac:dyDescent="0.25">
      <c r="A163"/>
      <c r="B163"/>
      <c r="C163"/>
      <c r="E163" s="95">
        <v>8</v>
      </c>
      <c r="F163" s="120" t="s">
        <v>52</v>
      </c>
      <c r="G163" s="97"/>
      <c r="H163" s="120" t="s">
        <v>50</v>
      </c>
      <c r="I163" s="97"/>
      <c r="J163" s="120" t="s">
        <v>52</v>
      </c>
      <c r="K163" s="97" t="s">
        <v>334</v>
      </c>
      <c r="L163" s="120" t="s">
        <v>50</v>
      </c>
      <c r="M163" s="97"/>
      <c r="N163" s="120" t="s">
        <v>52</v>
      </c>
      <c r="O163" s="97" t="s">
        <v>334</v>
      </c>
      <c r="P163" s="120" t="s">
        <v>50</v>
      </c>
      <c r="Q163" s="97"/>
      <c r="R163" s="120" t="s">
        <v>52</v>
      </c>
      <c r="S163" s="97" t="s">
        <v>649</v>
      </c>
      <c r="T163" s="120" t="s">
        <v>50</v>
      </c>
      <c r="U163" s="97" t="s">
        <v>234</v>
      </c>
    </row>
    <row r="164" spans="1:21" x14ac:dyDescent="0.25">
      <c r="A164"/>
      <c r="B164"/>
      <c r="C164"/>
      <c r="E164" s="95">
        <v>9</v>
      </c>
      <c r="F164" s="120" t="s">
        <v>52</v>
      </c>
      <c r="G164" s="97"/>
      <c r="H164" s="121" t="s">
        <v>50</v>
      </c>
      <c r="I164" s="97"/>
      <c r="J164" s="120" t="s">
        <v>52</v>
      </c>
      <c r="K164" s="97" t="s">
        <v>112</v>
      </c>
      <c r="L164" s="121" t="s">
        <v>50</v>
      </c>
      <c r="M164" s="97"/>
      <c r="N164" s="120" t="s">
        <v>52</v>
      </c>
      <c r="O164" s="97" t="s">
        <v>112</v>
      </c>
      <c r="P164" s="121" t="s">
        <v>50</v>
      </c>
      <c r="Q164" s="97"/>
      <c r="R164" s="120" t="s">
        <v>52</v>
      </c>
      <c r="S164" s="97" t="s">
        <v>649</v>
      </c>
      <c r="T164" s="121" t="s">
        <v>50</v>
      </c>
      <c r="U164" s="97" t="s">
        <v>236</v>
      </c>
    </row>
    <row r="165" spans="1:21" x14ac:dyDescent="0.25">
      <c r="A165"/>
      <c r="B165"/>
      <c r="C165"/>
      <c r="E165" s="95">
        <v>10</v>
      </c>
      <c r="F165" s="119" t="s">
        <v>92</v>
      </c>
      <c r="G165" s="96"/>
      <c r="H165" s="120" t="s">
        <v>93</v>
      </c>
      <c r="I165" s="96"/>
      <c r="J165" s="119" t="s">
        <v>92</v>
      </c>
      <c r="K165" s="96" t="s">
        <v>501</v>
      </c>
      <c r="L165" s="120" t="s">
        <v>93</v>
      </c>
      <c r="M165" s="96"/>
      <c r="N165" s="119" t="s">
        <v>92</v>
      </c>
      <c r="O165" s="96" t="s">
        <v>305</v>
      </c>
      <c r="P165" s="120" t="s">
        <v>93</v>
      </c>
      <c r="Q165" s="96"/>
      <c r="R165" s="119" t="s">
        <v>92</v>
      </c>
      <c r="S165" s="96" t="s">
        <v>649</v>
      </c>
      <c r="T165" s="120" t="s">
        <v>93</v>
      </c>
      <c r="U165" s="96" t="s">
        <v>649</v>
      </c>
    </row>
    <row r="166" spans="1:21" x14ac:dyDescent="0.25">
      <c r="A166"/>
      <c r="B166"/>
      <c r="C166"/>
      <c r="E166" s="95">
        <v>11</v>
      </c>
      <c r="F166" s="120" t="s">
        <v>92</v>
      </c>
      <c r="G166" s="97"/>
      <c r="H166" s="120" t="s">
        <v>93</v>
      </c>
      <c r="I166" s="97"/>
      <c r="J166" s="120" t="s">
        <v>92</v>
      </c>
      <c r="K166" s="97" t="s">
        <v>501</v>
      </c>
      <c r="L166" s="120" t="s">
        <v>93</v>
      </c>
      <c r="M166" s="97"/>
      <c r="N166" s="120" t="s">
        <v>92</v>
      </c>
      <c r="O166" s="97" t="s">
        <v>305</v>
      </c>
      <c r="P166" s="120" t="s">
        <v>93</v>
      </c>
      <c r="Q166" s="97"/>
      <c r="R166" s="120" t="s">
        <v>92</v>
      </c>
      <c r="S166" s="97" t="s">
        <v>649</v>
      </c>
      <c r="T166" s="120" t="s">
        <v>93</v>
      </c>
      <c r="U166" s="97" t="s">
        <v>649</v>
      </c>
    </row>
    <row r="167" spans="1:21" x14ac:dyDescent="0.25">
      <c r="A167"/>
      <c r="B167"/>
      <c r="C167"/>
      <c r="E167" s="95">
        <v>12</v>
      </c>
      <c r="F167" s="120" t="s">
        <v>92</v>
      </c>
      <c r="G167" s="97"/>
      <c r="H167" s="120" t="s">
        <v>93</v>
      </c>
      <c r="I167" s="97"/>
      <c r="J167" s="120" t="s">
        <v>92</v>
      </c>
      <c r="K167" s="97" t="s">
        <v>337</v>
      </c>
      <c r="L167" s="120" t="s">
        <v>93</v>
      </c>
      <c r="M167" s="97"/>
      <c r="N167" s="120" t="s">
        <v>92</v>
      </c>
      <c r="O167" s="97" t="s">
        <v>337</v>
      </c>
      <c r="P167" s="120" t="s">
        <v>93</v>
      </c>
      <c r="Q167" s="97"/>
      <c r="R167" s="120" t="s">
        <v>92</v>
      </c>
      <c r="S167" s="97" t="s">
        <v>334</v>
      </c>
      <c r="T167" s="120" t="s">
        <v>93</v>
      </c>
      <c r="U167" s="97" t="s">
        <v>334</v>
      </c>
    </row>
    <row r="168" spans="1:21" x14ac:dyDescent="0.25">
      <c r="A168"/>
      <c r="B168"/>
      <c r="C168"/>
      <c r="E168" s="95">
        <v>13</v>
      </c>
      <c r="F168" s="120" t="s">
        <v>92</v>
      </c>
      <c r="G168" s="97"/>
      <c r="H168" s="120" t="s">
        <v>93</v>
      </c>
      <c r="I168" s="97"/>
      <c r="J168" s="120" t="s">
        <v>92</v>
      </c>
      <c r="K168" s="97" t="s">
        <v>112</v>
      </c>
      <c r="L168" s="120" t="s">
        <v>93</v>
      </c>
      <c r="M168" s="97"/>
      <c r="N168" s="120" t="s">
        <v>92</v>
      </c>
      <c r="O168" s="97" t="s">
        <v>112</v>
      </c>
      <c r="P168" s="120" t="s">
        <v>93</v>
      </c>
      <c r="Q168" s="97"/>
      <c r="R168" s="120" t="s">
        <v>92</v>
      </c>
      <c r="S168" s="97" t="s">
        <v>112</v>
      </c>
      <c r="T168" s="120" t="s">
        <v>93</v>
      </c>
      <c r="U168" s="97" t="s">
        <v>112</v>
      </c>
    </row>
    <row r="169" spans="1:21" x14ac:dyDescent="0.25">
      <c r="A169"/>
      <c r="B169"/>
      <c r="C169"/>
      <c r="E169" s="95">
        <v>14</v>
      </c>
      <c r="F169" s="120" t="s">
        <v>93</v>
      </c>
      <c r="G169" s="97"/>
      <c r="H169" s="120" t="s">
        <v>92</v>
      </c>
      <c r="I169" s="97"/>
      <c r="J169" s="120" t="s">
        <v>93</v>
      </c>
      <c r="K169" s="97"/>
      <c r="L169" s="120" t="s">
        <v>92</v>
      </c>
      <c r="M169" s="97"/>
      <c r="N169" s="120" t="s">
        <v>93</v>
      </c>
      <c r="O169" s="97"/>
      <c r="P169" s="120" t="s">
        <v>92</v>
      </c>
      <c r="Q169" s="97"/>
      <c r="R169" s="120" t="s">
        <v>93</v>
      </c>
      <c r="S169" s="97" t="s">
        <v>649</v>
      </c>
      <c r="T169" s="120" t="s">
        <v>92</v>
      </c>
      <c r="U169" s="97" t="s">
        <v>649</v>
      </c>
    </row>
    <row r="170" spans="1:21" x14ac:dyDescent="0.25">
      <c r="A170"/>
      <c r="B170"/>
      <c r="C170"/>
      <c r="E170" s="95">
        <v>15</v>
      </c>
      <c r="F170" s="120" t="s">
        <v>93</v>
      </c>
      <c r="G170" s="196"/>
      <c r="H170" s="120" t="s">
        <v>92</v>
      </c>
      <c r="I170" s="196"/>
      <c r="J170" s="120" t="s">
        <v>93</v>
      </c>
      <c r="K170" s="196"/>
      <c r="L170" s="120" t="s">
        <v>92</v>
      </c>
      <c r="M170" s="196"/>
      <c r="N170" s="120" t="s">
        <v>93</v>
      </c>
      <c r="O170" s="196"/>
      <c r="P170" s="120" t="s">
        <v>92</v>
      </c>
      <c r="Q170" s="196"/>
      <c r="R170" s="120" t="s">
        <v>93</v>
      </c>
      <c r="S170" s="97" t="s">
        <v>649</v>
      </c>
      <c r="T170" s="120" t="s">
        <v>92</v>
      </c>
      <c r="U170" s="97" t="s">
        <v>649</v>
      </c>
    </row>
    <row r="171" spans="1:21" x14ac:dyDescent="0.25">
      <c r="A171"/>
      <c r="B171"/>
      <c r="C171"/>
      <c r="E171" s="95">
        <v>16</v>
      </c>
      <c r="F171" s="120" t="s">
        <v>93</v>
      </c>
      <c r="G171" s="97"/>
      <c r="H171" s="120" t="s">
        <v>92</v>
      </c>
      <c r="I171" s="97"/>
      <c r="J171" s="120" t="s">
        <v>93</v>
      </c>
      <c r="K171" s="97"/>
      <c r="L171" s="120" t="s">
        <v>92</v>
      </c>
      <c r="M171" s="97"/>
      <c r="N171" s="120" t="s">
        <v>93</v>
      </c>
      <c r="O171" s="97"/>
      <c r="P171" s="120" t="s">
        <v>92</v>
      </c>
      <c r="Q171" s="97"/>
      <c r="R171" s="120" t="s">
        <v>93</v>
      </c>
      <c r="S171" s="97" t="s">
        <v>337</v>
      </c>
      <c r="T171" s="120" t="s">
        <v>92</v>
      </c>
      <c r="U171" s="97" t="s">
        <v>337</v>
      </c>
    </row>
    <row r="172" spans="1:21" x14ac:dyDescent="0.25">
      <c r="A172"/>
      <c r="B172"/>
      <c r="C172"/>
      <c r="E172" s="95">
        <v>17</v>
      </c>
      <c r="F172" s="121" t="s">
        <v>93</v>
      </c>
      <c r="G172" s="102"/>
      <c r="H172" s="121" t="s">
        <v>92</v>
      </c>
      <c r="I172" s="102"/>
      <c r="J172" s="121" t="s">
        <v>93</v>
      </c>
      <c r="K172" s="102"/>
      <c r="L172" s="121" t="s">
        <v>92</v>
      </c>
      <c r="M172" s="102"/>
      <c r="N172" s="121" t="s">
        <v>93</v>
      </c>
      <c r="O172" s="102"/>
      <c r="P172" s="121" t="s">
        <v>92</v>
      </c>
      <c r="Q172" s="102"/>
      <c r="R172" s="121" t="s">
        <v>93</v>
      </c>
      <c r="S172" s="102" t="s">
        <v>112</v>
      </c>
      <c r="T172" s="121" t="s">
        <v>92</v>
      </c>
      <c r="U172" s="102" t="s">
        <v>112</v>
      </c>
    </row>
    <row r="173" spans="1:21" x14ac:dyDescent="0.25">
      <c r="A173"/>
      <c r="B173"/>
      <c r="C173"/>
      <c r="G173"/>
      <c r="H173"/>
      <c r="I173"/>
      <c r="J173"/>
      <c r="K173"/>
      <c r="L173"/>
      <c r="M173"/>
      <c r="N173" s="101"/>
      <c r="O173"/>
      <c r="P173"/>
      <c r="Q173"/>
    </row>
    <row r="174" spans="1:21" ht="16.5" thickBot="1" x14ac:dyDescent="0.3">
      <c r="A174"/>
      <c r="B174"/>
      <c r="C174"/>
      <c r="G174" s="95"/>
      <c r="H174" s="101"/>
      <c r="I174" s="91"/>
      <c r="J174"/>
      <c r="K174"/>
      <c r="L174"/>
      <c r="M174" s="91"/>
      <c r="N174"/>
      <c r="O174"/>
      <c r="P174"/>
      <c r="Q174"/>
    </row>
    <row r="175" spans="1:21" x14ac:dyDescent="0.25">
      <c r="A175"/>
      <c r="B175"/>
      <c r="C175"/>
      <c r="D175" s="126" t="s">
        <v>338</v>
      </c>
      <c r="E175" s="91">
        <v>1</v>
      </c>
      <c r="F175" s="298" t="s">
        <v>121</v>
      </c>
      <c r="G175" s="197" t="s">
        <v>125</v>
      </c>
      <c r="H175" s="197" t="s">
        <v>129</v>
      </c>
      <c r="I175" s="299" t="s">
        <v>131</v>
      </c>
      <c r="J175"/>
      <c r="K175"/>
      <c r="L175"/>
      <c r="M175"/>
      <c r="N175"/>
      <c r="O175"/>
      <c r="P175"/>
      <c r="Q175"/>
      <c r="R175"/>
    </row>
    <row r="176" spans="1:21" x14ac:dyDescent="0.25">
      <c r="A176"/>
      <c r="B176"/>
      <c r="C176"/>
      <c r="D176"/>
      <c r="E176" s="95">
        <v>2</v>
      </c>
      <c r="F176" s="216" t="s">
        <v>245</v>
      </c>
      <c r="G176" s="209" t="s">
        <v>334</v>
      </c>
      <c r="H176" s="209" t="s">
        <v>331</v>
      </c>
      <c r="I176" s="300" t="s">
        <v>331</v>
      </c>
      <c r="J176"/>
      <c r="K176"/>
      <c r="L176"/>
      <c r="M176"/>
      <c r="N176"/>
      <c r="O176"/>
      <c r="P176"/>
      <c r="Q176"/>
      <c r="R176" s="91"/>
    </row>
    <row r="177" spans="1:18" x14ac:dyDescent="0.25">
      <c r="A177"/>
      <c r="B177"/>
      <c r="C177"/>
      <c r="D177"/>
      <c r="E177" s="91">
        <v>3</v>
      </c>
      <c r="F177" s="208"/>
      <c r="G177" s="211" t="s">
        <v>139</v>
      </c>
      <c r="H177" s="185" t="s">
        <v>276</v>
      </c>
      <c r="I177" s="220" t="s">
        <v>276</v>
      </c>
      <c r="J177" s="280" t="s">
        <v>274</v>
      </c>
      <c r="K177"/>
      <c r="L177"/>
      <c r="M177"/>
      <c r="N177"/>
      <c r="O177"/>
      <c r="P177"/>
      <c r="Q177"/>
      <c r="R177" s="91"/>
    </row>
    <row r="178" spans="1:18" x14ac:dyDescent="0.25">
      <c r="A178"/>
      <c r="B178"/>
      <c r="C178"/>
      <c r="E178" s="95">
        <v>4</v>
      </c>
      <c r="F178" s="208"/>
      <c r="G178" s="211" t="s">
        <v>165</v>
      </c>
      <c r="H178" s="211" t="s">
        <v>277</v>
      </c>
      <c r="I178" s="210" t="s">
        <v>277</v>
      </c>
      <c r="J178"/>
      <c r="K178"/>
      <c r="L178"/>
      <c r="M178"/>
      <c r="N178"/>
      <c r="O178"/>
      <c r="P178"/>
      <c r="Q178"/>
      <c r="R178" s="81"/>
    </row>
    <row r="179" spans="1:18" x14ac:dyDescent="0.25">
      <c r="A179"/>
      <c r="B179"/>
      <c r="C179"/>
      <c r="E179" s="91">
        <v>5</v>
      </c>
      <c r="F179" s="208"/>
      <c r="G179" s="211" t="s">
        <v>148</v>
      </c>
      <c r="H179" s="211" t="s">
        <v>304</v>
      </c>
      <c r="I179" s="210" t="s">
        <v>304</v>
      </c>
      <c r="J179"/>
      <c r="K179"/>
      <c r="L179"/>
      <c r="M179"/>
      <c r="N179"/>
      <c r="O179"/>
      <c r="P179"/>
      <c r="Q179"/>
      <c r="R179" s="81"/>
    </row>
    <row r="180" spans="1:18" x14ac:dyDescent="0.25">
      <c r="A180"/>
      <c r="B180"/>
      <c r="C180"/>
      <c r="E180" s="95">
        <v>6</v>
      </c>
      <c r="F180" s="208"/>
      <c r="G180" s="211" t="s">
        <v>337</v>
      </c>
      <c r="H180" s="211" t="s">
        <v>148</v>
      </c>
      <c r="I180" s="210" t="s">
        <v>148</v>
      </c>
      <c r="J180"/>
      <c r="K180"/>
      <c r="L180"/>
      <c r="M180"/>
      <c r="N180"/>
      <c r="O180"/>
      <c r="P180"/>
      <c r="Q180"/>
      <c r="R180" s="81"/>
    </row>
    <row r="181" spans="1:18" x14ac:dyDescent="0.25">
      <c r="A181"/>
      <c r="B181"/>
      <c r="C181"/>
      <c r="E181" s="91">
        <v>7</v>
      </c>
      <c r="F181" s="208"/>
      <c r="G181" s="211" t="s">
        <v>161</v>
      </c>
      <c r="H181" s="211" t="s">
        <v>334</v>
      </c>
      <c r="I181" s="210" t="s">
        <v>334</v>
      </c>
      <c r="J181"/>
      <c r="K181"/>
      <c r="L181"/>
      <c r="M181"/>
      <c r="N181"/>
      <c r="O181"/>
      <c r="P181"/>
      <c r="Q181"/>
      <c r="R181" s="81"/>
    </row>
    <row r="182" spans="1:18" x14ac:dyDescent="0.25">
      <c r="A182"/>
      <c r="B182"/>
      <c r="C182"/>
      <c r="E182" s="95">
        <v>8</v>
      </c>
      <c r="F182" s="208"/>
      <c r="G182" s="211" t="s">
        <v>144</v>
      </c>
      <c r="H182" s="211" t="s">
        <v>139</v>
      </c>
      <c r="I182" s="210" t="s">
        <v>139</v>
      </c>
      <c r="J182"/>
      <c r="K182"/>
      <c r="L182"/>
      <c r="M182"/>
      <c r="N182"/>
      <c r="O182"/>
      <c r="P182"/>
      <c r="Q182"/>
    </row>
    <row r="183" spans="1:18" x14ac:dyDescent="0.25">
      <c r="A183"/>
      <c r="B183"/>
      <c r="E183" s="91">
        <v>9</v>
      </c>
      <c r="F183" s="208"/>
      <c r="G183" s="211" t="s">
        <v>148</v>
      </c>
      <c r="H183" s="211" t="s">
        <v>165</v>
      </c>
      <c r="I183" s="210" t="s">
        <v>165</v>
      </c>
      <c r="K183"/>
      <c r="L183"/>
      <c r="M183"/>
      <c r="N183"/>
      <c r="O183"/>
      <c r="P183"/>
      <c r="Q183"/>
    </row>
    <row r="184" spans="1:18" x14ac:dyDescent="0.25">
      <c r="E184" s="95">
        <v>10</v>
      </c>
      <c r="F184" s="208"/>
      <c r="G184" s="211" t="s">
        <v>336</v>
      </c>
      <c r="H184" s="211" t="s">
        <v>148</v>
      </c>
      <c r="I184" s="210" t="s">
        <v>148</v>
      </c>
      <c r="K184"/>
      <c r="L184"/>
      <c r="M184"/>
      <c r="N184"/>
      <c r="O184"/>
      <c r="P184"/>
      <c r="Q184"/>
    </row>
    <row r="185" spans="1:18" x14ac:dyDescent="0.25">
      <c r="E185" s="91">
        <v>11</v>
      </c>
      <c r="F185" s="208"/>
      <c r="G185" s="211" t="s">
        <v>226</v>
      </c>
      <c r="H185" s="211" t="s">
        <v>337</v>
      </c>
      <c r="I185" s="210" t="s">
        <v>337</v>
      </c>
      <c r="K185"/>
      <c r="L185"/>
      <c r="M185"/>
      <c r="N185"/>
      <c r="O185"/>
      <c r="P185"/>
      <c r="Q185"/>
    </row>
    <row r="186" spans="1:18" x14ac:dyDescent="0.25">
      <c r="E186" s="95">
        <v>12</v>
      </c>
      <c r="F186" s="208"/>
      <c r="G186" s="211" t="s">
        <v>231</v>
      </c>
      <c r="H186" s="211" t="s">
        <v>161</v>
      </c>
      <c r="I186" s="210" t="s">
        <v>161</v>
      </c>
      <c r="K186"/>
      <c r="L186"/>
      <c r="M186"/>
      <c r="N186"/>
      <c r="O186"/>
      <c r="P186"/>
      <c r="Q186"/>
    </row>
    <row r="187" spans="1:18" x14ac:dyDescent="0.25">
      <c r="E187" s="91">
        <v>13</v>
      </c>
      <c r="F187" s="208"/>
      <c r="G187" s="211" t="s">
        <v>230</v>
      </c>
      <c r="H187" s="211" t="s">
        <v>144</v>
      </c>
      <c r="I187" s="210" t="s">
        <v>144</v>
      </c>
      <c r="L187"/>
    </row>
    <row r="188" spans="1:18" x14ac:dyDescent="0.25">
      <c r="E188" s="95">
        <v>14</v>
      </c>
      <c r="F188" s="208"/>
      <c r="G188" s="211" t="s">
        <v>232</v>
      </c>
      <c r="H188" s="211" t="s">
        <v>148</v>
      </c>
      <c r="I188" s="210" t="s">
        <v>148</v>
      </c>
    </row>
    <row r="189" spans="1:18" x14ac:dyDescent="0.25">
      <c r="E189" s="91">
        <v>15</v>
      </c>
      <c r="F189" s="208"/>
      <c r="G189" s="211" t="s">
        <v>246</v>
      </c>
      <c r="H189" s="211" t="s">
        <v>333</v>
      </c>
      <c r="I189" s="210" t="s">
        <v>333</v>
      </c>
    </row>
    <row r="190" spans="1:18" x14ac:dyDescent="0.25">
      <c r="E190" s="95">
        <v>16</v>
      </c>
      <c r="F190" s="208"/>
      <c r="G190" s="211" t="s">
        <v>229</v>
      </c>
      <c r="H190" s="211" t="s">
        <v>273</v>
      </c>
      <c r="I190" s="210" t="s">
        <v>273</v>
      </c>
    </row>
    <row r="191" spans="1:18" x14ac:dyDescent="0.25">
      <c r="E191" s="95">
        <v>17</v>
      </c>
      <c r="F191" s="208"/>
      <c r="G191" s="211"/>
      <c r="H191" s="211" t="s">
        <v>313</v>
      </c>
      <c r="I191" s="210" t="s">
        <v>313</v>
      </c>
    </row>
    <row r="192" spans="1:18" x14ac:dyDescent="0.25">
      <c r="E192" s="91">
        <v>18</v>
      </c>
      <c r="F192" s="208"/>
      <c r="G192" s="211"/>
      <c r="H192" s="211" t="s">
        <v>314</v>
      </c>
      <c r="I192" s="210" t="s">
        <v>314</v>
      </c>
    </row>
    <row r="193" spans="5:10" x14ac:dyDescent="0.25">
      <c r="E193" s="95">
        <v>19</v>
      </c>
      <c r="F193" s="208"/>
      <c r="G193" s="211"/>
      <c r="H193" s="211" t="s">
        <v>315</v>
      </c>
      <c r="I193" s="210" t="s">
        <v>315</v>
      </c>
    </row>
    <row r="194" spans="5:10" x14ac:dyDescent="0.25">
      <c r="E194" s="95">
        <v>20</v>
      </c>
      <c r="F194" s="208"/>
      <c r="G194" s="211"/>
      <c r="H194" s="211" t="s">
        <v>275</v>
      </c>
      <c r="I194" s="210" t="s">
        <v>275</v>
      </c>
      <c r="J194"/>
    </row>
    <row r="195" spans="5:10" x14ac:dyDescent="0.25">
      <c r="E195" s="95">
        <v>21</v>
      </c>
      <c r="F195" s="208"/>
      <c r="G195" s="211"/>
      <c r="H195" s="211" t="s">
        <v>317</v>
      </c>
      <c r="I195" s="210" t="s">
        <v>317</v>
      </c>
    </row>
    <row r="196" spans="5:10" x14ac:dyDescent="0.25">
      <c r="E196" s="95">
        <v>22</v>
      </c>
      <c r="F196" s="208"/>
      <c r="G196" s="211"/>
      <c r="H196" s="211" t="s">
        <v>318</v>
      </c>
      <c r="I196" s="210" t="s">
        <v>318</v>
      </c>
    </row>
    <row r="197" spans="5:10" x14ac:dyDescent="0.25">
      <c r="E197" s="95">
        <v>23</v>
      </c>
      <c r="F197" s="208"/>
      <c r="G197" s="211"/>
      <c r="H197" s="211" t="s">
        <v>319</v>
      </c>
      <c r="I197" s="210" t="s">
        <v>319</v>
      </c>
    </row>
    <row r="198" spans="5:10" x14ac:dyDescent="0.25">
      <c r="E198" s="95">
        <v>24</v>
      </c>
      <c r="F198" s="208"/>
      <c r="G198" s="211"/>
      <c r="H198" s="211" t="s">
        <v>278</v>
      </c>
      <c r="I198" s="210" t="s">
        <v>278</v>
      </c>
    </row>
    <row r="199" spans="5:10" x14ac:dyDescent="0.25">
      <c r="E199" s="95">
        <v>25</v>
      </c>
      <c r="F199" s="208"/>
      <c r="G199" s="211"/>
      <c r="H199" s="211"/>
      <c r="I199" s="210" t="s">
        <v>148</v>
      </c>
    </row>
    <row r="200" spans="5:10" x14ac:dyDescent="0.25">
      <c r="E200" s="95">
        <v>26</v>
      </c>
      <c r="F200" s="208"/>
      <c r="G200" s="211"/>
      <c r="H200" s="211"/>
      <c r="I200" s="210" t="s">
        <v>336</v>
      </c>
    </row>
    <row r="201" spans="5:10" x14ac:dyDescent="0.25">
      <c r="E201" s="95">
        <v>27</v>
      </c>
      <c r="F201" s="208"/>
      <c r="G201" s="211"/>
      <c r="H201" s="211"/>
      <c r="I201" s="210" t="s">
        <v>226</v>
      </c>
    </row>
    <row r="202" spans="5:10" x14ac:dyDescent="0.25">
      <c r="E202" s="95">
        <v>28</v>
      </c>
      <c r="F202" s="208"/>
      <c r="G202" s="211"/>
      <c r="H202" s="211"/>
      <c r="I202" s="210" t="s">
        <v>231</v>
      </c>
    </row>
    <row r="203" spans="5:10" x14ac:dyDescent="0.25">
      <c r="E203" s="95">
        <v>29</v>
      </c>
      <c r="F203" s="208"/>
      <c r="G203" s="211"/>
      <c r="H203" s="211"/>
      <c r="I203" s="210" t="s">
        <v>230</v>
      </c>
    </row>
    <row r="204" spans="5:10" x14ac:dyDescent="0.25">
      <c r="E204" s="95">
        <v>30</v>
      </c>
      <c r="F204" s="208"/>
      <c r="G204" s="211"/>
      <c r="H204" s="211"/>
      <c r="I204" s="210" t="s">
        <v>232</v>
      </c>
    </row>
    <row r="205" spans="5:10" x14ac:dyDescent="0.25">
      <c r="E205" s="95">
        <v>31</v>
      </c>
      <c r="F205" s="208"/>
      <c r="G205" s="211"/>
      <c r="H205" s="211"/>
      <c r="I205" s="210" t="s">
        <v>246</v>
      </c>
    </row>
    <row r="206" spans="5:10" x14ac:dyDescent="0.25">
      <c r="E206" s="95">
        <v>32</v>
      </c>
      <c r="F206" s="208"/>
      <c r="G206" s="211"/>
      <c r="H206" s="211"/>
      <c r="I206" s="210" t="s">
        <v>229</v>
      </c>
    </row>
    <row r="207" spans="5:10" x14ac:dyDescent="0.25">
      <c r="E207" s="95">
        <v>33</v>
      </c>
      <c r="F207" s="208"/>
      <c r="G207" s="211"/>
      <c r="H207" s="211"/>
      <c r="I207" s="210"/>
    </row>
    <row r="208" spans="5:10" ht="16.5" thickBot="1" x14ac:dyDescent="0.3">
      <c r="E208" s="95">
        <v>34</v>
      </c>
      <c r="F208" s="212"/>
      <c r="G208" s="213"/>
      <c r="H208" s="213"/>
      <c r="I208" s="21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2"/>
  <sheetViews>
    <sheetView zoomScale="70" zoomScaleNormal="70" workbookViewId="0">
      <pane xSplit="5" ySplit="3" topLeftCell="F103" activePane="bottomRight" state="frozen"/>
      <selection activeCell="D5" sqref="D5"/>
      <selection pane="topRight" activeCell="D5" sqref="D5"/>
      <selection pane="bottomLeft" activeCell="D5" sqref="D5"/>
      <selection pane="bottomRight" activeCell="D5" sqref="D5"/>
    </sheetView>
  </sheetViews>
  <sheetFormatPr defaultRowHeight="15.75" x14ac:dyDescent="0.25"/>
  <cols>
    <col min="1" max="1" width="16" bestFit="1" customWidth="1"/>
    <col min="2" max="2" width="8.125" style="1" bestFit="1" customWidth="1"/>
    <col min="3" max="3" width="11.375" bestFit="1" customWidth="1"/>
    <col min="4" max="4" width="54" bestFit="1" customWidth="1"/>
    <col min="5" max="5" width="8.625" style="1" bestFit="1" customWidth="1"/>
    <col min="6" max="6" width="42.25" bestFit="1" customWidth="1"/>
    <col min="7" max="10" width="5.625" customWidth="1"/>
    <col min="11" max="11" width="38.25" customWidth="1"/>
    <col min="12" max="15" width="7.125" style="1" bestFit="1" customWidth="1"/>
    <col min="16" max="24" width="7.125" bestFit="1" customWidth="1"/>
    <col min="25" max="30" width="7.125" customWidth="1"/>
    <col min="31" max="36" width="7.125" bestFit="1" customWidth="1"/>
  </cols>
  <sheetData>
    <row r="1" spans="1:36" x14ac:dyDescent="0.25">
      <c r="A1" s="54">
        <v>1</v>
      </c>
      <c r="B1" s="54">
        <v>2</v>
      </c>
      <c r="C1" s="54">
        <v>3</v>
      </c>
      <c r="D1" s="54">
        <v>4</v>
      </c>
      <c r="E1" s="54">
        <v>5</v>
      </c>
      <c r="F1" s="54">
        <v>6</v>
      </c>
      <c r="G1" s="54">
        <v>7</v>
      </c>
      <c r="H1" s="54">
        <v>8</v>
      </c>
      <c r="I1" s="54">
        <v>9</v>
      </c>
      <c r="J1" s="54">
        <v>10</v>
      </c>
      <c r="K1" s="54">
        <v>11</v>
      </c>
      <c r="L1" s="54">
        <v>12</v>
      </c>
      <c r="M1" s="54">
        <v>13</v>
      </c>
      <c r="N1" s="54">
        <v>14</v>
      </c>
      <c r="O1" s="54">
        <v>15</v>
      </c>
      <c r="P1" s="54">
        <v>16</v>
      </c>
    </row>
    <row r="2" spans="1:36" ht="16.5" thickBot="1" x14ac:dyDescent="0.3">
      <c r="A2" s="8"/>
      <c r="B2" s="9"/>
      <c r="C2" s="9"/>
      <c r="D2" s="8"/>
      <c r="E2" s="9"/>
      <c r="F2" s="8"/>
      <c r="G2" s="12" t="s">
        <v>339</v>
      </c>
      <c r="H2" s="9"/>
      <c r="I2" s="10" t="s">
        <v>340</v>
      </c>
      <c r="J2" s="11"/>
      <c r="K2" s="2"/>
      <c r="L2" s="8"/>
      <c r="M2" s="8"/>
      <c r="N2" s="8"/>
      <c r="O2" s="8"/>
      <c r="P2" s="8"/>
      <c r="Q2" s="2"/>
    </row>
    <row r="3" spans="1:36" ht="69.75" x14ac:dyDescent="0.25">
      <c r="A3" s="74" t="s">
        <v>0</v>
      </c>
      <c r="B3" s="74" t="s">
        <v>1</v>
      </c>
      <c r="C3" s="74" t="s">
        <v>2</v>
      </c>
      <c r="D3" s="74" t="s">
        <v>341</v>
      </c>
      <c r="E3" s="74" t="s">
        <v>5</v>
      </c>
      <c r="F3" s="74" t="s">
        <v>4</v>
      </c>
      <c r="G3" s="170" t="s">
        <v>342</v>
      </c>
      <c r="H3" s="171" t="s">
        <v>343</v>
      </c>
      <c r="I3" s="171" t="s">
        <v>344</v>
      </c>
      <c r="J3" s="172" t="s">
        <v>345</v>
      </c>
      <c r="K3" s="78" t="s">
        <v>346</v>
      </c>
      <c r="L3" s="180" t="s">
        <v>55</v>
      </c>
      <c r="M3" s="181" t="s">
        <v>133</v>
      </c>
      <c r="N3" s="181" t="s">
        <v>134</v>
      </c>
      <c r="O3" s="181" t="s">
        <v>135</v>
      </c>
      <c r="P3" s="182" t="s">
        <v>136</v>
      </c>
      <c r="Q3" s="180" t="s">
        <v>85</v>
      </c>
      <c r="R3" s="181" t="s">
        <v>75</v>
      </c>
      <c r="S3" s="181" t="s">
        <v>70</v>
      </c>
      <c r="T3" s="182" t="s">
        <v>63</v>
      </c>
      <c r="U3" s="180" t="s">
        <v>101</v>
      </c>
      <c r="V3" s="181" t="s">
        <v>99</v>
      </c>
      <c r="W3" s="181" t="s">
        <v>91</v>
      </c>
      <c r="X3" s="182" t="s">
        <v>87</v>
      </c>
      <c r="Y3" s="181" t="s">
        <v>131</v>
      </c>
      <c r="Z3" s="181" t="s">
        <v>332</v>
      </c>
      <c r="AA3" s="181" t="s">
        <v>164</v>
      </c>
      <c r="AB3" s="181" t="s">
        <v>155</v>
      </c>
      <c r="AC3" s="181" t="s">
        <v>160</v>
      </c>
      <c r="AD3" s="181" t="s">
        <v>121</v>
      </c>
      <c r="AE3" s="180" t="s">
        <v>111</v>
      </c>
      <c r="AF3" s="181" t="s">
        <v>105</v>
      </c>
      <c r="AG3" s="182" t="s">
        <v>103</v>
      </c>
      <c r="AH3" s="180" t="s">
        <v>118</v>
      </c>
      <c r="AI3" s="181" t="s">
        <v>116</v>
      </c>
      <c r="AJ3" s="182" t="s">
        <v>114</v>
      </c>
    </row>
    <row r="4" spans="1:36" x14ac:dyDescent="0.25">
      <c r="A4" s="6" t="s">
        <v>112</v>
      </c>
      <c r="B4" s="7"/>
      <c r="C4" s="6"/>
      <c r="D4" s="6" t="s">
        <v>347</v>
      </c>
      <c r="E4" s="7"/>
      <c r="F4" s="186"/>
      <c r="G4" s="75" t="str">
        <f>IFERROR(IF(VLOOKUP(TableHandbook[[#This Row],[UDC]],TableAvailabilities[],2,FALSE)&gt;0,"Y",""),"")</f>
        <v/>
      </c>
      <c r="H4" s="116" t="str">
        <f>IFERROR(IF(VLOOKUP(TableHandbook[[#This Row],[UDC]],TableAvailabilities[],3,FALSE)&gt;0,"Y",""),"")</f>
        <v/>
      </c>
      <c r="I4" s="117" t="str">
        <f>IFERROR(IF(VLOOKUP(TableHandbook[[#This Row],[UDC]],TableAvailabilities[],4,FALSE)&gt;0,"Y",""),"")</f>
        <v/>
      </c>
      <c r="J4" s="76" t="str">
        <f>IFERROR(IF(VLOOKUP(TableHandbook[[#This Row],[UDC]],TableAvailabilities[],5,FALSE)&gt;0,"Y",""),"")</f>
        <v/>
      </c>
      <c r="K4" s="289"/>
      <c r="L4" s="183" t="str">
        <f>IFERROR(VLOOKUP(TableHandbook[[#This Row],[UDC]],TableMCARTS[],7,FALSE),"")</f>
        <v/>
      </c>
      <c r="M4" s="118" t="str">
        <f>IFERROR(VLOOKUP(TableHandbook[[#This Row],[UDC]],TableMJRPCWRIT[],7,FALSE),"")</f>
        <v/>
      </c>
      <c r="N4" s="118" t="str">
        <f>IFERROR(VLOOKUP(TableHandbook[[#This Row],[UDC]],TableMJRPFINAR[],7,FALSE),"")</f>
        <v/>
      </c>
      <c r="O4" s="118" t="str">
        <f>IFERROR(VLOOKUP(TableHandbook[[#This Row],[UDC]],TableMJRPPWRIT[],7,FALSE),"")</f>
        <v/>
      </c>
      <c r="P4" s="184" t="str">
        <f>IFERROR(VLOOKUP(TableHandbook[[#This Row],[UDC]],TableMJRPSCRAR[],7,FALSE),"")</f>
        <v/>
      </c>
      <c r="Q4" s="183" t="str">
        <f>IFERROR(VLOOKUP(TableHandbook[[#This Row],[UDC]],TableMCMMJRG[],7,FALSE),"")</f>
        <v/>
      </c>
      <c r="R4" s="118" t="str">
        <f>IFERROR(VLOOKUP(TableHandbook[[#This Row],[UDC]],TableMCMMJRN[],7,FALSE),"")</f>
        <v/>
      </c>
      <c r="S4" s="118" t="str">
        <f>IFERROR(VLOOKUP(TableHandbook[[#This Row],[UDC]],TableGDMMJRN[],7,FALSE),"")</f>
        <v/>
      </c>
      <c r="T4" s="184" t="str">
        <f>IFERROR(VLOOKUP(TableHandbook[[#This Row],[UDC]],TableGCMMJRN[],7,FALSE),"")</f>
        <v/>
      </c>
      <c r="U4" s="183" t="str">
        <f>IFERROR(VLOOKUP(TableHandbook[[#This Row],[UDC]],TableMCHRIGLO[],7,FALSE),"")</f>
        <v/>
      </c>
      <c r="V4" s="118" t="str">
        <f>IFERROR(VLOOKUP(TableHandbook[[#This Row],[UDC]],TableMCHRIGHT[],7,FALSE),"")</f>
        <v/>
      </c>
      <c r="W4" s="118" t="str">
        <f>IFERROR(VLOOKUP(TableHandbook[[#This Row],[UDC]],TableGDHRIGHT[],7,FALSE),"")</f>
        <v/>
      </c>
      <c r="X4" s="184" t="str">
        <f>IFERROR(VLOOKUP(TableHandbook[[#This Row],[UDC]],TableGCHRIGHT[],7,FALSE),"")</f>
        <v/>
      </c>
      <c r="Y4" s="183" t="str">
        <f>IFERROR(VLOOKUP(TableHandbook[[#This Row],[UDC]],TableMCGLOBL2[],7,FALSE),"")</f>
        <v/>
      </c>
      <c r="Z4" s="118" t="str">
        <f>IFERROR(VLOOKUP(TableHandbook[[#This Row],[UDC]],TableMCGLOBL[],7,FALSE),"")</f>
        <v/>
      </c>
      <c r="AA4" s="297" t="str">
        <f>IFERROR(VLOOKUP(TableHandbook[[#This Row],[UDC]],TableSTRPGLOBL[],7,FALSE),"")</f>
        <v/>
      </c>
      <c r="AB4" s="297" t="str">
        <f>IFERROR(VLOOKUP(TableHandbook[[#This Row],[UDC]],TableSTRPHRIGT[],7,FALSE),"")</f>
        <v/>
      </c>
      <c r="AC4" s="297" t="str">
        <f>IFERROR(VLOOKUP(TableHandbook[[#This Row],[UDC]],TableSTRPINTRN[],7,FALSE),"")</f>
        <v/>
      </c>
      <c r="AD4" s="184" t="str">
        <f>IFERROR(VLOOKUP(TableHandbook[[#This Row],[UDC]],TableGCGLOBL[],7,FALSE),"")</f>
        <v/>
      </c>
      <c r="AE4" s="183" t="str">
        <f>IFERROR(VLOOKUP(TableHandbook[[#This Row],[UDC]],TableMCNETSCM[],7,FALSE),"")</f>
        <v/>
      </c>
      <c r="AF4" s="118" t="str">
        <f>IFERROR(VLOOKUP(TableHandbook[[#This Row],[UDC]],TableGDNETSCM[],7,FALSE),"")</f>
        <v/>
      </c>
      <c r="AG4" s="184" t="str">
        <f>IFERROR(VLOOKUP(TableHandbook[[#This Row],[UDC]],TableGCNETSCM[],7,FALSE),"")</f>
        <v/>
      </c>
      <c r="AH4" s="183" t="str">
        <f>IFERROR(VLOOKUP(TableHandbook[[#This Row],[UDC]],TableMCINTRNS[],7,FALSE),"")</f>
        <v/>
      </c>
      <c r="AI4" s="118" t="str">
        <f>IFERROR(VLOOKUP(TableHandbook[[#This Row],[UDC]],TableGDINTRNS[],7,FALSE),"")</f>
        <v/>
      </c>
      <c r="AJ4" s="184" t="str">
        <f>IFERROR(VLOOKUP(TableHandbook[[#This Row],[UDC]],TableGCINTRNS[],7,FALSE),"")</f>
        <v/>
      </c>
    </row>
    <row r="5" spans="1:36" x14ac:dyDescent="0.25">
      <c r="A5" s="200" t="s">
        <v>245</v>
      </c>
      <c r="B5" s="7"/>
      <c r="C5" s="6"/>
      <c r="D5" s="6" t="s">
        <v>348</v>
      </c>
      <c r="E5" s="7"/>
      <c r="F5" s="186"/>
      <c r="G5" s="75" t="str">
        <f>IFERROR(IF(VLOOKUP(TableHandbook[[#This Row],[UDC]],TableAvailabilities[],2,FALSE)&gt;0,"Y",""),"")</f>
        <v/>
      </c>
      <c r="H5" s="116" t="str">
        <f>IFERROR(IF(VLOOKUP(TableHandbook[[#This Row],[UDC]],TableAvailabilities[],3,FALSE)&gt;0,"Y",""),"")</f>
        <v/>
      </c>
      <c r="I5" s="117" t="str">
        <f>IFERROR(IF(VLOOKUP(TableHandbook[[#This Row],[UDC]],TableAvailabilities[],4,FALSE)&gt;0,"Y",""),"")</f>
        <v/>
      </c>
      <c r="J5" s="76" t="str">
        <f>IFERROR(IF(VLOOKUP(TableHandbook[[#This Row],[UDC]],TableAvailabilities[],5,FALSE)&gt;0,"Y",""),"")</f>
        <v/>
      </c>
      <c r="K5" s="289"/>
      <c r="L5" s="183" t="str">
        <f>IFERROR(VLOOKUP(TableHandbook[[#This Row],[UDC]],TableMCARTS[],7,FALSE),"")</f>
        <v/>
      </c>
      <c r="M5" s="118" t="str">
        <f>IFERROR(VLOOKUP(TableHandbook[[#This Row],[UDC]],TableMJRPCWRIT[],7,FALSE),"")</f>
        <v/>
      </c>
      <c r="N5" s="118" t="str">
        <f>IFERROR(VLOOKUP(TableHandbook[[#This Row],[UDC]],TableMJRPFINAR[],7,FALSE),"")</f>
        <v/>
      </c>
      <c r="O5" s="118" t="str">
        <f>IFERROR(VLOOKUP(TableHandbook[[#This Row],[UDC]],TableMJRPPWRIT[],7,FALSE),"")</f>
        <v/>
      </c>
      <c r="P5" s="184" t="str">
        <f>IFERROR(VLOOKUP(TableHandbook[[#This Row],[UDC]],TableMJRPSCRAR[],7,FALSE),"")</f>
        <v/>
      </c>
      <c r="Q5" s="183" t="str">
        <f>IFERROR(VLOOKUP(TableHandbook[[#This Row],[UDC]],TableMCMMJRG[],7,FALSE),"")</f>
        <v/>
      </c>
      <c r="R5" s="118" t="str">
        <f>IFERROR(VLOOKUP(TableHandbook[[#This Row],[UDC]],TableMCMMJRN[],7,FALSE),"")</f>
        <v/>
      </c>
      <c r="S5" s="118" t="str">
        <f>IFERROR(VLOOKUP(TableHandbook[[#This Row],[UDC]],TableGDMMJRN[],7,FALSE),"")</f>
        <v/>
      </c>
      <c r="T5" s="184" t="str">
        <f>IFERROR(VLOOKUP(TableHandbook[[#This Row],[UDC]],TableGCMMJRN[],7,FALSE),"")</f>
        <v/>
      </c>
      <c r="U5" s="183" t="str">
        <f>IFERROR(VLOOKUP(TableHandbook[[#This Row],[UDC]],TableMCHRIGLO[],7,FALSE),"")</f>
        <v/>
      </c>
      <c r="V5" s="118" t="str">
        <f>IFERROR(VLOOKUP(TableHandbook[[#This Row],[UDC]],TableMCHRIGHT[],7,FALSE),"")</f>
        <v/>
      </c>
      <c r="W5" s="118" t="str">
        <f>IFERROR(VLOOKUP(TableHandbook[[#This Row],[UDC]],TableGDHRIGHT[],7,FALSE),"")</f>
        <v/>
      </c>
      <c r="X5" s="184" t="str">
        <f>IFERROR(VLOOKUP(TableHandbook[[#This Row],[UDC]],TableGCHRIGHT[],7,FALSE),"")</f>
        <v/>
      </c>
      <c r="Y5" s="183" t="str">
        <f>IFERROR(VLOOKUP(TableHandbook[[#This Row],[UDC]],TableMCGLOBL2[],7,FALSE),"")</f>
        <v/>
      </c>
      <c r="Z5" s="118" t="str">
        <f>IFERROR(VLOOKUP(TableHandbook[[#This Row],[UDC]],TableMCGLOBL[],7,FALSE),"")</f>
        <v/>
      </c>
      <c r="AA5" s="297" t="str">
        <f>IFERROR(VLOOKUP(TableHandbook[[#This Row],[UDC]],TableSTRPGLOBL[],7,FALSE),"")</f>
        <v/>
      </c>
      <c r="AB5" s="297" t="str">
        <f>IFERROR(VLOOKUP(TableHandbook[[#This Row],[UDC]],TableSTRPHRIGT[],7,FALSE),"")</f>
        <v/>
      </c>
      <c r="AC5" s="297" t="str">
        <f>IFERROR(VLOOKUP(TableHandbook[[#This Row],[UDC]],TableSTRPINTRN[],7,FALSE),"")</f>
        <v/>
      </c>
      <c r="AD5" s="184" t="str">
        <f>IFERROR(VLOOKUP(TableHandbook[[#This Row],[UDC]],TableGCGLOBL[],7,FALSE),"")</f>
        <v/>
      </c>
      <c r="AE5" s="183" t="str">
        <f>IFERROR(VLOOKUP(TableHandbook[[#This Row],[UDC]],TableMCNETSCM[],7,FALSE),"")</f>
        <v/>
      </c>
      <c r="AF5" s="118" t="str">
        <f>IFERROR(VLOOKUP(TableHandbook[[#This Row],[UDC]],TableGDNETSCM[],7,FALSE),"")</f>
        <v/>
      </c>
      <c r="AG5" s="184" t="str">
        <f>IFERROR(VLOOKUP(TableHandbook[[#This Row],[UDC]],TableGCNETSCM[],7,FALSE),"")</f>
        <v/>
      </c>
      <c r="AH5" s="183" t="str">
        <f>IFERROR(VLOOKUP(TableHandbook[[#This Row],[UDC]],TableMCINTRNS[],7,FALSE),"")</f>
        <v/>
      </c>
      <c r="AI5" s="118" t="str">
        <f>IFERROR(VLOOKUP(TableHandbook[[#This Row],[UDC]],TableGDINTRNS[],7,FALSE),"")</f>
        <v/>
      </c>
      <c r="AJ5" s="184" t="str">
        <f>IFERROR(VLOOKUP(TableHandbook[[#This Row],[UDC]],TableGCINTRNS[],7,FALSE),"")</f>
        <v/>
      </c>
    </row>
    <row r="6" spans="1:36" x14ac:dyDescent="0.25">
      <c r="A6" s="200" t="s">
        <v>225</v>
      </c>
      <c r="B6" s="7"/>
      <c r="C6" s="6"/>
      <c r="D6" s="6" t="s">
        <v>349</v>
      </c>
      <c r="E6" s="7"/>
      <c r="F6" s="186" t="s">
        <v>350</v>
      </c>
      <c r="G6" s="75" t="str">
        <f>IFERROR(IF(VLOOKUP(TableHandbook[[#This Row],[UDC]],TableAvailabilities[],2,FALSE)&gt;0,"Y",""),"")</f>
        <v/>
      </c>
      <c r="H6" s="116" t="str">
        <f>IFERROR(IF(VLOOKUP(TableHandbook[[#This Row],[UDC]],TableAvailabilities[],3,FALSE)&gt;0,"Y",""),"")</f>
        <v/>
      </c>
      <c r="I6" s="117" t="str">
        <f>IFERROR(IF(VLOOKUP(TableHandbook[[#This Row],[UDC]],TableAvailabilities[],4,FALSE)&gt;0,"Y",""),"")</f>
        <v/>
      </c>
      <c r="J6" s="76" t="str">
        <f>IFERROR(IF(VLOOKUP(TableHandbook[[#This Row],[UDC]],TableAvailabilities[],5,FALSE)&gt;0,"Y",""),"")</f>
        <v/>
      </c>
      <c r="K6" s="289"/>
      <c r="L6" s="183" t="str">
        <f>IFERROR(VLOOKUP(TableHandbook[[#This Row],[UDC]],TableMCARTS[],7,FALSE),"")</f>
        <v/>
      </c>
      <c r="M6" s="118" t="str">
        <f>IFERROR(VLOOKUP(TableHandbook[[#This Row],[UDC]],TableMJRPCWRIT[],7,FALSE),"")</f>
        <v/>
      </c>
      <c r="N6" s="118" t="str">
        <f>IFERROR(VLOOKUP(TableHandbook[[#This Row],[UDC]],TableMJRPFINAR[],7,FALSE),"")</f>
        <v/>
      </c>
      <c r="O6" s="118" t="str">
        <f>IFERROR(VLOOKUP(TableHandbook[[#This Row],[UDC]],TableMJRPPWRIT[],7,FALSE),"")</f>
        <v/>
      </c>
      <c r="P6" s="184" t="str">
        <f>IFERROR(VLOOKUP(TableHandbook[[#This Row],[UDC]],TableMJRPSCRAR[],7,FALSE),"")</f>
        <v/>
      </c>
      <c r="Q6" s="183" t="str">
        <f>IFERROR(VLOOKUP(TableHandbook[[#This Row],[UDC]],TableMCMMJRG[],7,FALSE),"")</f>
        <v/>
      </c>
      <c r="R6" s="118" t="str">
        <f>IFERROR(VLOOKUP(TableHandbook[[#This Row],[UDC]],TableMCMMJRN[],7,FALSE),"")</f>
        <v/>
      </c>
      <c r="S6" s="118" t="str">
        <f>IFERROR(VLOOKUP(TableHandbook[[#This Row],[UDC]],TableGDMMJRN[],7,FALSE),"")</f>
        <v/>
      </c>
      <c r="T6" s="184" t="str">
        <f>IFERROR(VLOOKUP(TableHandbook[[#This Row],[UDC]],TableGCMMJRN[],7,FALSE),"")</f>
        <v/>
      </c>
      <c r="U6" s="183" t="str">
        <f>IFERROR(VLOOKUP(TableHandbook[[#This Row],[UDC]],TableMCHRIGLO[],7,FALSE),"")</f>
        <v/>
      </c>
      <c r="V6" s="118" t="str">
        <f>IFERROR(VLOOKUP(TableHandbook[[#This Row],[UDC]],TableMCHRIGHT[],7,FALSE),"")</f>
        <v/>
      </c>
      <c r="W6" s="118" t="str">
        <f>IFERROR(VLOOKUP(TableHandbook[[#This Row],[UDC]],TableGDHRIGHT[],7,FALSE),"")</f>
        <v/>
      </c>
      <c r="X6" s="184" t="str">
        <f>IFERROR(VLOOKUP(TableHandbook[[#This Row],[UDC]],TableGCHRIGHT[],7,FALSE),"")</f>
        <v/>
      </c>
      <c r="Y6" s="183" t="str">
        <f>IFERROR(VLOOKUP(TableHandbook[[#This Row],[UDC]],TableMCGLOBL2[],7,FALSE),"")</f>
        <v/>
      </c>
      <c r="Z6" s="118" t="str">
        <f>IFERROR(VLOOKUP(TableHandbook[[#This Row],[UDC]],TableMCGLOBL[],7,FALSE),"")</f>
        <v/>
      </c>
      <c r="AA6" s="297" t="str">
        <f>IFERROR(VLOOKUP(TableHandbook[[#This Row],[UDC]],TableSTRPGLOBL[],7,FALSE),"")</f>
        <v/>
      </c>
      <c r="AB6" s="297" t="str">
        <f>IFERROR(VLOOKUP(TableHandbook[[#This Row],[UDC]],TableSTRPHRIGT[],7,FALSE),"")</f>
        <v/>
      </c>
      <c r="AC6" s="297" t="str">
        <f>IFERROR(VLOOKUP(TableHandbook[[#This Row],[UDC]],TableSTRPINTRN[],7,FALSE),"")</f>
        <v/>
      </c>
      <c r="AD6" s="184" t="str">
        <f>IFERROR(VLOOKUP(TableHandbook[[#This Row],[UDC]],TableGCGLOBL[],7,FALSE),"")</f>
        <v/>
      </c>
      <c r="AE6" s="183" t="str">
        <f>IFERROR(VLOOKUP(TableHandbook[[#This Row],[UDC]],TableMCNETSCM[],7,FALSE),"")</f>
        <v/>
      </c>
      <c r="AF6" s="118" t="str">
        <f>IFERROR(VLOOKUP(TableHandbook[[#This Row],[UDC]],TableGDNETSCM[],7,FALSE),"")</f>
        <v/>
      </c>
      <c r="AG6" s="184" t="str">
        <f>IFERROR(VLOOKUP(TableHandbook[[#This Row],[UDC]],TableGCNETSCM[],7,FALSE),"")</f>
        <v/>
      </c>
      <c r="AH6" s="183" t="str">
        <f>IFERROR(VLOOKUP(TableHandbook[[#This Row],[UDC]],TableMCINTRNS[],7,FALSE),"")</f>
        <v/>
      </c>
      <c r="AI6" s="118" t="str">
        <f>IFERROR(VLOOKUP(TableHandbook[[#This Row],[UDC]],TableGDINTRNS[],7,FALSE),"")</f>
        <v/>
      </c>
      <c r="AJ6" s="184" t="str">
        <f>IFERROR(VLOOKUP(TableHandbook[[#This Row],[UDC]],TableGCINTRNS[],7,FALSE),"")</f>
        <v/>
      </c>
    </row>
    <row r="7" spans="1:36" x14ac:dyDescent="0.25">
      <c r="A7" s="6" t="s">
        <v>170</v>
      </c>
      <c r="B7" s="7"/>
      <c r="C7" s="6"/>
      <c r="D7" s="6" t="s">
        <v>351</v>
      </c>
      <c r="E7" s="7"/>
      <c r="F7" s="186"/>
      <c r="G7" s="75" t="str">
        <f>IFERROR(IF(VLOOKUP(TableHandbook[[#This Row],[UDC]],TableAvailabilities[],2,FALSE)&gt;0,"Y",""),"")</f>
        <v/>
      </c>
      <c r="H7" s="116" t="str">
        <f>IFERROR(IF(VLOOKUP(TableHandbook[[#This Row],[UDC]],TableAvailabilities[],3,FALSE)&gt;0,"Y",""),"")</f>
        <v/>
      </c>
      <c r="I7" s="117" t="str">
        <f>IFERROR(IF(VLOOKUP(TableHandbook[[#This Row],[UDC]],TableAvailabilities[],4,FALSE)&gt;0,"Y",""),"")</f>
        <v/>
      </c>
      <c r="J7" s="76" t="str">
        <f>IFERROR(IF(VLOOKUP(TableHandbook[[#This Row],[UDC]],TableAvailabilities[],5,FALSE)&gt;0,"Y",""),"")</f>
        <v/>
      </c>
      <c r="K7" s="289"/>
      <c r="L7" s="313" t="str">
        <f>IFERROR(VLOOKUP(TableHandbook[[#This Row],[UDC]],TableMCARTS[],7,FALSE),"")</f>
        <v/>
      </c>
      <c r="M7" s="313" t="str">
        <f>IFERROR(VLOOKUP(TableHandbook[[#This Row],[UDC]],TableMJRPCWRIT[],7,FALSE),"")</f>
        <v/>
      </c>
      <c r="N7" s="313" t="str">
        <f>IFERROR(VLOOKUP(TableHandbook[[#This Row],[UDC]],TableMJRPFINAR[],7,FALSE),"")</f>
        <v/>
      </c>
      <c r="O7" s="313" t="str">
        <f>IFERROR(VLOOKUP(TableHandbook[[#This Row],[UDC]],TableMJRPPWRIT[],7,FALSE),"")</f>
        <v/>
      </c>
      <c r="P7" s="314" t="str">
        <f>IFERROR(VLOOKUP(TableHandbook[[#This Row],[UDC]],TableMJRPSCRAR[],7,FALSE),"")</f>
        <v/>
      </c>
      <c r="Q7" s="315" t="str">
        <f>IFERROR(VLOOKUP(TableHandbook[[#This Row],[UDC]],TableMCMMJRG[],7,FALSE),"")</f>
        <v/>
      </c>
      <c r="R7" s="313" t="str">
        <f>IFERROR(VLOOKUP(TableHandbook[[#This Row],[UDC]],TableMCMMJRN[],7,FALSE),"")</f>
        <v/>
      </c>
      <c r="S7" s="313" t="str">
        <f>IFERROR(VLOOKUP(TableHandbook[[#This Row],[UDC]],TableGDMMJRN[],7,FALSE),"")</f>
        <v/>
      </c>
      <c r="T7" s="314" t="str">
        <f>IFERROR(VLOOKUP(TableHandbook[[#This Row],[UDC]],TableGCMMJRN[],7,FALSE),"")</f>
        <v/>
      </c>
      <c r="U7" s="315" t="str">
        <f>IFERROR(VLOOKUP(TableHandbook[[#This Row],[UDC]],TableMCHRIGLO[],7,FALSE),"")</f>
        <v/>
      </c>
      <c r="V7" s="313" t="str">
        <f>IFERROR(VLOOKUP(TableHandbook[[#This Row],[UDC]],TableMCHRIGHT[],7,FALSE),"")</f>
        <v/>
      </c>
      <c r="W7" s="313" t="str">
        <f>IFERROR(VLOOKUP(TableHandbook[[#This Row],[UDC]],TableGDHRIGHT[],7,FALSE),"")</f>
        <v/>
      </c>
      <c r="X7" s="314" t="str">
        <f>IFERROR(VLOOKUP(TableHandbook[[#This Row],[UDC]],TableGCHRIGHT[],7,FALSE),"")</f>
        <v/>
      </c>
      <c r="Y7" s="183" t="str">
        <f>IFERROR(VLOOKUP(TableHandbook[[#This Row],[UDC]],TableMCGLOBL2[],7,FALSE),"")</f>
        <v/>
      </c>
      <c r="Z7" s="118" t="str">
        <f>IFERROR(VLOOKUP(TableHandbook[[#This Row],[UDC]],TableMCGLOBL[],7,FALSE),"")</f>
        <v/>
      </c>
      <c r="AA7" s="297" t="str">
        <f>IFERROR(VLOOKUP(TableHandbook[[#This Row],[UDC]],TableSTRPGLOBL[],7,FALSE),"")</f>
        <v/>
      </c>
      <c r="AB7" s="297" t="str">
        <f>IFERROR(VLOOKUP(TableHandbook[[#This Row],[UDC]],TableSTRPHRIGT[],7,FALSE),"")</f>
        <v/>
      </c>
      <c r="AC7" s="297" t="str">
        <f>IFERROR(VLOOKUP(TableHandbook[[#This Row],[UDC]],TableSTRPINTRN[],7,FALSE),"")</f>
        <v/>
      </c>
      <c r="AD7" s="184" t="str">
        <f>IFERROR(VLOOKUP(TableHandbook[[#This Row],[UDC]],TableGCGLOBL[],7,FALSE),"")</f>
        <v/>
      </c>
      <c r="AE7" s="315" t="str">
        <f>IFERROR(VLOOKUP(TableHandbook[[#This Row],[UDC]],TableMCNETSCM[],7,FALSE),"")</f>
        <v/>
      </c>
      <c r="AF7" s="313" t="str">
        <f>IFERROR(VLOOKUP(TableHandbook[[#This Row],[UDC]],TableGDNETSCM[],7,FALSE),"")</f>
        <v/>
      </c>
      <c r="AG7" s="314" t="str">
        <f>IFERROR(VLOOKUP(TableHandbook[[#This Row],[UDC]],TableGCNETSCM[],7,FALSE),"")</f>
        <v/>
      </c>
      <c r="AH7" s="315" t="str">
        <f>IFERROR(VLOOKUP(TableHandbook[[#This Row],[UDC]],TableMCINTRNS[],7,FALSE),"")</f>
        <v/>
      </c>
      <c r="AI7" s="313" t="str">
        <f>IFERROR(VLOOKUP(TableHandbook[[#This Row],[UDC]],TableGDINTRNS[],7,FALSE),"")</f>
        <v/>
      </c>
      <c r="AJ7" s="314" t="str">
        <f>IFERROR(VLOOKUP(TableHandbook[[#This Row],[UDC]],TableGCINTRNS[],7,FALSE),"")</f>
        <v/>
      </c>
    </row>
    <row r="8" spans="1:36" x14ac:dyDescent="0.25">
      <c r="A8" s="6" t="s">
        <v>156</v>
      </c>
      <c r="B8" s="7"/>
      <c r="C8" s="6"/>
      <c r="D8" s="6" t="s">
        <v>352</v>
      </c>
      <c r="E8" s="7"/>
      <c r="F8" s="186"/>
      <c r="G8" s="75" t="str">
        <f>IFERROR(IF(VLOOKUP(TableHandbook[[#This Row],[UDC]],TableAvailabilities[],2,FALSE)&gt;0,"Y",""),"")</f>
        <v/>
      </c>
      <c r="H8" s="116" t="str">
        <f>IFERROR(IF(VLOOKUP(TableHandbook[[#This Row],[UDC]],TableAvailabilities[],3,FALSE)&gt;0,"Y",""),"")</f>
        <v/>
      </c>
      <c r="I8" s="117" t="str">
        <f>IFERROR(IF(VLOOKUP(TableHandbook[[#This Row],[UDC]],TableAvailabilities[],4,FALSE)&gt;0,"Y",""),"")</f>
        <v/>
      </c>
      <c r="J8" s="76" t="str">
        <f>IFERROR(IF(VLOOKUP(TableHandbook[[#This Row],[UDC]],TableAvailabilities[],5,FALSE)&gt;0,"Y",""),"")</f>
        <v/>
      </c>
      <c r="K8" s="289"/>
      <c r="L8" s="183" t="str">
        <f>IFERROR(VLOOKUP(TableHandbook[[#This Row],[UDC]],TableMCARTS[],7,FALSE),"")</f>
        <v/>
      </c>
      <c r="M8" s="118" t="str">
        <f>IFERROR(VLOOKUP(TableHandbook[[#This Row],[UDC]],TableMJRPCWRIT[],7,FALSE),"")</f>
        <v/>
      </c>
      <c r="N8" s="118" t="str">
        <f>IFERROR(VLOOKUP(TableHandbook[[#This Row],[UDC]],TableMJRPFINAR[],7,FALSE),"")</f>
        <v/>
      </c>
      <c r="O8" s="118" t="str">
        <f>IFERROR(VLOOKUP(TableHandbook[[#This Row],[UDC]],TableMJRPPWRIT[],7,FALSE),"")</f>
        <v/>
      </c>
      <c r="P8" s="184" t="str">
        <f>IFERROR(VLOOKUP(TableHandbook[[#This Row],[UDC]],TableMJRPSCRAR[],7,FALSE),"")</f>
        <v/>
      </c>
      <c r="Q8" s="183" t="str">
        <f>IFERROR(VLOOKUP(TableHandbook[[#This Row],[UDC]],TableMCMMJRG[],7,FALSE),"")</f>
        <v/>
      </c>
      <c r="R8" s="118" t="str">
        <f>IFERROR(VLOOKUP(TableHandbook[[#This Row],[UDC]],TableMCMMJRN[],7,FALSE),"")</f>
        <v/>
      </c>
      <c r="S8" s="118" t="str">
        <f>IFERROR(VLOOKUP(TableHandbook[[#This Row],[UDC]],TableGDMMJRN[],7,FALSE),"")</f>
        <v/>
      </c>
      <c r="T8" s="184" t="str">
        <f>IFERROR(VLOOKUP(TableHandbook[[#This Row],[UDC]],TableGCMMJRN[],7,FALSE),"")</f>
        <v/>
      </c>
      <c r="U8" s="183" t="str">
        <f>IFERROR(VLOOKUP(TableHandbook[[#This Row],[UDC]],TableMCHRIGLO[],7,FALSE),"")</f>
        <v/>
      </c>
      <c r="V8" s="118" t="str">
        <f>IFERROR(VLOOKUP(TableHandbook[[#This Row],[UDC]],TableMCHRIGHT[],7,FALSE),"")</f>
        <v/>
      </c>
      <c r="W8" s="118" t="str">
        <f>IFERROR(VLOOKUP(TableHandbook[[#This Row],[UDC]],TableGDHRIGHT[],7,FALSE),"")</f>
        <v/>
      </c>
      <c r="X8" s="184" t="str">
        <f>IFERROR(VLOOKUP(TableHandbook[[#This Row],[UDC]],TableGCHRIGHT[],7,FALSE),"")</f>
        <v/>
      </c>
      <c r="Y8" s="183" t="str">
        <f>IFERROR(VLOOKUP(TableHandbook[[#This Row],[UDC]],TableMCGLOBL2[],7,FALSE),"")</f>
        <v/>
      </c>
      <c r="Z8" s="118" t="str">
        <f>IFERROR(VLOOKUP(TableHandbook[[#This Row],[UDC]],TableMCGLOBL[],7,FALSE),"")</f>
        <v/>
      </c>
      <c r="AA8" s="297" t="str">
        <f>IFERROR(VLOOKUP(TableHandbook[[#This Row],[UDC]],TableSTRPGLOBL[],7,FALSE),"")</f>
        <v/>
      </c>
      <c r="AB8" s="297" t="str">
        <f>IFERROR(VLOOKUP(TableHandbook[[#This Row],[UDC]],TableSTRPHRIGT[],7,FALSE),"")</f>
        <v/>
      </c>
      <c r="AC8" s="297" t="str">
        <f>IFERROR(VLOOKUP(TableHandbook[[#This Row],[UDC]],TableSTRPINTRN[],7,FALSE),"")</f>
        <v/>
      </c>
      <c r="AD8" s="184" t="str">
        <f>IFERROR(VLOOKUP(TableHandbook[[#This Row],[UDC]],TableGCGLOBL[],7,FALSE),"")</f>
        <v/>
      </c>
      <c r="AE8" s="183" t="str">
        <f>IFERROR(VLOOKUP(TableHandbook[[#This Row],[UDC]],TableMCNETSCM[],7,FALSE),"")</f>
        <v/>
      </c>
      <c r="AF8" s="118" t="str">
        <f>IFERROR(VLOOKUP(TableHandbook[[#This Row],[UDC]],TableGDNETSCM[],7,FALSE),"")</f>
        <v/>
      </c>
      <c r="AG8" s="184" t="str">
        <f>IFERROR(VLOOKUP(TableHandbook[[#This Row],[UDC]],TableGCNETSCM[],7,FALSE),"")</f>
        <v/>
      </c>
      <c r="AH8" s="183" t="str">
        <f>IFERROR(VLOOKUP(TableHandbook[[#This Row],[UDC]],TableMCINTRNS[],7,FALSE),"")</f>
        <v/>
      </c>
      <c r="AI8" s="118" t="str">
        <f>IFERROR(VLOOKUP(TableHandbook[[#This Row],[UDC]],TableGDINTRNS[],7,FALSE),"")</f>
        <v/>
      </c>
      <c r="AJ8" s="184" t="str">
        <f>IFERROR(VLOOKUP(TableHandbook[[#This Row],[UDC]],TableGCINTRNS[],7,FALSE),"")</f>
        <v/>
      </c>
    </row>
    <row r="9" spans="1:36" x14ac:dyDescent="0.25">
      <c r="A9" s="6" t="s">
        <v>106</v>
      </c>
      <c r="B9" s="7">
        <v>0</v>
      </c>
      <c r="C9" s="6"/>
      <c r="D9" s="6" t="s">
        <v>353</v>
      </c>
      <c r="E9" s="7">
        <v>50</v>
      </c>
      <c r="F9" s="186" t="s">
        <v>354</v>
      </c>
      <c r="G9" s="75" t="str">
        <f>IFERROR(IF(VLOOKUP(TableHandbook[[#This Row],[UDC]],TableAvailabilities[],2,FALSE)&gt;0,"Y",""),"")</f>
        <v/>
      </c>
      <c r="H9" s="116" t="str">
        <f>IFERROR(IF(VLOOKUP(TableHandbook[[#This Row],[UDC]],TableAvailabilities[],3,FALSE)&gt;0,"Y",""),"")</f>
        <v/>
      </c>
      <c r="I9" s="117" t="str">
        <f>IFERROR(IF(VLOOKUP(TableHandbook[[#This Row],[UDC]],TableAvailabilities[],4,FALSE)&gt;0,"Y",""),"")</f>
        <v/>
      </c>
      <c r="J9" s="76" t="str">
        <f>IFERROR(IF(VLOOKUP(TableHandbook[[#This Row],[UDC]],TableAvailabilities[],5,FALSE)&gt;0,"Y",""),"")</f>
        <v/>
      </c>
      <c r="K9" s="289"/>
      <c r="L9" s="183" t="str">
        <f>IFERROR(VLOOKUP(TableHandbook[[#This Row],[UDC]],TableMCARTS[],7,FALSE),"")</f>
        <v/>
      </c>
      <c r="M9" s="118" t="str">
        <f>IFERROR(VLOOKUP(TableHandbook[[#This Row],[UDC]],TableMJRPCWRIT[],7,FALSE),"")</f>
        <v>AltCore</v>
      </c>
      <c r="N9" s="118" t="str">
        <f>IFERROR(VLOOKUP(TableHandbook[[#This Row],[UDC]],TableMJRPFINAR[],7,FALSE),"")</f>
        <v/>
      </c>
      <c r="O9" s="118" t="str">
        <f>IFERROR(VLOOKUP(TableHandbook[[#This Row],[UDC]],TableMJRPPWRIT[],7,FALSE),"")</f>
        <v/>
      </c>
      <c r="P9" s="184" t="str">
        <f>IFERROR(VLOOKUP(TableHandbook[[#This Row],[UDC]],TableMJRPSCRAR[],7,FALSE),"")</f>
        <v/>
      </c>
      <c r="Q9" s="183" t="str">
        <f>IFERROR(VLOOKUP(TableHandbook[[#This Row],[UDC]],TableMCMMJRG[],7,FALSE),"")</f>
        <v/>
      </c>
      <c r="R9" s="118" t="str">
        <f>IFERROR(VLOOKUP(TableHandbook[[#This Row],[UDC]],TableMCMMJRN[],7,FALSE),"")</f>
        <v/>
      </c>
      <c r="S9" s="118" t="str">
        <f>IFERROR(VLOOKUP(TableHandbook[[#This Row],[UDC]],TableGDMMJRN[],7,FALSE),"")</f>
        <v/>
      </c>
      <c r="T9" s="184" t="str">
        <f>IFERROR(VLOOKUP(TableHandbook[[#This Row],[UDC]],TableGCMMJRN[],7,FALSE),"")</f>
        <v/>
      </c>
      <c r="U9" s="183" t="str">
        <f>IFERROR(VLOOKUP(TableHandbook[[#This Row],[UDC]],TableMCHRIGLO[],7,FALSE),"")</f>
        <v/>
      </c>
      <c r="V9" s="118" t="str">
        <f>IFERROR(VLOOKUP(TableHandbook[[#This Row],[UDC]],TableMCHRIGHT[],7,FALSE),"")</f>
        <v/>
      </c>
      <c r="W9" s="118" t="str">
        <f>IFERROR(VLOOKUP(TableHandbook[[#This Row],[UDC]],TableGDHRIGHT[],7,FALSE),"")</f>
        <v/>
      </c>
      <c r="X9" s="184" t="str">
        <f>IFERROR(VLOOKUP(TableHandbook[[#This Row],[UDC]],TableGCHRIGHT[],7,FALSE),"")</f>
        <v/>
      </c>
      <c r="Y9" s="183" t="str">
        <f>IFERROR(VLOOKUP(TableHandbook[[#This Row],[UDC]],TableMCGLOBL2[],7,FALSE),"")</f>
        <v/>
      </c>
      <c r="Z9" s="118" t="str">
        <f>IFERROR(VLOOKUP(TableHandbook[[#This Row],[UDC]],TableMCGLOBL[],7,FALSE),"")</f>
        <v/>
      </c>
      <c r="AA9" s="297" t="str">
        <f>IFERROR(VLOOKUP(TableHandbook[[#This Row],[UDC]],TableSTRPGLOBL[],7,FALSE),"")</f>
        <v/>
      </c>
      <c r="AB9" s="297" t="str">
        <f>IFERROR(VLOOKUP(TableHandbook[[#This Row],[UDC]],TableSTRPHRIGT[],7,FALSE),"")</f>
        <v/>
      </c>
      <c r="AC9" s="297" t="str">
        <f>IFERROR(VLOOKUP(TableHandbook[[#This Row],[UDC]],TableSTRPINTRN[],7,FALSE),"")</f>
        <v/>
      </c>
      <c r="AD9" s="184" t="str">
        <f>IFERROR(VLOOKUP(TableHandbook[[#This Row],[UDC]],TableGCGLOBL[],7,FALSE),"")</f>
        <v/>
      </c>
      <c r="AE9" s="183" t="str">
        <f>IFERROR(VLOOKUP(TableHandbook[[#This Row],[UDC]],TableMCNETSCM[],7,FALSE),"")</f>
        <v/>
      </c>
      <c r="AF9" s="118" t="str">
        <f>IFERROR(VLOOKUP(TableHandbook[[#This Row],[UDC]],TableGDNETSCM[],7,FALSE),"")</f>
        <v/>
      </c>
      <c r="AG9" s="184" t="str">
        <f>IFERROR(VLOOKUP(TableHandbook[[#This Row],[UDC]],TableGCNETSCM[],7,FALSE),"")</f>
        <v/>
      </c>
      <c r="AH9" s="183" t="str">
        <f>IFERROR(VLOOKUP(TableHandbook[[#This Row],[UDC]],TableMCINTRNS[],7,FALSE),"")</f>
        <v/>
      </c>
      <c r="AI9" s="118" t="str">
        <f>IFERROR(VLOOKUP(TableHandbook[[#This Row],[UDC]],TableGDINTRNS[],7,FALSE),"")</f>
        <v/>
      </c>
      <c r="AJ9" s="184" t="str">
        <f>IFERROR(VLOOKUP(TableHandbook[[#This Row],[UDC]],TableGCINTRNS[],7,FALSE),"")</f>
        <v/>
      </c>
    </row>
    <row r="10" spans="1:36" x14ac:dyDescent="0.25">
      <c r="A10" s="6" t="s">
        <v>60</v>
      </c>
      <c r="B10" s="7">
        <v>0</v>
      </c>
      <c r="C10" s="6"/>
      <c r="D10" s="6" t="s">
        <v>355</v>
      </c>
      <c r="E10" s="7">
        <v>25</v>
      </c>
      <c r="F10" s="186" t="s">
        <v>354</v>
      </c>
      <c r="G10" s="75" t="str">
        <f>IFERROR(IF(VLOOKUP(TableHandbook[[#This Row],[UDC]],TableAvailabilities[],2,FALSE)&gt;0,"Y",""),"")</f>
        <v/>
      </c>
      <c r="H10" s="116" t="str">
        <f>IFERROR(IF(VLOOKUP(TableHandbook[[#This Row],[UDC]],TableAvailabilities[],3,FALSE)&gt;0,"Y",""),"")</f>
        <v/>
      </c>
      <c r="I10" s="117" t="str">
        <f>IFERROR(IF(VLOOKUP(TableHandbook[[#This Row],[UDC]],TableAvailabilities[],4,FALSE)&gt;0,"Y",""),"")</f>
        <v/>
      </c>
      <c r="J10" s="76" t="str">
        <f>IFERROR(IF(VLOOKUP(TableHandbook[[#This Row],[UDC]],TableAvailabilities[],5,FALSE)&gt;0,"Y",""),"")</f>
        <v/>
      </c>
      <c r="K10" s="289"/>
      <c r="L10" s="183" t="str">
        <f>IFERROR(VLOOKUP(TableHandbook[[#This Row],[UDC]],TableMCARTS[],7,FALSE),"")</f>
        <v/>
      </c>
      <c r="M10" s="118" t="str">
        <f>IFERROR(VLOOKUP(TableHandbook[[#This Row],[UDC]],TableMJRPCWRIT[],7,FALSE),"")</f>
        <v/>
      </c>
      <c r="N10" s="118" t="str">
        <f>IFERROR(VLOOKUP(TableHandbook[[#This Row],[UDC]],TableMJRPFINAR[],7,FALSE),"")</f>
        <v>AltCore</v>
      </c>
      <c r="O10" s="118" t="str">
        <f>IFERROR(VLOOKUP(TableHandbook[[#This Row],[UDC]],TableMJRPPWRIT[],7,FALSE),"")</f>
        <v/>
      </c>
      <c r="P10" s="184" t="str">
        <f>IFERROR(VLOOKUP(TableHandbook[[#This Row],[UDC]],TableMJRPSCRAR[],7,FALSE),"")</f>
        <v/>
      </c>
      <c r="Q10" s="183" t="str">
        <f>IFERROR(VLOOKUP(TableHandbook[[#This Row],[UDC]],TableMCMMJRG[],7,FALSE),"")</f>
        <v/>
      </c>
      <c r="R10" s="118" t="str">
        <f>IFERROR(VLOOKUP(TableHandbook[[#This Row],[UDC]],TableMCMMJRN[],7,FALSE),"")</f>
        <v/>
      </c>
      <c r="S10" s="118" t="str">
        <f>IFERROR(VLOOKUP(TableHandbook[[#This Row],[UDC]],TableGDMMJRN[],7,FALSE),"")</f>
        <v/>
      </c>
      <c r="T10" s="184" t="str">
        <f>IFERROR(VLOOKUP(TableHandbook[[#This Row],[UDC]],TableGCMMJRN[],7,FALSE),"")</f>
        <v/>
      </c>
      <c r="U10" s="183" t="str">
        <f>IFERROR(VLOOKUP(TableHandbook[[#This Row],[UDC]],TableMCHRIGLO[],7,FALSE),"")</f>
        <v/>
      </c>
      <c r="V10" s="118" t="str">
        <f>IFERROR(VLOOKUP(TableHandbook[[#This Row],[UDC]],TableMCHRIGHT[],7,FALSE),"")</f>
        <v/>
      </c>
      <c r="W10" s="118" t="str">
        <f>IFERROR(VLOOKUP(TableHandbook[[#This Row],[UDC]],TableGDHRIGHT[],7,FALSE),"")</f>
        <v/>
      </c>
      <c r="X10" s="184" t="str">
        <f>IFERROR(VLOOKUP(TableHandbook[[#This Row],[UDC]],TableGCHRIGHT[],7,FALSE),"")</f>
        <v/>
      </c>
      <c r="Y10" s="183" t="str">
        <f>IFERROR(VLOOKUP(TableHandbook[[#This Row],[UDC]],TableMCGLOBL2[],7,FALSE),"")</f>
        <v/>
      </c>
      <c r="Z10" s="118" t="str">
        <f>IFERROR(VLOOKUP(TableHandbook[[#This Row],[UDC]],TableMCGLOBL[],7,FALSE),"")</f>
        <v/>
      </c>
      <c r="AA10" s="297" t="str">
        <f>IFERROR(VLOOKUP(TableHandbook[[#This Row],[UDC]],TableSTRPGLOBL[],7,FALSE),"")</f>
        <v/>
      </c>
      <c r="AB10" s="297" t="str">
        <f>IFERROR(VLOOKUP(TableHandbook[[#This Row],[UDC]],TableSTRPHRIGT[],7,FALSE),"")</f>
        <v/>
      </c>
      <c r="AC10" s="297" t="str">
        <f>IFERROR(VLOOKUP(TableHandbook[[#This Row],[UDC]],TableSTRPINTRN[],7,FALSE),"")</f>
        <v/>
      </c>
      <c r="AD10" s="184" t="str">
        <f>IFERROR(VLOOKUP(TableHandbook[[#This Row],[UDC]],TableGCGLOBL[],7,FALSE),"")</f>
        <v/>
      </c>
      <c r="AE10" s="183" t="str">
        <f>IFERROR(VLOOKUP(TableHandbook[[#This Row],[UDC]],TableMCNETSCM[],7,FALSE),"")</f>
        <v/>
      </c>
      <c r="AF10" s="118" t="str">
        <f>IFERROR(VLOOKUP(TableHandbook[[#This Row],[UDC]],TableGDNETSCM[],7,FALSE),"")</f>
        <v/>
      </c>
      <c r="AG10" s="184" t="str">
        <f>IFERROR(VLOOKUP(TableHandbook[[#This Row],[UDC]],TableGCNETSCM[],7,FALSE),"")</f>
        <v/>
      </c>
      <c r="AH10" s="183" t="str">
        <f>IFERROR(VLOOKUP(TableHandbook[[#This Row],[UDC]],TableMCINTRNS[],7,FALSE),"")</f>
        <v/>
      </c>
      <c r="AI10" s="118" t="str">
        <f>IFERROR(VLOOKUP(TableHandbook[[#This Row],[UDC]],TableGDINTRNS[],7,FALSE),"")</f>
        <v/>
      </c>
      <c r="AJ10" s="184" t="str">
        <f>IFERROR(VLOOKUP(TableHandbook[[#This Row],[UDC]],TableGCINTRNS[],7,FALSE),"")</f>
        <v/>
      </c>
    </row>
    <row r="11" spans="1:36" x14ac:dyDescent="0.25">
      <c r="A11" s="6" t="s">
        <v>107</v>
      </c>
      <c r="B11" s="7">
        <v>0</v>
      </c>
      <c r="C11" s="6"/>
      <c r="D11" s="6" t="s">
        <v>353</v>
      </c>
      <c r="E11" s="7">
        <v>50</v>
      </c>
      <c r="F11" s="186" t="s">
        <v>354</v>
      </c>
      <c r="G11" s="75" t="str">
        <f>IFERROR(IF(VLOOKUP(TableHandbook[[#This Row],[UDC]],TableAvailabilities[],2,FALSE)&gt;0,"Y",""),"")</f>
        <v/>
      </c>
      <c r="H11" s="116" t="str">
        <f>IFERROR(IF(VLOOKUP(TableHandbook[[#This Row],[UDC]],TableAvailabilities[],3,FALSE)&gt;0,"Y",""),"")</f>
        <v/>
      </c>
      <c r="I11" s="117" t="str">
        <f>IFERROR(IF(VLOOKUP(TableHandbook[[#This Row],[UDC]],TableAvailabilities[],4,FALSE)&gt;0,"Y",""),"")</f>
        <v/>
      </c>
      <c r="J11" s="76" t="str">
        <f>IFERROR(IF(VLOOKUP(TableHandbook[[#This Row],[UDC]],TableAvailabilities[],5,FALSE)&gt;0,"Y",""),"")</f>
        <v/>
      </c>
      <c r="K11" s="289"/>
      <c r="L11" s="183" t="str">
        <f>IFERROR(VLOOKUP(TableHandbook[[#This Row],[UDC]],TableMCARTS[],7,FALSE),"")</f>
        <v/>
      </c>
      <c r="M11" s="118" t="str">
        <f>IFERROR(VLOOKUP(TableHandbook[[#This Row],[UDC]],TableMJRPCWRIT[],7,FALSE),"")</f>
        <v/>
      </c>
      <c r="N11" s="118" t="str">
        <f>IFERROR(VLOOKUP(TableHandbook[[#This Row],[UDC]],TableMJRPFINAR[],7,FALSE),"")</f>
        <v>AltCore</v>
      </c>
      <c r="O11" s="118" t="str">
        <f>IFERROR(VLOOKUP(TableHandbook[[#This Row],[UDC]],TableMJRPPWRIT[],7,FALSE),"")</f>
        <v/>
      </c>
      <c r="P11" s="184" t="str">
        <f>IFERROR(VLOOKUP(TableHandbook[[#This Row],[UDC]],TableMJRPSCRAR[],7,FALSE),"")</f>
        <v/>
      </c>
      <c r="Q11" s="183" t="str">
        <f>IFERROR(VLOOKUP(TableHandbook[[#This Row],[UDC]],TableMCMMJRG[],7,FALSE),"")</f>
        <v/>
      </c>
      <c r="R11" s="118" t="str">
        <f>IFERROR(VLOOKUP(TableHandbook[[#This Row],[UDC]],TableMCMMJRN[],7,FALSE),"")</f>
        <v/>
      </c>
      <c r="S11" s="118" t="str">
        <f>IFERROR(VLOOKUP(TableHandbook[[#This Row],[UDC]],TableGDMMJRN[],7,FALSE),"")</f>
        <v/>
      </c>
      <c r="T11" s="184" t="str">
        <f>IFERROR(VLOOKUP(TableHandbook[[#This Row],[UDC]],TableGCMMJRN[],7,FALSE),"")</f>
        <v/>
      </c>
      <c r="U11" s="183" t="str">
        <f>IFERROR(VLOOKUP(TableHandbook[[#This Row],[UDC]],TableMCHRIGLO[],7,FALSE),"")</f>
        <v/>
      </c>
      <c r="V11" s="118" t="str">
        <f>IFERROR(VLOOKUP(TableHandbook[[#This Row],[UDC]],TableMCHRIGHT[],7,FALSE),"")</f>
        <v/>
      </c>
      <c r="W11" s="118" t="str">
        <f>IFERROR(VLOOKUP(TableHandbook[[#This Row],[UDC]],TableGDHRIGHT[],7,FALSE),"")</f>
        <v/>
      </c>
      <c r="X11" s="184" t="str">
        <f>IFERROR(VLOOKUP(TableHandbook[[#This Row],[UDC]],TableGCHRIGHT[],7,FALSE),"")</f>
        <v/>
      </c>
      <c r="Y11" s="183" t="str">
        <f>IFERROR(VLOOKUP(TableHandbook[[#This Row],[UDC]],TableMCGLOBL2[],7,FALSE),"")</f>
        <v/>
      </c>
      <c r="Z11" s="118" t="str">
        <f>IFERROR(VLOOKUP(TableHandbook[[#This Row],[UDC]],TableMCGLOBL[],7,FALSE),"")</f>
        <v/>
      </c>
      <c r="AA11" s="297" t="str">
        <f>IFERROR(VLOOKUP(TableHandbook[[#This Row],[UDC]],TableSTRPGLOBL[],7,FALSE),"")</f>
        <v/>
      </c>
      <c r="AB11" s="297" t="str">
        <f>IFERROR(VLOOKUP(TableHandbook[[#This Row],[UDC]],TableSTRPHRIGT[],7,FALSE),"")</f>
        <v/>
      </c>
      <c r="AC11" s="297" t="str">
        <f>IFERROR(VLOOKUP(TableHandbook[[#This Row],[UDC]],TableSTRPINTRN[],7,FALSE),"")</f>
        <v/>
      </c>
      <c r="AD11" s="184" t="str">
        <f>IFERROR(VLOOKUP(TableHandbook[[#This Row],[UDC]],TableGCGLOBL[],7,FALSE),"")</f>
        <v/>
      </c>
      <c r="AE11" s="183" t="str">
        <f>IFERROR(VLOOKUP(TableHandbook[[#This Row],[UDC]],TableMCNETSCM[],7,FALSE),"")</f>
        <v/>
      </c>
      <c r="AF11" s="118" t="str">
        <f>IFERROR(VLOOKUP(TableHandbook[[#This Row],[UDC]],TableGDNETSCM[],7,FALSE),"")</f>
        <v/>
      </c>
      <c r="AG11" s="184" t="str">
        <f>IFERROR(VLOOKUP(TableHandbook[[#This Row],[UDC]],TableGCNETSCM[],7,FALSE),"")</f>
        <v/>
      </c>
      <c r="AH11" s="183" t="str">
        <f>IFERROR(VLOOKUP(TableHandbook[[#This Row],[UDC]],TableMCINTRNS[],7,FALSE),"")</f>
        <v/>
      </c>
      <c r="AI11" s="118" t="str">
        <f>IFERROR(VLOOKUP(TableHandbook[[#This Row],[UDC]],TableGDINTRNS[],7,FALSE),"")</f>
        <v/>
      </c>
      <c r="AJ11" s="184" t="str">
        <f>IFERROR(VLOOKUP(TableHandbook[[#This Row],[UDC]],TableGCINTRNS[],7,FALSE),"")</f>
        <v/>
      </c>
    </row>
    <row r="12" spans="1:36" x14ac:dyDescent="0.25">
      <c r="A12" s="6" t="s">
        <v>334</v>
      </c>
      <c r="B12" s="7">
        <v>0</v>
      </c>
      <c r="C12" s="6"/>
      <c r="D12" s="6" t="s">
        <v>356</v>
      </c>
      <c r="E12" s="7">
        <v>50</v>
      </c>
      <c r="F12" s="186" t="s">
        <v>354</v>
      </c>
      <c r="G12" s="75" t="str">
        <f>IFERROR(IF(VLOOKUP(TableHandbook[[#This Row],[UDC]],TableAvailabilities[],2,FALSE)&gt;0,"Y",""),"")</f>
        <v>Y</v>
      </c>
      <c r="H12" s="116" t="str">
        <f>IFERROR(IF(VLOOKUP(TableHandbook[[#This Row],[UDC]],TableAvailabilities[],3,FALSE)&gt;0,"Y",""),"")</f>
        <v>Y</v>
      </c>
      <c r="I12" s="117" t="str">
        <f>IFERROR(IF(VLOOKUP(TableHandbook[[#This Row],[UDC]],TableAvailabilities[],4,FALSE)&gt;0,"Y",""),"")</f>
        <v>Y</v>
      </c>
      <c r="J12" s="76" t="str">
        <f>IFERROR(IF(VLOOKUP(TableHandbook[[#This Row],[UDC]],TableAvailabilities[],5,FALSE)&gt;0,"Y",""),"")</f>
        <v>Y</v>
      </c>
      <c r="K12" s="289"/>
      <c r="L12" s="183" t="str">
        <f>IFERROR(VLOOKUP(TableHandbook[[#This Row],[UDC]],TableMCARTS[],7,FALSE),"")</f>
        <v/>
      </c>
      <c r="M12" s="118" t="str">
        <f>IFERROR(VLOOKUP(TableHandbook[[#This Row],[UDC]],TableMJRPCWRIT[],7,FALSE),"")</f>
        <v/>
      </c>
      <c r="N12" s="118" t="str">
        <f>IFERROR(VLOOKUP(TableHandbook[[#This Row],[UDC]],TableMJRPFINAR[],7,FALSE),"")</f>
        <v/>
      </c>
      <c r="O12" s="118" t="str">
        <f>IFERROR(VLOOKUP(TableHandbook[[#This Row],[UDC]],TableMJRPPWRIT[],7,FALSE),"")</f>
        <v/>
      </c>
      <c r="P12" s="184" t="str">
        <f>IFERROR(VLOOKUP(TableHandbook[[#This Row],[UDC]],TableMJRPSCRAR[],7,FALSE),"")</f>
        <v/>
      </c>
      <c r="Q12" s="183" t="str">
        <f>IFERROR(VLOOKUP(TableHandbook[[#This Row],[UDC]],TableMCMMJRG[],7,FALSE),"")</f>
        <v/>
      </c>
      <c r="R12" s="118" t="str">
        <f>IFERROR(VLOOKUP(TableHandbook[[#This Row],[UDC]],TableMCMMJRN[],7,FALSE),"")</f>
        <v/>
      </c>
      <c r="S12" s="118" t="str">
        <f>IFERROR(VLOOKUP(TableHandbook[[#This Row],[UDC]],TableGDMMJRN[],7,FALSE),"")</f>
        <v/>
      </c>
      <c r="T12" s="184" t="str">
        <f>IFERROR(VLOOKUP(TableHandbook[[#This Row],[UDC]],TableGCMMJRN[],7,FALSE),"")</f>
        <v/>
      </c>
      <c r="U12" s="183" t="str">
        <f>IFERROR(VLOOKUP(TableHandbook[[#This Row],[UDC]],TableMCHRIGLO[],7,FALSE),"")</f>
        <v/>
      </c>
      <c r="V12" s="118" t="str">
        <f>IFERROR(VLOOKUP(TableHandbook[[#This Row],[UDC]],TableMCHRIGHT[],7,FALSE),"")</f>
        <v/>
      </c>
      <c r="W12" s="118" t="str">
        <f>IFERROR(VLOOKUP(TableHandbook[[#This Row],[UDC]],TableGDHRIGHT[],7,FALSE),"")</f>
        <v/>
      </c>
      <c r="X12" s="184" t="str">
        <f>IFERROR(VLOOKUP(TableHandbook[[#This Row],[UDC]],TableGCHRIGHT[],7,FALSE),"")</f>
        <v/>
      </c>
      <c r="Y12" s="183" t="str">
        <f>IFERROR(VLOOKUP(TableHandbook[[#This Row],[UDC]],TableMCGLOBL2[],7,FALSE),"")</f>
        <v>AltCore</v>
      </c>
      <c r="Z12" s="118" t="str">
        <f>IFERROR(VLOOKUP(TableHandbook[[#This Row],[UDC]],TableMCGLOBL[],7,FALSE),"")</f>
        <v>AltCore</v>
      </c>
      <c r="AA12" s="297" t="str">
        <f>IFERROR(VLOOKUP(TableHandbook[[#This Row],[UDC]],TableSTRPGLOBL[],7,FALSE),"")</f>
        <v/>
      </c>
      <c r="AB12" s="297" t="str">
        <f>IFERROR(VLOOKUP(TableHandbook[[#This Row],[UDC]],TableSTRPHRIGT[],7,FALSE),"")</f>
        <v/>
      </c>
      <c r="AC12" s="297" t="str">
        <f>IFERROR(VLOOKUP(TableHandbook[[#This Row],[UDC]],TableSTRPINTRN[],7,FALSE),"")</f>
        <v/>
      </c>
      <c r="AD12" s="184" t="str">
        <f>IFERROR(VLOOKUP(TableHandbook[[#This Row],[UDC]],TableGCGLOBL[],7,FALSE),"")</f>
        <v/>
      </c>
      <c r="AE12" s="183" t="str">
        <f>IFERROR(VLOOKUP(TableHandbook[[#This Row],[UDC]],TableMCNETSCM[],7,FALSE),"")</f>
        <v/>
      </c>
      <c r="AF12" s="118" t="str">
        <f>IFERROR(VLOOKUP(TableHandbook[[#This Row],[UDC]],TableGDNETSCM[],7,FALSE),"")</f>
        <v/>
      </c>
      <c r="AG12" s="184" t="str">
        <f>IFERROR(VLOOKUP(TableHandbook[[#This Row],[UDC]],TableGCNETSCM[],7,FALSE),"")</f>
        <v/>
      </c>
      <c r="AH12" s="183" t="str">
        <f>IFERROR(VLOOKUP(TableHandbook[[#This Row],[UDC]],TableMCINTRNS[],7,FALSE),"")</f>
        <v/>
      </c>
      <c r="AI12" s="118" t="str">
        <f>IFERROR(VLOOKUP(TableHandbook[[#This Row],[UDC]],TableGDINTRNS[],7,FALSE),"")</f>
        <v/>
      </c>
      <c r="AJ12" s="184" t="str">
        <f>IFERROR(VLOOKUP(TableHandbook[[#This Row],[UDC]],TableGCINTRNS[],7,FALSE),"")</f>
        <v/>
      </c>
    </row>
    <row r="13" spans="1:36" x14ac:dyDescent="0.25">
      <c r="A13" s="6" t="s">
        <v>337</v>
      </c>
      <c r="B13" s="7">
        <v>0</v>
      </c>
      <c r="C13" s="6"/>
      <c r="D13" s="6" t="s">
        <v>357</v>
      </c>
      <c r="E13" s="7">
        <v>50</v>
      </c>
      <c r="F13" s="186" t="s">
        <v>354</v>
      </c>
      <c r="G13" s="75" t="str">
        <f>IFERROR(IF(VLOOKUP(TableHandbook[[#This Row],[UDC]],TableAvailabilities[],2,FALSE)&gt;0,"Y",""),"")</f>
        <v>Y</v>
      </c>
      <c r="H13" s="116" t="str">
        <f>IFERROR(IF(VLOOKUP(TableHandbook[[#This Row],[UDC]],TableAvailabilities[],3,FALSE)&gt;0,"Y",""),"")</f>
        <v>Y</v>
      </c>
      <c r="I13" s="117" t="str">
        <f>IFERROR(IF(VLOOKUP(TableHandbook[[#This Row],[UDC]],TableAvailabilities[],4,FALSE)&gt;0,"Y",""),"")</f>
        <v>Y</v>
      </c>
      <c r="J13" s="76" t="str">
        <f>IFERROR(IF(VLOOKUP(TableHandbook[[#This Row],[UDC]],TableAvailabilities[],5,FALSE)&gt;0,"Y",""),"")</f>
        <v>Y</v>
      </c>
      <c r="K13" s="289"/>
      <c r="L13" s="183" t="str">
        <f>IFERROR(VLOOKUP(TableHandbook[[#This Row],[UDC]],TableMCARTS[],7,FALSE),"")</f>
        <v/>
      </c>
      <c r="M13" s="118" t="str">
        <f>IFERROR(VLOOKUP(TableHandbook[[#This Row],[UDC]],TableMJRPCWRIT[],7,FALSE),"")</f>
        <v/>
      </c>
      <c r="N13" s="118" t="str">
        <f>IFERROR(VLOOKUP(TableHandbook[[#This Row],[UDC]],TableMJRPFINAR[],7,FALSE),"")</f>
        <v/>
      </c>
      <c r="O13" s="118" t="str">
        <f>IFERROR(VLOOKUP(TableHandbook[[#This Row],[UDC]],TableMJRPPWRIT[],7,FALSE),"")</f>
        <v/>
      </c>
      <c r="P13" s="184" t="str">
        <f>IFERROR(VLOOKUP(TableHandbook[[#This Row],[UDC]],TableMJRPSCRAR[],7,FALSE),"")</f>
        <v/>
      </c>
      <c r="Q13" s="183" t="str">
        <f>IFERROR(VLOOKUP(TableHandbook[[#This Row],[UDC]],TableMCMMJRG[],7,FALSE),"")</f>
        <v/>
      </c>
      <c r="R13" s="118" t="str">
        <f>IFERROR(VLOOKUP(TableHandbook[[#This Row],[UDC]],TableMCMMJRN[],7,FALSE),"")</f>
        <v/>
      </c>
      <c r="S13" s="118" t="str">
        <f>IFERROR(VLOOKUP(TableHandbook[[#This Row],[UDC]],TableGDMMJRN[],7,FALSE),"")</f>
        <v/>
      </c>
      <c r="T13" s="184" t="str">
        <f>IFERROR(VLOOKUP(TableHandbook[[#This Row],[UDC]],TableGCMMJRN[],7,FALSE),"")</f>
        <v/>
      </c>
      <c r="U13" s="183" t="str">
        <f>IFERROR(VLOOKUP(TableHandbook[[#This Row],[UDC]],TableMCHRIGLO[],7,FALSE),"")</f>
        <v/>
      </c>
      <c r="V13" s="118" t="str">
        <f>IFERROR(VLOOKUP(TableHandbook[[#This Row],[UDC]],TableMCHRIGHT[],7,FALSE),"")</f>
        <v/>
      </c>
      <c r="W13" s="118" t="str">
        <f>IFERROR(VLOOKUP(TableHandbook[[#This Row],[UDC]],TableGDHRIGHT[],7,FALSE),"")</f>
        <v/>
      </c>
      <c r="X13" s="184" t="str">
        <f>IFERROR(VLOOKUP(TableHandbook[[#This Row],[UDC]],TableGCHRIGHT[],7,FALSE),"")</f>
        <v/>
      </c>
      <c r="Y13" s="183" t="str">
        <f>IFERROR(VLOOKUP(TableHandbook[[#This Row],[UDC]],TableMCGLOBL2[],7,FALSE),"")</f>
        <v>AltCore</v>
      </c>
      <c r="Z13" s="118" t="str">
        <f>IFERROR(VLOOKUP(TableHandbook[[#This Row],[UDC]],TableMCGLOBL[],7,FALSE),"")</f>
        <v>AltCore</v>
      </c>
      <c r="AA13" s="297" t="str">
        <f>IFERROR(VLOOKUP(TableHandbook[[#This Row],[UDC]],TableSTRPGLOBL[],7,FALSE),"")</f>
        <v/>
      </c>
      <c r="AB13" s="297" t="str">
        <f>IFERROR(VLOOKUP(TableHandbook[[#This Row],[UDC]],TableSTRPHRIGT[],7,FALSE),"")</f>
        <v/>
      </c>
      <c r="AC13" s="297" t="str">
        <f>IFERROR(VLOOKUP(TableHandbook[[#This Row],[UDC]],TableSTRPINTRN[],7,FALSE),"")</f>
        <v/>
      </c>
      <c r="AD13" s="184" t="str">
        <f>IFERROR(VLOOKUP(TableHandbook[[#This Row],[UDC]],TableGCGLOBL[],7,FALSE),"")</f>
        <v/>
      </c>
      <c r="AE13" s="183" t="str">
        <f>IFERROR(VLOOKUP(TableHandbook[[#This Row],[UDC]],TableMCNETSCM[],7,FALSE),"")</f>
        <v/>
      </c>
      <c r="AF13" s="118" t="str">
        <f>IFERROR(VLOOKUP(TableHandbook[[#This Row],[UDC]],TableGDNETSCM[],7,FALSE),"")</f>
        <v/>
      </c>
      <c r="AG13" s="184" t="str">
        <f>IFERROR(VLOOKUP(TableHandbook[[#This Row],[UDC]],TableGCNETSCM[],7,FALSE),"")</f>
        <v/>
      </c>
      <c r="AH13" s="183" t="str">
        <f>IFERROR(VLOOKUP(TableHandbook[[#This Row],[UDC]],TableMCINTRNS[],7,FALSE),"")</f>
        <v/>
      </c>
      <c r="AI13" s="118" t="str">
        <f>IFERROR(VLOOKUP(TableHandbook[[#This Row],[UDC]],TableGDINTRNS[],7,FALSE),"")</f>
        <v/>
      </c>
      <c r="AJ13" s="184" t="str">
        <f>IFERROR(VLOOKUP(TableHandbook[[#This Row],[UDC]],TableGCINTRNS[],7,FALSE),"")</f>
        <v/>
      </c>
    </row>
    <row r="14" spans="1:36" x14ac:dyDescent="0.25">
      <c r="A14" s="6" t="s">
        <v>233</v>
      </c>
      <c r="B14" s="7">
        <v>0</v>
      </c>
      <c r="C14" s="6"/>
      <c r="D14" s="6" t="s">
        <v>356</v>
      </c>
      <c r="E14" s="7">
        <v>50</v>
      </c>
      <c r="F14" s="186" t="s">
        <v>354</v>
      </c>
      <c r="G14" s="75" t="str">
        <f>IFERROR(IF(VLOOKUP(TableHandbook[[#This Row],[UDC]],TableAvailabilities[],2,FALSE)&gt;0,"Y",""),"")</f>
        <v/>
      </c>
      <c r="H14" s="116" t="str">
        <f>IFERROR(IF(VLOOKUP(TableHandbook[[#This Row],[UDC]],TableAvailabilities[],3,FALSE)&gt;0,"Y",""),"")</f>
        <v/>
      </c>
      <c r="I14" s="117" t="str">
        <f>IFERROR(IF(VLOOKUP(TableHandbook[[#This Row],[UDC]],TableAvailabilities[],4,FALSE)&gt;0,"Y",""),"")</f>
        <v/>
      </c>
      <c r="J14" s="76" t="str">
        <f>IFERROR(IF(VLOOKUP(TableHandbook[[#This Row],[UDC]],TableAvailabilities[],5,FALSE)&gt;0,"Y",""),"")</f>
        <v/>
      </c>
      <c r="K14" s="289"/>
      <c r="L14" s="183" t="str">
        <f>IFERROR(VLOOKUP(TableHandbook[[#This Row],[UDC]],TableMCARTS[],7,FALSE),"")</f>
        <v/>
      </c>
      <c r="M14" s="118" t="str">
        <f>IFERROR(VLOOKUP(TableHandbook[[#This Row],[UDC]],TableMJRPCWRIT[],7,FALSE),"")</f>
        <v/>
      </c>
      <c r="N14" s="118" t="str">
        <f>IFERROR(VLOOKUP(TableHandbook[[#This Row],[UDC]],TableMJRPFINAR[],7,FALSE),"")</f>
        <v/>
      </c>
      <c r="O14" s="118" t="str">
        <f>IFERROR(VLOOKUP(TableHandbook[[#This Row],[UDC]],TableMJRPPWRIT[],7,FALSE),"")</f>
        <v/>
      </c>
      <c r="P14" s="184" t="str">
        <f>IFERROR(VLOOKUP(TableHandbook[[#This Row],[UDC]],TableMJRPSCRAR[],7,FALSE),"")</f>
        <v/>
      </c>
      <c r="Q14" s="183" t="str">
        <f>IFERROR(VLOOKUP(TableHandbook[[#This Row],[UDC]],TableMCMMJRG[],7,FALSE),"")</f>
        <v/>
      </c>
      <c r="R14" s="118" t="str">
        <f>IFERROR(VLOOKUP(TableHandbook[[#This Row],[UDC]],TableMCMMJRN[],7,FALSE),"")</f>
        <v/>
      </c>
      <c r="S14" s="118" t="str">
        <f>IFERROR(VLOOKUP(TableHandbook[[#This Row],[UDC]],TableGDMMJRN[],7,FALSE),"")</f>
        <v/>
      </c>
      <c r="T14" s="184" t="str">
        <f>IFERROR(VLOOKUP(TableHandbook[[#This Row],[UDC]],TableGCMMJRN[],7,FALSE),"")</f>
        <v/>
      </c>
      <c r="U14" s="183" t="str">
        <f>IFERROR(VLOOKUP(TableHandbook[[#This Row],[UDC]],TableMCHRIGLO[],7,FALSE),"")</f>
        <v/>
      </c>
      <c r="V14" s="118" t="str">
        <f>IFERROR(VLOOKUP(TableHandbook[[#This Row],[UDC]],TableMCHRIGHT[],7,FALSE),"")</f>
        <v>AltCore</v>
      </c>
      <c r="W14" s="118" t="str">
        <f>IFERROR(VLOOKUP(TableHandbook[[#This Row],[UDC]],TableGDHRIGHT[],7,FALSE),"")</f>
        <v/>
      </c>
      <c r="X14" s="184" t="str">
        <f>IFERROR(VLOOKUP(TableHandbook[[#This Row],[UDC]],TableGCHRIGHT[],7,FALSE),"")</f>
        <v/>
      </c>
      <c r="Y14" s="183" t="str">
        <f>IFERROR(VLOOKUP(TableHandbook[[#This Row],[UDC]],TableMCGLOBL2[],7,FALSE),"")</f>
        <v/>
      </c>
      <c r="Z14" s="118" t="str">
        <f>IFERROR(VLOOKUP(TableHandbook[[#This Row],[UDC]],TableMCGLOBL[],7,FALSE),"")</f>
        <v/>
      </c>
      <c r="AA14" s="297" t="str">
        <f>IFERROR(VLOOKUP(TableHandbook[[#This Row],[UDC]],TableSTRPGLOBL[],7,FALSE),"")</f>
        <v/>
      </c>
      <c r="AB14" s="297" t="str">
        <f>IFERROR(VLOOKUP(TableHandbook[[#This Row],[UDC]],TableSTRPHRIGT[],7,FALSE),"")</f>
        <v/>
      </c>
      <c r="AC14" s="297" t="str">
        <f>IFERROR(VLOOKUP(TableHandbook[[#This Row],[UDC]],TableSTRPINTRN[],7,FALSE),"")</f>
        <v/>
      </c>
      <c r="AD14" s="184" t="str">
        <f>IFERROR(VLOOKUP(TableHandbook[[#This Row],[UDC]],TableGCGLOBL[],7,FALSE),"")</f>
        <v/>
      </c>
      <c r="AE14" s="183" t="str">
        <f>IFERROR(VLOOKUP(TableHandbook[[#This Row],[UDC]],TableMCNETSCM[],7,FALSE),"")</f>
        <v/>
      </c>
      <c r="AF14" s="118" t="str">
        <f>IFERROR(VLOOKUP(TableHandbook[[#This Row],[UDC]],TableGDNETSCM[],7,FALSE),"")</f>
        <v/>
      </c>
      <c r="AG14" s="184" t="str">
        <f>IFERROR(VLOOKUP(TableHandbook[[#This Row],[UDC]],TableGCNETSCM[],7,FALSE),"")</f>
        <v/>
      </c>
      <c r="AH14" s="183" t="str">
        <f>IFERROR(VLOOKUP(TableHandbook[[#This Row],[UDC]],TableMCINTRNS[],7,FALSE),"")</f>
        <v/>
      </c>
      <c r="AI14" s="118" t="str">
        <f>IFERROR(VLOOKUP(TableHandbook[[#This Row],[UDC]],TableGDINTRNS[],7,FALSE),"")</f>
        <v/>
      </c>
      <c r="AJ14" s="184" t="str">
        <f>IFERROR(VLOOKUP(TableHandbook[[#This Row],[UDC]],TableGCINTRNS[],7,FALSE),"")</f>
        <v/>
      </c>
    </row>
    <row r="15" spans="1:36" x14ac:dyDescent="0.25">
      <c r="A15" s="6" t="s">
        <v>239</v>
      </c>
      <c r="B15" s="7">
        <v>0</v>
      </c>
      <c r="C15" s="6"/>
      <c r="D15" s="6" t="s">
        <v>357</v>
      </c>
      <c r="E15" s="7">
        <v>50</v>
      </c>
      <c r="F15" s="186" t="s">
        <v>354</v>
      </c>
      <c r="G15" s="75" t="str">
        <f>IFERROR(IF(VLOOKUP(TableHandbook[[#This Row],[UDC]],TableAvailabilities[],2,FALSE)&gt;0,"Y",""),"")</f>
        <v/>
      </c>
      <c r="H15" s="116" t="str">
        <f>IFERROR(IF(VLOOKUP(TableHandbook[[#This Row],[UDC]],TableAvailabilities[],3,FALSE)&gt;0,"Y",""),"")</f>
        <v/>
      </c>
      <c r="I15" s="117" t="str">
        <f>IFERROR(IF(VLOOKUP(TableHandbook[[#This Row],[UDC]],TableAvailabilities[],4,FALSE)&gt;0,"Y",""),"")</f>
        <v/>
      </c>
      <c r="J15" s="76" t="str">
        <f>IFERROR(IF(VLOOKUP(TableHandbook[[#This Row],[UDC]],TableAvailabilities[],5,FALSE)&gt;0,"Y",""),"")</f>
        <v/>
      </c>
      <c r="K15" s="289"/>
      <c r="L15" s="183" t="str">
        <f>IFERROR(VLOOKUP(TableHandbook[[#This Row],[UDC]],TableMCARTS[],7,FALSE),"")</f>
        <v/>
      </c>
      <c r="M15" s="118" t="str">
        <f>IFERROR(VLOOKUP(TableHandbook[[#This Row],[UDC]],TableMJRPCWRIT[],7,FALSE),"")</f>
        <v/>
      </c>
      <c r="N15" s="118" t="str">
        <f>IFERROR(VLOOKUP(TableHandbook[[#This Row],[UDC]],TableMJRPFINAR[],7,FALSE),"")</f>
        <v/>
      </c>
      <c r="O15" s="118" t="str">
        <f>IFERROR(VLOOKUP(TableHandbook[[#This Row],[UDC]],TableMJRPPWRIT[],7,FALSE),"")</f>
        <v/>
      </c>
      <c r="P15" s="184" t="str">
        <f>IFERROR(VLOOKUP(TableHandbook[[#This Row],[UDC]],TableMJRPSCRAR[],7,FALSE),"")</f>
        <v/>
      </c>
      <c r="Q15" s="183" t="str">
        <f>IFERROR(VLOOKUP(TableHandbook[[#This Row],[UDC]],TableMCMMJRG[],7,FALSE),"")</f>
        <v/>
      </c>
      <c r="R15" s="118" t="str">
        <f>IFERROR(VLOOKUP(TableHandbook[[#This Row],[UDC]],TableMCMMJRN[],7,FALSE),"")</f>
        <v/>
      </c>
      <c r="S15" s="118" t="str">
        <f>IFERROR(VLOOKUP(TableHandbook[[#This Row],[UDC]],TableGDMMJRN[],7,FALSE),"")</f>
        <v/>
      </c>
      <c r="T15" s="184" t="str">
        <f>IFERROR(VLOOKUP(TableHandbook[[#This Row],[UDC]],TableGCMMJRN[],7,FALSE),"")</f>
        <v/>
      </c>
      <c r="U15" s="183" t="str">
        <f>IFERROR(VLOOKUP(TableHandbook[[#This Row],[UDC]],TableMCHRIGLO[],7,FALSE),"")</f>
        <v/>
      </c>
      <c r="V15" s="118" t="str">
        <f>IFERROR(VLOOKUP(TableHandbook[[#This Row],[UDC]],TableMCHRIGHT[],7,FALSE),"")</f>
        <v>AltCore</v>
      </c>
      <c r="W15" s="118" t="str">
        <f>IFERROR(VLOOKUP(TableHandbook[[#This Row],[UDC]],TableGDHRIGHT[],7,FALSE),"")</f>
        <v/>
      </c>
      <c r="X15" s="184" t="str">
        <f>IFERROR(VLOOKUP(TableHandbook[[#This Row],[UDC]],TableGCHRIGHT[],7,FALSE),"")</f>
        <v/>
      </c>
      <c r="Y15" s="183" t="str">
        <f>IFERROR(VLOOKUP(TableHandbook[[#This Row],[UDC]],TableMCGLOBL2[],7,FALSE),"")</f>
        <v/>
      </c>
      <c r="Z15" s="118" t="str">
        <f>IFERROR(VLOOKUP(TableHandbook[[#This Row],[UDC]],TableMCGLOBL[],7,FALSE),"")</f>
        <v/>
      </c>
      <c r="AA15" s="297" t="str">
        <f>IFERROR(VLOOKUP(TableHandbook[[#This Row],[UDC]],TableSTRPGLOBL[],7,FALSE),"")</f>
        <v/>
      </c>
      <c r="AB15" s="297" t="str">
        <f>IFERROR(VLOOKUP(TableHandbook[[#This Row],[UDC]],TableSTRPHRIGT[],7,FALSE),"")</f>
        <v/>
      </c>
      <c r="AC15" s="297" t="str">
        <f>IFERROR(VLOOKUP(TableHandbook[[#This Row],[UDC]],TableSTRPINTRN[],7,FALSE),"")</f>
        <v/>
      </c>
      <c r="AD15" s="184" t="str">
        <f>IFERROR(VLOOKUP(TableHandbook[[#This Row],[UDC]],TableGCGLOBL[],7,FALSE),"")</f>
        <v/>
      </c>
      <c r="AE15" s="183" t="str">
        <f>IFERROR(VLOOKUP(TableHandbook[[#This Row],[UDC]],TableMCNETSCM[],7,FALSE),"")</f>
        <v/>
      </c>
      <c r="AF15" s="118" t="str">
        <f>IFERROR(VLOOKUP(TableHandbook[[#This Row],[UDC]],TableGDNETSCM[],7,FALSE),"")</f>
        <v/>
      </c>
      <c r="AG15" s="184" t="str">
        <f>IFERROR(VLOOKUP(TableHandbook[[#This Row],[UDC]],TableGCNETSCM[],7,FALSE),"")</f>
        <v/>
      </c>
      <c r="AH15" s="183" t="str">
        <f>IFERROR(VLOOKUP(TableHandbook[[#This Row],[UDC]],TableMCINTRNS[],7,FALSE),"")</f>
        <v/>
      </c>
      <c r="AI15" s="118" t="str">
        <f>IFERROR(VLOOKUP(TableHandbook[[#This Row],[UDC]],TableGDINTRNS[],7,FALSE),"")</f>
        <v/>
      </c>
      <c r="AJ15" s="184" t="str">
        <f>IFERROR(VLOOKUP(TableHandbook[[#This Row],[UDC]],TableGCINTRNS[],7,FALSE),"")</f>
        <v/>
      </c>
    </row>
    <row r="16" spans="1:36" x14ac:dyDescent="0.25">
      <c r="A16" s="6" t="s">
        <v>240</v>
      </c>
      <c r="B16" s="7">
        <v>0</v>
      </c>
      <c r="C16" s="6"/>
      <c r="D16" s="6" t="s">
        <v>356</v>
      </c>
      <c r="E16" s="7">
        <v>50</v>
      </c>
      <c r="F16" s="186" t="s">
        <v>354</v>
      </c>
      <c r="G16" s="75" t="str">
        <f>IFERROR(IF(VLOOKUP(TableHandbook[[#This Row],[UDC]],TableAvailabilities[],2,FALSE)&gt;0,"Y",""),"")</f>
        <v>Y</v>
      </c>
      <c r="H16" s="116" t="str">
        <f>IFERROR(IF(VLOOKUP(TableHandbook[[#This Row],[UDC]],TableAvailabilities[],3,FALSE)&gt;0,"Y",""),"")</f>
        <v>Y</v>
      </c>
      <c r="I16" s="117" t="str">
        <f>IFERROR(IF(VLOOKUP(TableHandbook[[#This Row],[UDC]],TableAvailabilities[],4,FALSE)&gt;0,"Y",""),"")</f>
        <v>Y</v>
      </c>
      <c r="J16" s="76" t="str">
        <f>IFERROR(IF(VLOOKUP(TableHandbook[[#This Row],[UDC]],TableAvailabilities[],5,FALSE)&gt;0,"Y",""),"")</f>
        <v>Y</v>
      </c>
      <c r="K16" s="289"/>
      <c r="L16" s="183" t="str">
        <f>IFERROR(VLOOKUP(TableHandbook[[#This Row],[UDC]],TableMCARTS[],7,FALSE),"")</f>
        <v/>
      </c>
      <c r="M16" s="118" t="str">
        <f>IFERROR(VLOOKUP(TableHandbook[[#This Row],[UDC]],TableMJRPCWRIT[],7,FALSE),"")</f>
        <v/>
      </c>
      <c r="N16" s="118" t="str">
        <f>IFERROR(VLOOKUP(TableHandbook[[#This Row],[UDC]],TableMJRPFINAR[],7,FALSE),"")</f>
        <v/>
      </c>
      <c r="O16" s="118" t="str">
        <f>IFERROR(VLOOKUP(TableHandbook[[#This Row],[UDC]],TableMJRPPWRIT[],7,FALSE),"")</f>
        <v/>
      </c>
      <c r="P16" s="184" t="str">
        <f>IFERROR(VLOOKUP(TableHandbook[[#This Row],[UDC]],TableMJRPSCRAR[],7,FALSE),"")</f>
        <v/>
      </c>
      <c r="Q16" s="183" t="str">
        <f>IFERROR(VLOOKUP(TableHandbook[[#This Row],[UDC]],TableMCMMJRG[],7,FALSE),"")</f>
        <v/>
      </c>
      <c r="R16" s="118" t="str">
        <f>IFERROR(VLOOKUP(TableHandbook[[#This Row],[UDC]],TableMCMMJRN[],7,FALSE),"")</f>
        <v/>
      </c>
      <c r="S16" s="118" t="str">
        <f>IFERROR(VLOOKUP(TableHandbook[[#This Row],[UDC]],TableGDMMJRN[],7,FALSE),"")</f>
        <v/>
      </c>
      <c r="T16" s="184" t="str">
        <f>IFERROR(VLOOKUP(TableHandbook[[#This Row],[UDC]],TableGCMMJRN[],7,FALSE),"")</f>
        <v/>
      </c>
      <c r="U16" s="183" t="str">
        <f>IFERROR(VLOOKUP(TableHandbook[[#This Row],[UDC]],TableMCHRIGLO[],7,FALSE),"")</f>
        <v>AltCore</v>
      </c>
      <c r="V16" s="118" t="str">
        <f>IFERROR(VLOOKUP(TableHandbook[[#This Row],[UDC]],TableMCHRIGHT[],7,FALSE),"")</f>
        <v/>
      </c>
      <c r="W16" s="118" t="str">
        <f>IFERROR(VLOOKUP(TableHandbook[[#This Row],[UDC]],TableGDHRIGHT[],7,FALSE),"")</f>
        <v/>
      </c>
      <c r="X16" s="184" t="str">
        <f>IFERROR(VLOOKUP(TableHandbook[[#This Row],[UDC]],TableGCHRIGHT[],7,FALSE),"")</f>
        <v/>
      </c>
      <c r="Y16" s="183" t="str">
        <f>IFERROR(VLOOKUP(TableHandbook[[#This Row],[UDC]],TableMCGLOBL2[],7,FALSE),"")</f>
        <v/>
      </c>
      <c r="Z16" s="118" t="str">
        <f>IFERROR(VLOOKUP(TableHandbook[[#This Row],[UDC]],TableMCGLOBL[],7,FALSE),"")</f>
        <v/>
      </c>
      <c r="AA16" s="297" t="str">
        <f>IFERROR(VLOOKUP(TableHandbook[[#This Row],[UDC]],TableSTRPGLOBL[],7,FALSE),"")</f>
        <v/>
      </c>
      <c r="AB16" s="297" t="str">
        <f>IFERROR(VLOOKUP(TableHandbook[[#This Row],[UDC]],TableSTRPHRIGT[],7,FALSE),"")</f>
        <v/>
      </c>
      <c r="AC16" s="297" t="str">
        <f>IFERROR(VLOOKUP(TableHandbook[[#This Row],[UDC]],TableSTRPINTRN[],7,FALSE),"")</f>
        <v/>
      </c>
      <c r="AD16" s="184" t="str">
        <f>IFERROR(VLOOKUP(TableHandbook[[#This Row],[UDC]],TableGCGLOBL[],7,FALSE),"")</f>
        <v/>
      </c>
      <c r="AE16" s="183" t="str">
        <f>IFERROR(VLOOKUP(TableHandbook[[#This Row],[UDC]],TableMCNETSCM[],7,FALSE),"")</f>
        <v/>
      </c>
      <c r="AF16" s="118" t="str">
        <f>IFERROR(VLOOKUP(TableHandbook[[#This Row],[UDC]],TableGDNETSCM[],7,FALSE),"")</f>
        <v/>
      </c>
      <c r="AG16" s="184" t="str">
        <f>IFERROR(VLOOKUP(TableHandbook[[#This Row],[UDC]],TableGCNETSCM[],7,FALSE),"")</f>
        <v/>
      </c>
      <c r="AH16" s="183" t="str">
        <f>IFERROR(VLOOKUP(TableHandbook[[#This Row],[UDC]],TableMCINTRNS[],7,FALSE),"")</f>
        <v/>
      </c>
      <c r="AI16" s="118" t="str">
        <f>IFERROR(VLOOKUP(TableHandbook[[#This Row],[UDC]],TableGDINTRNS[],7,FALSE),"")</f>
        <v/>
      </c>
      <c r="AJ16" s="184" t="str">
        <f>IFERROR(VLOOKUP(TableHandbook[[#This Row],[UDC]],TableGCINTRNS[],7,FALSE),"")</f>
        <v/>
      </c>
    </row>
    <row r="17" spans="1:36" x14ac:dyDescent="0.25">
      <c r="A17" s="6" t="s">
        <v>241</v>
      </c>
      <c r="B17" s="7">
        <v>0</v>
      </c>
      <c r="C17" s="6"/>
      <c r="D17" s="6" t="s">
        <v>357</v>
      </c>
      <c r="E17" s="7">
        <v>50</v>
      </c>
      <c r="F17" s="186" t="s">
        <v>354</v>
      </c>
      <c r="G17" s="75" t="str">
        <f>IFERROR(IF(VLOOKUP(TableHandbook[[#This Row],[UDC]],TableAvailabilities[],2,FALSE)&gt;0,"Y",""),"")</f>
        <v>Y</v>
      </c>
      <c r="H17" s="116" t="str">
        <f>IFERROR(IF(VLOOKUP(TableHandbook[[#This Row],[UDC]],TableAvailabilities[],3,FALSE)&gt;0,"Y",""),"")</f>
        <v>Y</v>
      </c>
      <c r="I17" s="117" t="str">
        <f>IFERROR(IF(VLOOKUP(TableHandbook[[#This Row],[UDC]],TableAvailabilities[],4,FALSE)&gt;0,"Y",""),"")</f>
        <v>Y</v>
      </c>
      <c r="J17" s="76" t="str">
        <f>IFERROR(IF(VLOOKUP(TableHandbook[[#This Row],[UDC]],TableAvailabilities[],5,FALSE)&gt;0,"Y",""),"")</f>
        <v>Y</v>
      </c>
      <c r="K17" s="289"/>
      <c r="L17" s="183" t="str">
        <f>IFERROR(VLOOKUP(TableHandbook[[#This Row],[UDC]],TableMCARTS[],7,FALSE),"")</f>
        <v/>
      </c>
      <c r="M17" s="118" t="str">
        <f>IFERROR(VLOOKUP(TableHandbook[[#This Row],[UDC]],TableMJRPCWRIT[],7,FALSE),"")</f>
        <v/>
      </c>
      <c r="N17" s="118" t="str">
        <f>IFERROR(VLOOKUP(TableHandbook[[#This Row],[UDC]],TableMJRPFINAR[],7,FALSE),"")</f>
        <v/>
      </c>
      <c r="O17" s="118" t="str">
        <f>IFERROR(VLOOKUP(TableHandbook[[#This Row],[UDC]],TableMJRPPWRIT[],7,FALSE),"")</f>
        <v/>
      </c>
      <c r="P17" s="184" t="str">
        <f>IFERROR(VLOOKUP(TableHandbook[[#This Row],[UDC]],TableMJRPSCRAR[],7,FALSE),"")</f>
        <v/>
      </c>
      <c r="Q17" s="183" t="str">
        <f>IFERROR(VLOOKUP(TableHandbook[[#This Row],[UDC]],TableMCMMJRG[],7,FALSE),"")</f>
        <v/>
      </c>
      <c r="R17" s="118" t="str">
        <f>IFERROR(VLOOKUP(TableHandbook[[#This Row],[UDC]],TableMCMMJRN[],7,FALSE),"")</f>
        <v/>
      </c>
      <c r="S17" s="118" t="str">
        <f>IFERROR(VLOOKUP(TableHandbook[[#This Row],[UDC]],TableGDMMJRN[],7,FALSE),"")</f>
        <v/>
      </c>
      <c r="T17" s="184" t="str">
        <f>IFERROR(VLOOKUP(TableHandbook[[#This Row],[UDC]],TableGCMMJRN[],7,FALSE),"")</f>
        <v/>
      </c>
      <c r="U17" s="183" t="str">
        <f>IFERROR(VLOOKUP(TableHandbook[[#This Row],[UDC]],TableMCHRIGLO[],7,FALSE),"")</f>
        <v>AltCore</v>
      </c>
      <c r="V17" s="118" t="str">
        <f>IFERROR(VLOOKUP(TableHandbook[[#This Row],[UDC]],TableMCHRIGHT[],7,FALSE),"")</f>
        <v/>
      </c>
      <c r="W17" s="118" t="str">
        <f>IFERROR(VLOOKUP(TableHandbook[[#This Row],[UDC]],TableGDHRIGHT[],7,FALSE),"")</f>
        <v/>
      </c>
      <c r="X17" s="184" t="str">
        <f>IFERROR(VLOOKUP(TableHandbook[[#This Row],[UDC]],TableGCHRIGHT[],7,FALSE),"")</f>
        <v/>
      </c>
      <c r="Y17" s="183" t="str">
        <f>IFERROR(VLOOKUP(TableHandbook[[#This Row],[UDC]],TableMCGLOBL2[],7,FALSE),"")</f>
        <v/>
      </c>
      <c r="Z17" s="118" t="str">
        <f>IFERROR(VLOOKUP(TableHandbook[[#This Row],[UDC]],TableMCGLOBL[],7,FALSE),"")</f>
        <v/>
      </c>
      <c r="AA17" s="297" t="str">
        <f>IFERROR(VLOOKUP(TableHandbook[[#This Row],[UDC]],TableSTRPGLOBL[],7,FALSE),"")</f>
        <v/>
      </c>
      <c r="AB17" s="297" t="str">
        <f>IFERROR(VLOOKUP(TableHandbook[[#This Row],[UDC]],TableSTRPHRIGT[],7,FALSE),"")</f>
        <v/>
      </c>
      <c r="AC17" s="297" t="str">
        <f>IFERROR(VLOOKUP(TableHandbook[[#This Row],[UDC]],TableSTRPINTRN[],7,FALSE),"")</f>
        <v/>
      </c>
      <c r="AD17" s="184" t="str">
        <f>IFERROR(VLOOKUP(TableHandbook[[#This Row],[UDC]],TableGCGLOBL[],7,FALSE),"")</f>
        <v/>
      </c>
      <c r="AE17" s="183" t="str">
        <f>IFERROR(VLOOKUP(TableHandbook[[#This Row],[UDC]],TableMCNETSCM[],7,FALSE),"")</f>
        <v/>
      </c>
      <c r="AF17" s="118" t="str">
        <f>IFERROR(VLOOKUP(TableHandbook[[#This Row],[UDC]],TableGDNETSCM[],7,FALSE),"")</f>
        <v/>
      </c>
      <c r="AG17" s="184" t="str">
        <f>IFERROR(VLOOKUP(TableHandbook[[#This Row],[UDC]],TableGCNETSCM[],7,FALSE),"")</f>
        <v/>
      </c>
      <c r="AH17" s="183" t="str">
        <f>IFERROR(VLOOKUP(TableHandbook[[#This Row],[UDC]],TableMCINTRNS[],7,FALSE),"")</f>
        <v/>
      </c>
      <c r="AI17" s="118" t="str">
        <f>IFERROR(VLOOKUP(TableHandbook[[#This Row],[UDC]],TableGDINTRNS[],7,FALSE),"")</f>
        <v/>
      </c>
      <c r="AJ17" s="184" t="str">
        <f>IFERROR(VLOOKUP(TableHandbook[[#This Row],[UDC]],TableGCINTRNS[],7,FALSE),"")</f>
        <v/>
      </c>
    </row>
    <row r="18" spans="1:36" x14ac:dyDescent="0.25">
      <c r="A18" s="6" t="s">
        <v>311</v>
      </c>
      <c r="B18" s="7">
        <v>0</v>
      </c>
      <c r="C18" s="6"/>
      <c r="D18" s="6" t="s">
        <v>358</v>
      </c>
      <c r="E18" s="7">
        <v>25</v>
      </c>
      <c r="F18" s="186" t="s">
        <v>354</v>
      </c>
      <c r="G18" s="75" t="str">
        <f>IFERROR(IF(VLOOKUP(TableHandbook[[#This Row],[UDC]],TableAvailabilities[],2,FALSE)&gt;0,"Y",""),"")</f>
        <v/>
      </c>
      <c r="H18" s="116" t="str">
        <f>IFERROR(IF(VLOOKUP(TableHandbook[[#This Row],[UDC]],TableAvailabilities[],3,FALSE)&gt;0,"Y",""),"")</f>
        <v/>
      </c>
      <c r="I18" s="117" t="str">
        <f>IFERROR(IF(VLOOKUP(TableHandbook[[#This Row],[UDC]],TableAvailabilities[],4,FALSE)&gt;0,"Y",""),"")</f>
        <v/>
      </c>
      <c r="J18" s="76" t="str">
        <f>IFERROR(IF(VLOOKUP(TableHandbook[[#This Row],[UDC]],TableAvailabilities[],5,FALSE)&gt;0,"Y",""),"")</f>
        <v/>
      </c>
      <c r="K18" s="289"/>
      <c r="L18" s="183" t="str">
        <f>IFERROR(VLOOKUP(TableHandbook[[#This Row],[UDC]],TableMCARTS[],7,FALSE),"")</f>
        <v/>
      </c>
      <c r="M18" s="118" t="str">
        <f>IFERROR(VLOOKUP(TableHandbook[[#This Row],[UDC]],TableMJRPCWRIT[],7,FALSE),"")</f>
        <v/>
      </c>
      <c r="N18" s="118" t="str">
        <f>IFERROR(VLOOKUP(TableHandbook[[#This Row],[UDC]],TableMJRPFINAR[],7,FALSE),"")</f>
        <v/>
      </c>
      <c r="O18" s="118" t="str">
        <f>IFERROR(VLOOKUP(TableHandbook[[#This Row],[UDC]],TableMJRPPWRIT[],7,FALSE),"")</f>
        <v/>
      </c>
      <c r="P18" s="184" t="str">
        <f>IFERROR(VLOOKUP(TableHandbook[[#This Row],[UDC]],TableMJRPSCRAR[],7,FALSE),"")</f>
        <v/>
      </c>
      <c r="Q18" s="183" t="str">
        <f>IFERROR(VLOOKUP(TableHandbook[[#This Row],[UDC]],TableMCMMJRG[],7,FALSE),"")</f>
        <v/>
      </c>
      <c r="R18" s="118" t="str">
        <f>IFERROR(VLOOKUP(TableHandbook[[#This Row],[UDC]],TableMCMMJRN[],7,FALSE),"")</f>
        <v/>
      </c>
      <c r="S18" s="118" t="str">
        <f>IFERROR(VLOOKUP(TableHandbook[[#This Row],[UDC]],TableGDMMJRN[],7,FALSE),"")</f>
        <v/>
      </c>
      <c r="T18" s="184" t="str">
        <f>IFERROR(VLOOKUP(TableHandbook[[#This Row],[UDC]],TableGCMMJRN[],7,FALSE),"")</f>
        <v/>
      </c>
      <c r="U18" s="183" t="str">
        <f>IFERROR(VLOOKUP(TableHandbook[[#This Row],[UDC]],TableMCHRIGLO[],7,FALSE),"")</f>
        <v/>
      </c>
      <c r="V18" s="118" t="str">
        <f>IFERROR(VLOOKUP(TableHandbook[[#This Row],[UDC]],TableMCHRIGHT[],7,FALSE),"")</f>
        <v/>
      </c>
      <c r="W18" s="118" t="str">
        <f>IFERROR(VLOOKUP(TableHandbook[[#This Row],[UDC]],TableGDHRIGHT[],7,FALSE),"")</f>
        <v/>
      </c>
      <c r="X18" s="184" t="str">
        <f>IFERROR(VLOOKUP(TableHandbook[[#This Row],[UDC]],TableGCHRIGHT[],7,FALSE),"")</f>
        <v/>
      </c>
      <c r="Y18" s="183" t="str">
        <f>IFERROR(VLOOKUP(TableHandbook[[#This Row],[UDC]],TableMCGLOBL2[],7,FALSE),"")</f>
        <v/>
      </c>
      <c r="Z18" s="118" t="str">
        <f>IFERROR(VLOOKUP(TableHandbook[[#This Row],[UDC]],TableMCGLOBL[],7,FALSE),"")</f>
        <v/>
      </c>
      <c r="AA18" s="297" t="str">
        <f>IFERROR(VLOOKUP(TableHandbook[[#This Row],[UDC]],TableSTRPGLOBL[],7,FALSE),"")</f>
        <v/>
      </c>
      <c r="AB18" s="297" t="str">
        <f>IFERROR(VLOOKUP(TableHandbook[[#This Row],[UDC]],TableSTRPHRIGT[],7,FALSE),"")</f>
        <v/>
      </c>
      <c r="AC18" s="297" t="str">
        <f>IFERROR(VLOOKUP(TableHandbook[[#This Row],[UDC]],TableSTRPINTRN[],7,FALSE),"")</f>
        <v/>
      </c>
      <c r="AD18" s="184" t="str">
        <f>IFERROR(VLOOKUP(TableHandbook[[#This Row],[UDC]],TableGCGLOBL[],7,FALSE),"")</f>
        <v/>
      </c>
      <c r="AE18" s="183" t="str">
        <f>IFERROR(VLOOKUP(TableHandbook[[#This Row],[UDC]],TableMCNETSCM[],7,FALSE),"")</f>
        <v/>
      </c>
      <c r="AF18" s="118" t="str">
        <f>IFERROR(VLOOKUP(TableHandbook[[#This Row],[UDC]],TableGDNETSCM[],7,FALSE),"")</f>
        <v/>
      </c>
      <c r="AG18" s="184" t="str">
        <f>IFERROR(VLOOKUP(TableHandbook[[#This Row],[UDC]],TableGCNETSCM[],7,FALSE),"")</f>
        <v/>
      </c>
      <c r="AH18" s="183" t="str">
        <f>IFERROR(VLOOKUP(TableHandbook[[#This Row],[UDC]],TableMCINTRNS[],7,FALSE),"")</f>
        <v>AltCore</v>
      </c>
      <c r="AI18" s="118" t="str">
        <f>IFERROR(VLOOKUP(TableHandbook[[#This Row],[UDC]],TableGDINTRNS[],7,FALSE),"")</f>
        <v>AltCore</v>
      </c>
      <c r="AJ18" s="184" t="str">
        <f>IFERROR(VLOOKUP(TableHandbook[[#This Row],[UDC]],TableGCINTRNS[],7,FALSE),"")</f>
        <v/>
      </c>
    </row>
    <row r="19" spans="1:36" x14ac:dyDescent="0.25">
      <c r="A19" s="6" t="s">
        <v>310</v>
      </c>
      <c r="B19" s="7">
        <v>1</v>
      </c>
      <c r="C19" s="6"/>
      <c r="D19" s="6" t="s">
        <v>359</v>
      </c>
      <c r="E19" s="7">
        <v>25</v>
      </c>
      <c r="F19" s="186" t="s">
        <v>354</v>
      </c>
      <c r="G19" s="75" t="str">
        <f>IFERROR(IF(VLOOKUP(TableHandbook[[#This Row],[UDC]],TableAvailabilities[],2,FALSE)&gt;0,"Y",""),"")</f>
        <v/>
      </c>
      <c r="H19" s="116" t="str">
        <f>IFERROR(IF(VLOOKUP(TableHandbook[[#This Row],[UDC]],TableAvailabilities[],3,FALSE)&gt;0,"Y",""),"")</f>
        <v/>
      </c>
      <c r="I19" s="117" t="str">
        <f>IFERROR(IF(VLOOKUP(TableHandbook[[#This Row],[UDC]],TableAvailabilities[],4,FALSE)&gt;0,"Y",""),"")</f>
        <v/>
      </c>
      <c r="J19" s="76" t="str">
        <f>IFERROR(IF(VLOOKUP(TableHandbook[[#This Row],[UDC]],TableAvailabilities[],5,FALSE)&gt;0,"Y",""),"")</f>
        <v/>
      </c>
      <c r="K19" s="289"/>
      <c r="L19" s="183" t="str">
        <f>IFERROR(VLOOKUP(TableHandbook[[#This Row],[UDC]],TableMCARTS[],7,FALSE),"")</f>
        <v/>
      </c>
      <c r="M19" s="118" t="str">
        <f>IFERROR(VLOOKUP(TableHandbook[[#This Row],[UDC]],TableMJRPCWRIT[],7,FALSE),"")</f>
        <v/>
      </c>
      <c r="N19" s="118" t="str">
        <f>IFERROR(VLOOKUP(TableHandbook[[#This Row],[UDC]],TableMJRPFINAR[],7,FALSE),"")</f>
        <v/>
      </c>
      <c r="O19" s="118" t="str">
        <f>IFERROR(VLOOKUP(TableHandbook[[#This Row],[UDC]],TableMJRPPWRIT[],7,FALSE),"")</f>
        <v/>
      </c>
      <c r="P19" s="184" t="str">
        <f>IFERROR(VLOOKUP(TableHandbook[[#This Row],[UDC]],TableMJRPSCRAR[],7,FALSE),"")</f>
        <v/>
      </c>
      <c r="Q19" s="183" t="str">
        <f>IFERROR(VLOOKUP(TableHandbook[[#This Row],[UDC]],TableMCMMJRG[],7,FALSE),"")</f>
        <v/>
      </c>
      <c r="R19" s="118" t="str">
        <f>IFERROR(VLOOKUP(TableHandbook[[#This Row],[UDC]],TableMCMMJRN[],7,FALSE),"")</f>
        <v/>
      </c>
      <c r="S19" s="118" t="str">
        <f>IFERROR(VLOOKUP(TableHandbook[[#This Row],[UDC]],TableGDMMJRN[],7,FALSE),"")</f>
        <v/>
      </c>
      <c r="T19" s="184" t="str">
        <f>IFERROR(VLOOKUP(TableHandbook[[#This Row],[UDC]],TableGCMMJRN[],7,FALSE),"")</f>
        <v/>
      </c>
      <c r="U19" s="183" t="str">
        <f>IFERROR(VLOOKUP(TableHandbook[[#This Row],[UDC]],TableMCHRIGLO[],7,FALSE),"")</f>
        <v/>
      </c>
      <c r="V19" s="118" t="str">
        <f>IFERROR(VLOOKUP(TableHandbook[[#This Row],[UDC]],TableMCHRIGHT[],7,FALSE),"")</f>
        <v/>
      </c>
      <c r="W19" s="118" t="str">
        <f>IFERROR(VLOOKUP(TableHandbook[[#This Row],[UDC]],TableGDHRIGHT[],7,FALSE),"")</f>
        <v/>
      </c>
      <c r="X19" s="184" t="str">
        <f>IFERROR(VLOOKUP(TableHandbook[[#This Row],[UDC]],TableGCHRIGHT[],7,FALSE),"")</f>
        <v/>
      </c>
      <c r="Y19" s="183" t="str">
        <f>IFERROR(VLOOKUP(TableHandbook[[#This Row],[UDC]],TableMCGLOBL2[],7,FALSE),"")</f>
        <v/>
      </c>
      <c r="Z19" s="118" t="str">
        <f>IFERROR(VLOOKUP(TableHandbook[[#This Row],[UDC]],TableMCGLOBL[],7,FALSE),"")</f>
        <v/>
      </c>
      <c r="AA19" s="297" t="str">
        <f>IFERROR(VLOOKUP(TableHandbook[[#This Row],[UDC]],TableSTRPGLOBL[],7,FALSE),"")</f>
        <v/>
      </c>
      <c r="AB19" s="297" t="str">
        <f>IFERROR(VLOOKUP(TableHandbook[[#This Row],[UDC]],TableSTRPHRIGT[],7,FALSE),"")</f>
        <v/>
      </c>
      <c r="AC19" s="297" t="str">
        <f>IFERROR(VLOOKUP(TableHandbook[[#This Row],[UDC]],TableSTRPINTRN[],7,FALSE),"")</f>
        <v/>
      </c>
      <c r="AD19" s="184" t="str">
        <f>IFERROR(VLOOKUP(TableHandbook[[#This Row],[UDC]],TableGCGLOBL[],7,FALSE),"")</f>
        <v/>
      </c>
      <c r="AE19" s="183" t="str">
        <f>IFERROR(VLOOKUP(TableHandbook[[#This Row],[UDC]],TableMCNETSCM[],7,FALSE),"")</f>
        <v/>
      </c>
      <c r="AF19" s="118" t="str">
        <f>IFERROR(VLOOKUP(TableHandbook[[#This Row],[UDC]],TableGDNETSCM[],7,FALSE),"")</f>
        <v/>
      </c>
      <c r="AG19" s="184" t="str">
        <f>IFERROR(VLOOKUP(TableHandbook[[#This Row],[UDC]],TableGCNETSCM[],7,FALSE),"")</f>
        <v/>
      </c>
      <c r="AH19" s="183" t="str">
        <f>IFERROR(VLOOKUP(TableHandbook[[#This Row],[UDC]],TableMCINTRNS[],7,FALSE),"")</f>
        <v/>
      </c>
      <c r="AI19" s="118" t="str">
        <f>IFERROR(VLOOKUP(TableHandbook[[#This Row],[UDC]],TableGDINTRNS[],7,FALSE),"")</f>
        <v/>
      </c>
      <c r="AJ19" s="184" t="str">
        <f>IFERROR(VLOOKUP(TableHandbook[[#This Row],[UDC]],TableGCINTRNS[],7,FALSE),"")</f>
        <v>AltCore</v>
      </c>
    </row>
    <row r="20" spans="1:36" x14ac:dyDescent="0.25">
      <c r="A20" s="6" t="s">
        <v>331</v>
      </c>
      <c r="B20" s="7">
        <v>0</v>
      </c>
      <c r="C20" s="6"/>
      <c r="D20" s="6" t="s">
        <v>359</v>
      </c>
      <c r="E20" s="7">
        <v>25</v>
      </c>
      <c r="F20" s="186" t="s">
        <v>354</v>
      </c>
      <c r="G20" s="75" t="str">
        <f>IFERROR(IF(VLOOKUP(TableHandbook[[#This Row],[UDC]],TableAvailabilities[],2,FALSE)&gt;0,"Y",""),"")</f>
        <v/>
      </c>
      <c r="H20" s="116" t="str">
        <f>IFERROR(IF(VLOOKUP(TableHandbook[[#This Row],[UDC]],TableAvailabilities[],3,FALSE)&gt;0,"Y",""),"")</f>
        <v/>
      </c>
      <c r="I20" s="117" t="str">
        <f>IFERROR(IF(VLOOKUP(TableHandbook[[#This Row],[UDC]],TableAvailabilities[],4,FALSE)&gt;0,"Y",""),"")</f>
        <v/>
      </c>
      <c r="J20" s="76" t="str">
        <f>IFERROR(IF(VLOOKUP(TableHandbook[[#This Row],[UDC]],TableAvailabilities[],5,FALSE)&gt;0,"Y",""),"")</f>
        <v/>
      </c>
      <c r="K20" s="289"/>
      <c r="L20" s="183" t="str">
        <f>IFERROR(VLOOKUP(TableHandbook[[#This Row],[UDC]],TableMCARTS[],7,FALSE),"")</f>
        <v/>
      </c>
      <c r="M20" s="118" t="str">
        <f>IFERROR(VLOOKUP(TableHandbook[[#This Row],[UDC]],TableMJRPCWRIT[],7,FALSE),"")</f>
        <v/>
      </c>
      <c r="N20" s="118" t="str">
        <f>IFERROR(VLOOKUP(TableHandbook[[#This Row],[UDC]],TableMJRPFINAR[],7,FALSE),"")</f>
        <v/>
      </c>
      <c r="O20" s="118" t="str">
        <f>IFERROR(VLOOKUP(TableHandbook[[#This Row],[UDC]],TableMJRPPWRIT[],7,FALSE),"")</f>
        <v/>
      </c>
      <c r="P20" s="184" t="str">
        <f>IFERROR(VLOOKUP(TableHandbook[[#This Row],[UDC]],TableMJRPSCRAR[],7,FALSE),"")</f>
        <v/>
      </c>
      <c r="Q20" s="183" t="str">
        <f>IFERROR(VLOOKUP(TableHandbook[[#This Row],[UDC]],TableMCMMJRG[],7,FALSE),"")</f>
        <v/>
      </c>
      <c r="R20" s="118" t="str">
        <f>IFERROR(VLOOKUP(TableHandbook[[#This Row],[UDC]],TableMCMMJRN[],7,FALSE),"")</f>
        <v/>
      </c>
      <c r="S20" s="118" t="str">
        <f>IFERROR(VLOOKUP(TableHandbook[[#This Row],[UDC]],TableGDMMJRN[],7,FALSE),"")</f>
        <v/>
      </c>
      <c r="T20" s="184" t="str">
        <f>IFERROR(VLOOKUP(TableHandbook[[#This Row],[UDC]],TableGCMMJRN[],7,FALSE),"")</f>
        <v/>
      </c>
      <c r="U20" s="183" t="str">
        <f>IFERROR(VLOOKUP(TableHandbook[[#This Row],[UDC]],TableMCHRIGLO[],7,FALSE),"")</f>
        <v/>
      </c>
      <c r="V20" s="118" t="str">
        <f>IFERROR(VLOOKUP(TableHandbook[[#This Row],[UDC]],TableMCHRIGHT[],7,FALSE),"")</f>
        <v/>
      </c>
      <c r="W20" s="118" t="str">
        <f>IFERROR(VLOOKUP(TableHandbook[[#This Row],[UDC]],TableGDHRIGHT[],7,FALSE),"")</f>
        <v/>
      </c>
      <c r="X20" s="184" t="str">
        <f>IFERROR(VLOOKUP(TableHandbook[[#This Row],[UDC]],TableGCHRIGHT[],7,FALSE),"")</f>
        <v/>
      </c>
      <c r="Y20" s="183" t="str">
        <f>IFERROR(VLOOKUP(TableHandbook[[#This Row],[UDC]],TableMCGLOBL2[],7,FALSE),"")</f>
        <v/>
      </c>
      <c r="Z20" s="118" t="str">
        <f>IFERROR(VLOOKUP(TableHandbook[[#This Row],[UDC]],TableMCGLOBL[],7,FALSE),"")</f>
        <v/>
      </c>
      <c r="AA20" s="297" t="str">
        <f>IFERROR(VLOOKUP(TableHandbook[[#This Row],[UDC]],TableSTRPGLOBL[],7,FALSE),"")</f>
        <v/>
      </c>
      <c r="AB20" s="297" t="str">
        <f>IFERROR(VLOOKUP(TableHandbook[[#This Row],[UDC]],TableSTRPHRIGT[],7,FALSE),"")</f>
        <v/>
      </c>
      <c r="AC20" s="297" t="str">
        <f>IFERROR(VLOOKUP(TableHandbook[[#This Row],[UDC]],TableSTRPINTRN[],7,FALSE),"")</f>
        <v>AltCore</v>
      </c>
      <c r="AD20" s="184" t="str">
        <f>IFERROR(VLOOKUP(TableHandbook[[#This Row],[UDC]],TableGCGLOBL[],7,FALSE),"")</f>
        <v/>
      </c>
      <c r="AE20" s="183" t="str">
        <f>IFERROR(VLOOKUP(TableHandbook[[#This Row],[UDC]],TableMCNETSCM[],7,FALSE),"")</f>
        <v/>
      </c>
      <c r="AF20" s="118" t="str">
        <f>IFERROR(VLOOKUP(TableHandbook[[#This Row],[UDC]],TableGDNETSCM[],7,FALSE),"")</f>
        <v/>
      </c>
      <c r="AG20" s="184" t="str">
        <f>IFERROR(VLOOKUP(TableHandbook[[#This Row],[UDC]],TableGCNETSCM[],7,FALSE),"")</f>
        <v/>
      </c>
      <c r="AH20" s="183" t="str">
        <f>IFERROR(VLOOKUP(TableHandbook[[#This Row],[UDC]],TableMCINTRNS[],7,FALSE),"")</f>
        <v/>
      </c>
      <c r="AI20" s="118" t="str">
        <f>IFERROR(VLOOKUP(TableHandbook[[#This Row],[UDC]],TableGDINTRNS[],7,FALSE),"")</f>
        <v/>
      </c>
      <c r="AJ20" s="184" t="str">
        <f>IFERROR(VLOOKUP(TableHandbook[[#This Row],[UDC]],TableGCINTRNS[],7,FALSE),"")</f>
        <v/>
      </c>
    </row>
    <row r="21" spans="1:36" x14ac:dyDescent="0.25">
      <c r="A21" s="6" t="s">
        <v>269</v>
      </c>
      <c r="B21" s="7">
        <v>0</v>
      </c>
      <c r="C21" s="6"/>
      <c r="D21" s="6" t="s">
        <v>360</v>
      </c>
      <c r="E21" s="7">
        <v>25</v>
      </c>
      <c r="F21" s="186" t="s">
        <v>354</v>
      </c>
      <c r="G21" s="75" t="str">
        <f>IFERROR(IF(VLOOKUP(TableHandbook[[#This Row],[UDC]],TableAvailabilities[],2,FALSE)&gt;0,"Y",""),"")</f>
        <v/>
      </c>
      <c r="H21" s="116" t="str">
        <f>IFERROR(IF(VLOOKUP(TableHandbook[[#This Row],[UDC]],TableAvailabilities[],3,FALSE)&gt;0,"Y",""),"")</f>
        <v/>
      </c>
      <c r="I21" s="117" t="str">
        <f>IFERROR(IF(VLOOKUP(TableHandbook[[#This Row],[UDC]],TableAvailabilities[],4,FALSE)&gt;0,"Y",""),"")</f>
        <v/>
      </c>
      <c r="J21" s="76" t="str">
        <f>IFERROR(IF(VLOOKUP(TableHandbook[[#This Row],[UDC]],TableAvailabilities[],5,FALSE)&gt;0,"Y",""),"")</f>
        <v/>
      </c>
      <c r="K21" s="289"/>
      <c r="L21" s="183" t="str">
        <f>IFERROR(VLOOKUP(TableHandbook[[#This Row],[UDC]],TableMCARTS[],7,FALSE),"")</f>
        <v/>
      </c>
      <c r="M21" s="118" t="str">
        <f>IFERROR(VLOOKUP(TableHandbook[[#This Row],[UDC]],TableMJRPCWRIT[],7,FALSE),"")</f>
        <v/>
      </c>
      <c r="N21" s="118" t="str">
        <f>IFERROR(VLOOKUP(TableHandbook[[#This Row],[UDC]],TableMJRPFINAR[],7,FALSE),"")</f>
        <v/>
      </c>
      <c r="O21" s="118" t="str">
        <f>IFERROR(VLOOKUP(TableHandbook[[#This Row],[UDC]],TableMJRPPWRIT[],7,FALSE),"")</f>
        <v/>
      </c>
      <c r="P21" s="184" t="str">
        <f>IFERROR(VLOOKUP(TableHandbook[[#This Row],[UDC]],TableMJRPSCRAR[],7,FALSE),"")</f>
        <v/>
      </c>
      <c r="Q21" s="183" t="str">
        <f>IFERROR(VLOOKUP(TableHandbook[[#This Row],[UDC]],TableMCMMJRG[],7,FALSE),"")</f>
        <v>AltCore</v>
      </c>
      <c r="R21" s="118" t="str">
        <f>IFERROR(VLOOKUP(TableHandbook[[#This Row],[UDC]],TableMCMMJRN[],7,FALSE),"")</f>
        <v/>
      </c>
      <c r="S21" s="118" t="str">
        <f>IFERROR(VLOOKUP(TableHandbook[[#This Row],[UDC]],TableGDMMJRN[],7,FALSE),"")</f>
        <v/>
      </c>
      <c r="T21" s="184" t="str">
        <f>IFERROR(VLOOKUP(TableHandbook[[#This Row],[UDC]],TableGCMMJRN[],7,FALSE),"")</f>
        <v/>
      </c>
      <c r="U21" s="183" t="str">
        <f>IFERROR(VLOOKUP(TableHandbook[[#This Row],[UDC]],TableMCHRIGLO[],7,FALSE),"")</f>
        <v/>
      </c>
      <c r="V21" s="118" t="str">
        <f>IFERROR(VLOOKUP(TableHandbook[[#This Row],[UDC]],TableMCHRIGHT[],7,FALSE),"")</f>
        <v/>
      </c>
      <c r="W21" s="118" t="str">
        <f>IFERROR(VLOOKUP(TableHandbook[[#This Row],[UDC]],TableGDHRIGHT[],7,FALSE),"")</f>
        <v/>
      </c>
      <c r="X21" s="184" t="str">
        <f>IFERROR(VLOOKUP(TableHandbook[[#This Row],[UDC]],TableGCHRIGHT[],7,FALSE),"")</f>
        <v/>
      </c>
      <c r="Y21" s="183" t="str">
        <f>IFERROR(VLOOKUP(TableHandbook[[#This Row],[UDC]],TableMCGLOBL2[],7,FALSE),"")</f>
        <v/>
      </c>
      <c r="Z21" s="118" t="str">
        <f>IFERROR(VLOOKUP(TableHandbook[[#This Row],[UDC]],TableMCGLOBL[],7,FALSE),"")</f>
        <v/>
      </c>
      <c r="AA21" s="297" t="str">
        <f>IFERROR(VLOOKUP(TableHandbook[[#This Row],[UDC]],TableSTRPGLOBL[],7,FALSE),"")</f>
        <v/>
      </c>
      <c r="AB21" s="297" t="str">
        <f>IFERROR(VLOOKUP(TableHandbook[[#This Row],[UDC]],TableSTRPHRIGT[],7,FALSE),"")</f>
        <v/>
      </c>
      <c r="AC21" s="297" t="str">
        <f>IFERROR(VLOOKUP(TableHandbook[[#This Row],[UDC]],TableSTRPINTRN[],7,FALSE),"")</f>
        <v/>
      </c>
      <c r="AD21" s="184" t="str">
        <f>IFERROR(VLOOKUP(TableHandbook[[#This Row],[UDC]],TableGCGLOBL[],7,FALSE),"")</f>
        <v/>
      </c>
      <c r="AE21" s="183" t="str">
        <f>IFERROR(VLOOKUP(TableHandbook[[#This Row],[UDC]],TableMCNETSCM[],7,FALSE),"")</f>
        <v/>
      </c>
      <c r="AF21" s="118" t="str">
        <f>IFERROR(VLOOKUP(TableHandbook[[#This Row],[UDC]],TableGDNETSCM[],7,FALSE),"")</f>
        <v/>
      </c>
      <c r="AG21" s="184" t="str">
        <f>IFERROR(VLOOKUP(TableHandbook[[#This Row],[UDC]],TableGCNETSCM[],7,FALSE),"")</f>
        <v/>
      </c>
      <c r="AH21" s="183" t="str">
        <f>IFERROR(VLOOKUP(TableHandbook[[#This Row],[UDC]],TableMCINTRNS[],7,FALSE),"")</f>
        <v/>
      </c>
      <c r="AI21" s="118" t="str">
        <f>IFERROR(VLOOKUP(TableHandbook[[#This Row],[UDC]],TableGDINTRNS[],7,FALSE),"")</f>
        <v/>
      </c>
      <c r="AJ21" s="184" t="str">
        <f>IFERROR(VLOOKUP(TableHandbook[[#This Row],[UDC]],TableGCINTRNS[],7,FALSE),"")</f>
        <v/>
      </c>
    </row>
    <row r="22" spans="1:36" x14ac:dyDescent="0.25">
      <c r="A22" s="6" t="s">
        <v>268</v>
      </c>
      <c r="B22" s="7">
        <v>0</v>
      </c>
      <c r="C22" s="6"/>
      <c r="D22" s="6" t="s">
        <v>360</v>
      </c>
      <c r="E22" s="7">
        <v>25</v>
      </c>
      <c r="F22" s="186" t="s">
        <v>354</v>
      </c>
      <c r="G22" s="75" t="str">
        <f>IFERROR(IF(VLOOKUP(TableHandbook[[#This Row],[UDC]],TableAvailabilities[],2,FALSE)&gt;0,"Y",""),"")</f>
        <v/>
      </c>
      <c r="H22" s="116" t="str">
        <f>IFERROR(IF(VLOOKUP(TableHandbook[[#This Row],[UDC]],TableAvailabilities[],3,FALSE)&gt;0,"Y",""),"")</f>
        <v/>
      </c>
      <c r="I22" s="117" t="str">
        <f>IFERROR(IF(VLOOKUP(TableHandbook[[#This Row],[UDC]],TableAvailabilities[],4,FALSE)&gt;0,"Y",""),"")</f>
        <v/>
      </c>
      <c r="J22" s="76" t="str">
        <f>IFERROR(IF(VLOOKUP(TableHandbook[[#This Row],[UDC]],TableAvailabilities[],5,FALSE)&gt;0,"Y",""),"")</f>
        <v/>
      </c>
      <c r="K22" s="289"/>
      <c r="L22" s="183" t="str">
        <f>IFERROR(VLOOKUP(TableHandbook[[#This Row],[UDC]],TableMCARTS[],7,FALSE),"")</f>
        <v/>
      </c>
      <c r="M22" s="118" t="str">
        <f>IFERROR(VLOOKUP(TableHandbook[[#This Row],[UDC]],TableMJRPCWRIT[],7,FALSE),"")</f>
        <v/>
      </c>
      <c r="N22" s="118" t="str">
        <f>IFERROR(VLOOKUP(TableHandbook[[#This Row],[UDC]],TableMJRPFINAR[],7,FALSE),"")</f>
        <v/>
      </c>
      <c r="O22" s="118" t="str">
        <f>IFERROR(VLOOKUP(TableHandbook[[#This Row],[UDC]],TableMJRPPWRIT[],7,FALSE),"")</f>
        <v/>
      </c>
      <c r="P22" s="184" t="str">
        <f>IFERROR(VLOOKUP(TableHandbook[[#This Row],[UDC]],TableMJRPSCRAR[],7,FALSE),"")</f>
        <v/>
      </c>
      <c r="Q22" s="183" t="str">
        <f>IFERROR(VLOOKUP(TableHandbook[[#This Row],[UDC]],TableMCMMJRG[],7,FALSE),"")</f>
        <v/>
      </c>
      <c r="R22" s="118" t="str">
        <f>IFERROR(VLOOKUP(TableHandbook[[#This Row],[UDC]],TableMCMMJRN[],7,FALSE),"")</f>
        <v>AltCore</v>
      </c>
      <c r="S22" s="118" t="str">
        <f>IFERROR(VLOOKUP(TableHandbook[[#This Row],[UDC]],TableGDMMJRN[],7,FALSE),"")</f>
        <v/>
      </c>
      <c r="T22" s="184" t="str">
        <f>IFERROR(VLOOKUP(TableHandbook[[#This Row],[UDC]],TableGCMMJRN[],7,FALSE),"")</f>
        <v/>
      </c>
      <c r="U22" s="183" t="str">
        <f>IFERROR(VLOOKUP(TableHandbook[[#This Row],[UDC]],TableMCHRIGLO[],7,FALSE),"")</f>
        <v/>
      </c>
      <c r="V22" s="118" t="str">
        <f>IFERROR(VLOOKUP(TableHandbook[[#This Row],[UDC]],TableMCHRIGHT[],7,FALSE),"")</f>
        <v/>
      </c>
      <c r="W22" s="118" t="str">
        <f>IFERROR(VLOOKUP(TableHandbook[[#This Row],[UDC]],TableGDHRIGHT[],7,FALSE),"")</f>
        <v/>
      </c>
      <c r="X22" s="184" t="str">
        <f>IFERROR(VLOOKUP(TableHandbook[[#This Row],[UDC]],TableGCHRIGHT[],7,FALSE),"")</f>
        <v/>
      </c>
      <c r="Y22" s="183" t="str">
        <f>IFERROR(VLOOKUP(TableHandbook[[#This Row],[UDC]],TableMCGLOBL2[],7,FALSE),"")</f>
        <v/>
      </c>
      <c r="Z22" s="118" t="str">
        <f>IFERROR(VLOOKUP(TableHandbook[[#This Row],[UDC]],TableMCGLOBL[],7,FALSE),"")</f>
        <v/>
      </c>
      <c r="AA22" s="297" t="str">
        <f>IFERROR(VLOOKUP(TableHandbook[[#This Row],[UDC]],TableSTRPGLOBL[],7,FALSE),"")</f>
        <v/>
      </c>
      <c r="AB22" s="297" t="str">
        <f>IFERROR(VLOOKUP(TableHandbook[[#This Row],[UDC]],TableSTRPHRIGT[],7,FALSE),"")</f>
        <v/>
      </c>
      <c r="AC22" s="297" t="str">
        <f>IFERROR(VLOOKUP(TableHandbook[[#This Row],[UDC]],TableSTRPINTRN[],7,FALSE),"")</f>
        <v/>
      </c>
      <c r="AD22" s="184" t="str">
        <f>IFERROR(VLOOKUP(TableHandbook[[#This Row],[UDC]],TableGCGLOBL[],7,FALSE),"")</f>
        <v/>
      </c>
      <c r="AE22" s="183" t="str">
        <f>IFERROR(VLOOKUP(TableHandbook[[#This Row],[UDC]],TableMCNETSCM[],7,FALSE),"")</f>
        <v/>
      </c>
      <c r="AF22" s="118" t="str">
        <f>IFERROR(VLOOKUP(TableHandbook[[#This Row],[UDC]],TableGDNETSCM[],7,FALSE),"")</f>
        <v/>
      </c>
      <c r="AG22" s="184" t="str">
        <f>IFERROR(VLOOKUP(TableHandbook[[#This Row],[UDC]],TableGCNETSCM[],7,FALSE),"")</f>
        <v/>
      </c>
      <c r="AH22" s="183" t="str">
        <f>IFERROR(VLOOKUP(TableHandbook[[#This Row],[UDC]],TableMCINTRNS[],7,FALSE),"")</f>
        <v/>
      </c>
      <c r="AI22" s="118" t="str">
        <f>IFERROR(VLOOKUP(TableHandbook[[#This Row],[UDC]],TableGDINTRNS[],7,FALSE),"")</f>
        <v/>
      </c>
      <c r="AJ22" s="184" t="str">
        <f>IFERROR(VLOOKUP(TableHandbook[[#This Row],[UDC]],TableGCINTRNS[],7,FALSE),"")</f>
        <v/>
      </c>
    </row>
    <row r="23" spans="1:36" x14ac:dyDescent="0.25">
      <c r="A23" s="6" t="s">
        <v>286</v>
      </c>
      <c r="B23" s="7">
        <v>0</v>
      </c>
      <c r="C23" s="6"/>
      <c r="D23" s="6" t="s">
        <v>361</v>
      </c>
      <c r="E23" s="7">
        <v>25</v>
      </c>
      <c r="F23" s="186" t="s">
        <v>354</v>
      </c>
      <c r="G23" s="75" t="str">
        <f>IFERROR(IF(VLOOKUP(TableHandbook[[#This Row],[UDC]],TableAvailabilities[],2,FALSE)&gt;0,"Y",""),"")</f>
        <v/>
      </c>
      <c r="H23" s="116" t="str">
        <f>IFERROR(IF(VLOOKUP(TableHandbook[[#This Row],[UDC]],TableAvailabilities[],3,FALSE)&gt;0,"Y",""),"")</f>
        <v/>
      </c>
      <c r="I23" s="117" t="str">
        <f>IFERROR(IF(VLOOKUP(TableHandbook[[#This Row],[UDC]],TableAvailabilities[],4,FALSE)&gt;0,"Y",""),"")</f>
        <v/>
      </c>
      <c r="J23" s="76" t="str">
        <f>IFERROR(IF(VLOOKUP(TableHandbook[[#This Row],[UDC]],TableAvailabilities[],5,FALSE)&gt;0,"Y",""),"")</f>
        <v/>
      </c>
      <c r="K23" s="289"/>
      <c r="L23" s="183" t="str">
        <f>IFERROR(VLOOKUP(TableHandbook[[#This Row],[UDC]],TableMCARTS[],7,FALSE),"")</f>
        <v/>
      </c>
      <c r="M23" s="118" t="str">
        <f>IFERROR(VLOOKUP(TableHandbook[[#This Row],[UDC]],TableMJRPCWRIT[],7,FALSE),"")</f>
        <v/>
      </c>
      <c r="N23" s="118" t="str">
        <f>IFERROR(VLOOKUP(TableHandbook[[#This Row],[UDC]],TableMJRPFINAR[],7,FALSE),"")</f>
        <v/>
      </c>
      <c r="O23" s="118" t="str">
        <f>IFERROR(VLOOKUP(TableHandbook[[#This Row],[UDC]],TableMJRPPWRIT[],7,FALSE),"")</f>
        <v/>
      </c>
      <c r="P23" s="184" t="str">
        <f>IFERROR(VLOOKUP(TableHandbook[[#This Row],[UDC]],TableMJRPSCRAR[],7,FALSE),"")</f>
        <v/>
      </c>
      <c r="Q23" s="183" t="str">
        <f>IFERROR(VLOOKUP(TableHandbook[[#This Row],[UDC]],TableMCMMJRG[],7,FALSE),"")</f>
        <v/>
      </c>
      <c r="R23" s="118" t="str">
        <f>IFERROR(VLOOKUP(TableHandbook[[#This Row],[UDC]],TableMCMMJRN[],7,FALSE),"")</f>
        <v/>
      </c>
      <c r="S23" s="118" t="str">
        <f>IFERROR(VLOOKUP(TableHandbook[[#This Row],[UDC]],TableGDMMJRN[],7,FALSE),"")</f>
        <v/>
      </c>
      <c r="T23" s="184" t="str">
        <f>IFERROR(VLOOKUP(TableHandbook[[#This Row],[UDC]],TableGCMMJRN[],7,FALSE),"")</f>
        <v/>
      </c>
      <c r="U23" s="183" t="str">
        <f>IFERROR(VLOOKUP(TableHandbook[[#This Row],[UDC]],TableMCHRIGLO[],7,FALSE),"")</f>
        <v/>
      </c>
      <c r="V23" s="118" t="str">
        <f>IFERROR(VLOOKUP(TableHandbook[[#This Row],[UDC]],TableMCHRIGHT[],7,FALSE),"")</f>
        <v/>
      </c>
      <c r="W23" s="118" t="str">
        <f>IFERROR(VLOOKUP(TableHandbook[[#This Row],[UDC]],TableGDHRIGHT[],7,FALSE),"")</f>
        <v/>
      </c>
      <c r="X23" s="184" t="str">
        <f>IFERROR(VLOOKUP(TableHandbook[[#This Row],[UDC]],TableGCHRIGHT[],7,FALSE),"")</f>
        <v/>
      </c>
      <c r="Y23" s="183" t="str">
        <f>IFERROR(VLOOKUP(TableHandbook[[#This Row],[UDC]],TableMCGLOBL2[],7,FALSE),"")</f>
        <v/>
      </c>
      <c r="Z23" s="118" t="str">
        <f>IFERROR(VLOOKUP(TableHandbook[[#This Row],[UDC]],TableMCGLOBL[],7,FALSE),"")</f>
        <v/>
      </c>
      <c r="AA23" s="297" t="str">
        <f>IFERROR(VLOOKUP(TableHandbook[[#This Row],[UDC]],TableSTRPGLOBL[],7,FALSE),"")</f>
        <v/>
      </c>
      <c r="AB23" s="297" t="str">
        <f>IFERROR(VLOOKUP(TableHandbook[[#This Row],[UDC]],TableSTRPHRIGT[],7,FALSE),"")</f>
        <v/>
      </c>
      <c r="AC23" s="297" t="str">
        <f>IFERROR(VLOOKUP(TableHandbook[[#This Row],[UDC]],TableSTRPINTRN[],7,FALSE),"")</f>
        <v/>
      </c>
      <c r="AD23" s="184" t="str">
        <f>IFERROR(VLOOKUP(TableHandbook[[#This Row],[UDC]],TableGCGLOBL[],7,FALSE),"")</f>
        <v/>
      </c>
      <c r="AE23" s="183" t="str">
        <f>IFERROR(VLOOKUP(TableHandbook[[#This Row],[UDC]],TableMCNETSCM[],7,FALSE),"")</f>
        <v>AltCore</v>
      </c>
      <c r="AF23" s="118" t="str">
        <f>IFERROR(VLOOKUP(TableHandbook[[#This Row],[UDC]],TableGDNETSCM[],7,FALSE),"")</f>
        <v>AltCore</v>
      </c>
      <c r="AG23" s="184" t="str">
        <f>IFERROR(VLOOKUP(TableHandbook[[#This Row],[UDC]],TableGCNETSCM[],7,FALSE),"")</f>
        <v>AltCore</v>
      </c>
      <c r="AH23" s="183" t="str">
        <f>IFERROR(VLOOKUP(TableHandbook[[#This Row],[UDC]],TableMCINTRNS[],7,FALSE),"")</f>
        <v/>
      </c>
      <c r="AI23" s="118" t="str">
        <f>IFERROR(VLOOKUP(TableHandbook[[#This Row],[UDC]],TableGDINTRNS[],7,FALSE),"")</f>
        <v/>
      </c>
      <c r="AJ23" s="184" t="str">
        <f>IFERROR(VLOOKUP(TableHandbook[[#This Row],[UDC]],TableGCINTRNS[],7,FALSE),"")</f>
        <v/>
      </c>
    </row>
    <row r="24" spans="1:36" x14ac:dyDescent="0.25">
      <c r="A24" s="6" t="s">
        <v>108</v>
      </c>
      <c r="B24" s="7">
        <v>0</v>
      </c>
      <c r="C24" s="6"/>
      <c r="D24" s="6" t="s">
        <v>362</v>
      </c>
      <c r="E24" s="7">
        <v>50</v>
      </c>
      <c r="F24" s="186" t="s">
        <v>354</v>
      </c>
      <c r="G24" s="75" t="str">
        <f>IFERROR(IF(VLOOKUP(TableHandbook[[#This Row],[UDC]],TableAvailabilities[],2,FALSE)&gt;0,"Y",""),"")</f>
        <v/>
      </c>
      <c r="H24" s="116" t="str">
        <f>IFERROR(IF(VLOOKUP(TableHandbook[[#This Row],[UDC]],TableAvailabilities[],3,FALSE)&gt;0,"Y",""),"")</f>
        <v/>
      </c>
      <c r="I24" s="117" t="str">
        <f>IFERROR(IF(VLOOKUP(TableHandbook[[#This Row],[UDC]],TableAvailabilities[],4,FALSE)&gt;0,"Y",""),"")</f>
        <v/>
      </c>
      <c r="J24" s="76" t="str">
        <f>IFERROR(IF(VLOOKUP(TableHandbook[[#This Row],[UDC]],TableAvailabilities[],5,FALSE)&gt;0,"Y",""),"")</f>
        <v/>
      </c>
      <c r="K24" s="289"/>
      <c r="L24" s="183" t="str">
        <f>IFERROR(VLOOKUP(TableHandbook[[#This Row],[UDC]],TableMCARTS[],7,FALSE),"")</f>
        <v/>
      </c>
      <c r="M24" s="118" t="str">
        <f>IFERROR(VLOOKUP(TableHandbook[[#This Row],[UDC]],TableMJRPCWRIT[],7,FALSE),"")</f>
        <v/>
      </c>
      <c r="N24" s="118" t="str">
        <f>IFERROR(VLOOKUP(TableHandbook[[#This Row],[UDC]],TableMJRPFINAR[],7,FALSE),"")</f>
        <v/>
      </c>
      <c r="O24" s="118" t="str">
        <f>IFERROR(VLOOKUP(TableHandbook[[#This Row],[UDC]],TableMJRPPWRIT[],7,FALSE),"")</f>
        <v>AltCore</v>
      </c>
      <c r="P24" s="184" t="str">
        <f>IFERROR(VLOOKUP(TableHandbook[[#This Row],[UDC]],TableMJRPSCRAR[],7,FALSE),"")</f>
        <v/>
      </c>
      <c r="Q24" s="183" t="str">
        <f>IFERROR(VLOOKUP(TableHandbook[[#This Row],[UDC]],TableMCMMJRG[],7,FALSE),"")</f>
        <v/>
      </c>
      <c r="R24" s="118" t="str">
        <f>IFERROR(VLOOKUP(TableHandbook[[#This Row],[UDC]],TableMCMMJRN[],7,FALSE),"")</f>
        <v/>
      </c>
      <c r="S24" s="118" t="str">
        <f>IFERROR(VLOOKUP(TableHandbook[[#This Row],[UDC]],TableGDMMJRN[],7,FALSE),"")</f>
        <v/>
      </c>
      <c r="T24" s="184" t="str">
        <f>IFERROR(VLOOKUP(TableHandbook[[#This Row],[UDC]],TableGCMMJRN[],7,FALSE),"")</f>
        <v/>
      </c>
      <c r="U24" s="183" t="str">
        <f>IFERROR(VLOOKUP(TableHandbook[[#This Row],[UDC]],TableMCHRIGLO[],7,FALSE),"")</f>
        <v/>
      </c>
      <c r="V24" s="118" t="str">
        <f>IFERROR(VLOOKUP(TableHandbook[[#This Row],[UDC]],TableMCHRIGHT[],7,FALSE),"")</f>
        <v/>
      </c>
      <c r="W24" s="118" t="str">
        <f>IFERROR(VLOOKUP(TableHandbook[[#This Row],[UDC]],TableGDHRIGHT[],7,FALSE),"")</f>
        <v/>
      </c>
      <c r="X24" s="184" t="str">
        <f>IFERROR(VLOOKUP(TableHandbook[[#This Row],[UDC]],TableGCHRIGHT[],7,FALSE),"")</f>
        <v/>
      </c>
      <c r="Y24" s="183" t="str">
        <f>IFERROR(VLOOKUP(TableHandbook[[#This Row],[UDC]],TableMCGLOBL2[],7,FALSE),"")</f>
        <v/>
      </c>
      <c r="Z24" s="118" t="str">
        <f>IFERROR(VLOOKUP(TableHandbook[[#This Row],[UDC]],TableMCGLOBL[],7,FALSE),"")</f>
        <v/>
      </c>
      <c r="AA24" s="297" t="str">
        <f>IFERROR(VLOOKUP(TableHandbook[[#This Row],[UDC]],TableSTRPGLOBL[],7,FALSE),"")</f>
        <v/>
      </c>
      <c r="AB24" s="297" t="str">
        <f>IFERROR(VLOOKUP(TableHandbook[[#This Row],[UDC]],TableSTRPHRIGT[],7,FALSE),"")</f>
        <v/>
      </c>
      <c r="AC24" s="297" t="str">
        <f>IFERROR(VLOOKUP(TableHandbook[[#This Row],[UDC]],TableSTRPINTRN[],7,FALSE),"")</f>
        <v/>
      </c>
      <c r="AD24" s="184" t="str">
        <f>IFERROR(VLOOKUP(TableHandbook[[#This Row],[UDC]],TableGCGLOBL[],7,FALSE),"")</f>
        <v/>
      </c>
      <c r="AE24" s="183" t="str">
        <f>IFERROR(VLOOKUP(TableHandbook[[#This Row],[UDC]],TableMCNETSCM[],7,FALSE),"")</f>
        <v/>
      </c>
      <c r="AF24" s="118" t="str">
        <f>IFERROR(VLOOKUP(TableHandbook[[#This Row],[UDC]],TableGDNETSCM[],7,FALSE),"")</f>
        <v/>
      </c>
      <c r="AG24" s="184" t="str">
        <f>IFERROR(VLOOKUP(TableHandbook[[#This Row],[UDC]],TableGCNETSCM[],7,FALSE),"")</f>
        <v/>
      </c>
      <c r="AH24" s="183" t="str">
        <f>IFERROR(VLOOKUP(TableHandbook[[#This Row],[UDC]],TableMCINTRNS[],7,FALSE),"")</f>
        <v/>
      </c>
      <c r="AI24" s="118" t="str">
        <f>IFERROR(VLOOKUP(TableHandbook[[#This Row],[UDC]],TableGDINTRNS[],7,FALSE),"")</f>
        <v/>
      </c>
      <c r="AJ24" s="184" t="str">
        <f>IFERROR(VLOOKUP(TableHandbook[[#This Row],[UDC]],TableGCINTRNS[],7,FALSE),"")</f>
        <v/>
      </c>
    </row>
    <row r="25" spans="1:36" x14ac:dyDescent="0.25">
      <c r="A25" s="6" t="s">
        <v>89</v>
      </c>
      <c r="B25" s="7">
        <v>0</v>
      </c>
      <c r="C25" s="6"/>
      <c r="D25" s="6" t="s">
        <v>363</v>
      </c>
      <c r="E25" s="7">
        <v>25</v>
      </c>
      <c r="F25" s="186" t="s">
        <v>354</v>
      </c>
      <c r="G25" s="75" t="str">
        <f>IFERROR(IF(VLOOKUP(TableHandbook[[#This Row],[UDC]],TableAvailabilities[],2,FALSE)&gt;0,"Y",""),"")</f>
        <v/>
      </c>
      <c r="H25" s="116" t="str">
        <f>IFERROR(IF(VLOOKUP(TableHandbook[[#This Row],[UDC]],TableAvailabilities[],3,FALSE)&gt;0,"Y",""),"")</f>
        <v/>
      </c>
      <c r="I25" s="117" t="str">
        <f>IFERROR(IF(VLOOKUP(TableHandbook[[#This Row],[UDC]],TableAvailabilities[],4,FALSE)&gt;0,"Y",""),"")</f>
        <v/>
      </c>
      <c r="J25" s="76" t="str">
        <f>IFERROR(IF(VLOOKUP(TableHandbook[[#This Row],[UDC]],TableAvailabilities[],5,FALSE)&gt;0,"Y",""),"")</f>
        <v/>
      </c>
      <c r="K25" s="289"/>
      <c r="L25" s="183" t="str">
        <f>IFERROR(VLOOKUP(TableHandbook[[#This Row],[UDC]],TableMCARTS[],7,FALSE),"")</f>
        <v/>
      </c>
      <c r="M25" s="118" t="str">
        <f>IFERROR(VLOOKUP(TableHandbook[[#This Row],[UDC]],TableMJRPCWRIT[],7,FALSE),"")</f>
        <v/>
      </c>
      <c r="N25" s="118" t="str">
        <f>IFERROR(VLOOKUP(TableHandbook[[#This Row],[UDC]],TableMJRPFINAR[],7,FALSE),"")</f>
        <v/>
      </c>
      <c r="O25" s="118" t="str">
        <f>IFERROR(VLOOKUP(TableHandbook[[#This Row],[UDC]],TableMJRPPWRIT[],7,FALSE),"")</f>
        <v/>
      </c>
      <c r="P25" s="184" t="str">
        <f>IFERROR(VLOOKUP(TableHandbook[[#This Row],[UDC]],TableMJRPSCRAR[],7,FALSE),"")</f>
        <v>AltCore</v>
      </c>
      <c r="Q25" s="183" t="str">
        <f>IFERROR(VLOOKUP(TableHandbook[[#This Row],[UDC]],TableMCMMJRG[],7,FALSE),"")</f>
        <v/>
      </c>
      <c r="R25" s="118" t="str">
        <f>IFERROR(VLOOKUP(TableHandbook[[#This Row],[UDC]],TableMCMMJRN[],7,FALSE),"")</f>
        <v/>
      </c>
      <c r="S25" s="118" t="str">
        <f>IFERROR(VLOOKUP(TableHandbook[[#This Row],[UDC]],TableGDMMJRN[],7,FALSE),"")</f>
        <v/>
      </c>
      <c r="T25" s="184" t="str">
        <f>IFERROR(VLOOKUP(TableHandbook[[#This Row],[UDC]],TableGCMMJRN[],7,FALSE),"")</f>
        <v/>
      </c>
      <c r="U25" s="183" t="str">
        <f>IFERROR(VLOOKUP(TableHandbook[[#This Row],[UDC]],TableMCHRIGLO[],7,FALSE),"")</f>
        <v/>
      </c>
      <c r="V25" s="118" t="str">
        <f>IFERROR(VLOOKUP(TableHandbook[[#This Row],[UDC]],TableMCHRIGHT[],7,FALSE),"")</f>
        <v/>
      </c>
      <c r="W25" s="118" t="str">
        <f>IFERROR(VLOOKUP(TableHandbook[[#This Row],[UDC]],TableGDHRIGHT[],7,FALSE),"")</f>
        <v/>
      </c>
      <c r="X25" s="184" t="str">
        <f>IFERROR(VLOOKUP(TableHandbook[[#This Row],[UDC]],TableGCHRIGHT[],7,FALSE),"")</f>
        <v/>
      </c>
      <c r="Y25" s="183" t="str">
        <f>IFERROR(VLOOKUP(TableHandbook[[#This Row],[UDC]],TableMCGLOBL2[],7,FALSE),"")</f>
        <v/>
      </c>
      <c r="Z25" s="118" t="str">
        <f>IFERROR(VLOOKUP(TableHandbook[[#This Row],[UDC]],TableMCGLOBL[],7,FALSE),"")</f>
        <v/>
      </c>
      <c r="AA25" s="297" t="str">
        <f>IFERROR(VLOOKUP(TableHandbook[[#This Row],[UDC]],TableSTRPGLOBL[],7,FALSE),"")</f>
        <v/>
      </c>
      <c r="AB25" s="297" t="str">
        <f>IFERROR(VLOOKUP(TableHandbook[[#This Row],[UDC]],TableSTRPHRIGT[],7,FALSE),"")</f>
        <v/>
      </c>
      <c r="AC25" s="297" t="str">
        <f>IFERROR(VLOOKUP(TableHandbook[[#This Row],[UDC]],TableSTRPINTRN[],7,FALSE),"")</f>
        <v/>
      </c>
      <c r="AD25" s="184" t="str">
        <f>IFERROR(VLOOKUP(TableHandbook[[#This Row],[UDC]],TableGCGLOBL[],7,FALSE),"")</f>
        <v/>
      </c>
      <c r="AE25" s="183" t="str">
        <f>IFERROR(VLOOKUP(TableHandbook[[#This Row],[UDC]],TableMCNETSCM[],7,FALSE),"")</f>
        <v/>
      </c>
      <c r="AF25" s="118" t="str">
        <f>IFERROR(VLOOKUP(TableHandbook[[#This Row],[UDC]],TableGDNETSCM[],7,FALSE),"")</f>
        <v/>
      </c>
      <c r="AG25" s="184" t="str">
        <f>IFERROR(VLOOKUP(TableHandbook[[#This Row],[UDC]],TableGCNETSCM[],7,FALSE),"")</f>
        <v/>
      </c>
      <c r="AH25" s="183" t="str">
        <f>IFERROR(VLOOKUP(TableHandbook[[#This Row],[UDC]],TableMCINTRNS[],7,FALSE),"")</f>
        <v/>
      </c>
      <c r="AI25" s="118" t="str">
        <f>IFERROR(VLOOKUP(TableHandbook[[#This Row],[UDC]],TableGDINTRNS[],7,FALSE),"")</f>
        <v/>
      </c>
      <c r="AJ25" s="184" t="str">
        <f>IFERROR(VLOOKUP(TableHandbook[[#This Row],[UDC]],TableGCINTRNS[],7,FALSE),"")</f>
        <v/>
      </c>
    </row>
    <row r="26" spans="1:36" x14ac:dyDescent="0.25">
      <c r="A26" s="6" t="s">
        <v>109</v>
      </c>
      <c r="B26" s="7">
        <v>0</v>
      </c>
      <c r="C26" s="6"/>
      <c r="D26" s="6" t="s">
        <v>362</v>
      </c>
      <c r="E26" s="7">
        <v>50</v>
      </c>
      <c r="F26" s="186" t="s">
        <v>354</v>
      </c>
      <c r="G26" s="75" t="str">
        <f>IFERROR(IF(VLOOKUP(TableHandbook[[#This Row],[UDC]],TableAvailabilities[],2,FALSE)&gt;0,"Y",""),"")</f>
        <v/>
      </c>
      <c r="H26" s="116" t="str">
        <f>IFERROR(IF(VLOOKUP(TableHandbook[[#This Row],[UDC]],TableAvailabilities[],3,FALSE)&gt;0,"Y",""),"")</f>
        <v/>
      </c>
      <c r="I26" s="117" t="str">
        <f>IFERROR(IF(VLOOKUP(TableHandbook[[#This Row],[UDC]],TableAvailabilities[],4,FALSE)&gt;0,"Y",""),"")</f>
        <v/>
      </c>
      <c r="J26" s="76" t="str">
        <f>IFERROR(IF(VLOOKUP(TableHandbook[[#This Row],[UDC]],TableAvailabilities[],5,FALSE)&gt;0,"Y",""),"")</f>
        <v/>
      </c>
      <c r="K26" s="289"/>
      <c r="L26" s="183" t="str">
        <f>IFERROR(VLOOKUP(TableHandbook[[#This Row],[UDC]],TableMCARTS[],7,FALSE),"")</f>
        <v/>
      </c>
      <c r="M26" s="118" t="str">
        <f>IFERROR(VLOOKUP(TableHandbook[[#This Row],[UDC]],TableMJRPCWRIT[],7,FALSE),"")</f>
        <v/>
      </c>
      <c r="N26" s="118" t="str">
        <f>IFERROR(VLOOKUP(TableHandbook[[#This Row],[UDC]],TableMJRPFINAR[],7,FALSE),"")</f>
        <v/>
      </c>
      <c r="O26" s="118" t="str">
        <f>IFERROR(VLOOKUP(TableHandbook[[#This Row],[UDC]],TableMJRPPWRIT[],7,FALSE),"")</f>
        <v/>
      </c>
      <c r="P26" s="184" t="str">
        <f>IFERROR(VLOOKUP(TableHandbook[[#This Row],[UDC]],TableMJRPSCRAR[],7,FALSE),"")</f>
        <v>AltCore</v>
      </c>
      <c r="Q26" s="183" t="str">
        <f>IFERROR(VLOOKUP(TableHandbook[[#This Row],[UDC]],TableMCMMJRG[],7,FALSE),"")</f>
        <v/>
      </c>
      <c r="R26" s="118" t="str">
        <f>IFERROR(VLOOKUP(TableHandbook[[#This Row],[UDC]],TableMCMMJRN[],7,FALSE),"")</f>
        <v/>
      </c>
      <c r="S26" s="118" t="str">
        <f>IFERROR(VLOOKUP(TableHandbook[[#This Row],[UDC]],TableGDMMJRN[],7,FALSE),"")</f>
        <v/>
      </c>
      <c r="T26" s="184" t="str">
        <f>IFERROR(VLOOKUP(TableHandbook[[#This Row],[UDC]],TableGCMMJRN[],7,FALSE),"")</f>
        <v/>
      </c>
      <c r="U26" s="183" t="str">
        <f>IFERROR(VLOOKUP(TableHandbook[[#This Row],[UDC]],TableMCHRIGLO[],7,FALSE),"")</f>
        <v/>
      </c>
      <c r="V26" s="118" t="str">
        <f>IFERROR(VLOOKUP(TableHandbook[[#This Row],[UDC]],TableMCHRIGHT[],7,FALSE),"")</f>
        <v/>
      </c>
      <c r="W26" s="118" t="str">
        <f>IFERROR(VLOOKUP(TableHandbook[[#This Row],[UDC]],TableGDHRIGHT[],7,FALSE),"")</f>
        <v/>
      </c>
      <c r="X26" s="184" t="str">
        <f>IFERROR(VLOOKUP(TableHandbook[[#This Row],[UDC]],TableGCHRIGHT[],7,FALSE),"")</f>
        <v/>
      </c>
      <c r="Y26" s="183" t="str">
        <f>IFERROR(VLOOKUP(TableHandbook[[#This Row],[UDC]],TableMCGLOBL2[],7,FALSE),"")</f>
        <v/>
      </c>
      <c r="Z26" s="118" t="str">
        <f>IFERROR(VLOOKUP(TableHandbook[[#This Row],[UDC]],TableMCGLOBL[],7,FALSE),"")</f>
        <v/>
      </c>
      <c r="AA26" s="297" t="str">
        <f>IFERROR(VLOOKUP(TableHandbook[[#This Row],[UDC]],TableSTRPGLOBL[],7,FALSE),"")</f>
        <v/>
      </c>
      <c r="AB26" s="297" t="str">
        <f>IFERROR(VLOOKUP(TableHandbook[[#This Row],[UDC]],TableSTRPHRIGT[],7,FALSE),"")</f>
        <v/>
      </c>
      <c r="AC26" s="297" t="str">
        <f>IFERROR(VLOOKUP(TableHandbook[[#This Row],[UDC]],TableSTRPINTRN[],7,FALSE),"")</f>
        <v/>
      </c>
      <c r="AD26" s="184" t="str">
        <f>IFERROR(VLOOKUP(TableHandbook[[#This Row],[UDC]],TableGCGLOBL[],7,FALSE),"")</f>
        <v/>
      </c>
      <c r="AE26" s="183" t="str">
        <f>IFERROR(VLOOKUP(TableHandbook[[#This Row],[UDC]],TableMCNETSCM[],7,FALSE),"")</f>
        <v/>
      </c>
      <c r="AF26" s="118" t="str">
        <f>IFERROR(VLOOKUP(TableHandbook[[#This Row],[UDC]],TableGDNETSCM[],7,FALSE),"")</f>
        <v/>
      </c>
      <c r="AG26" s="184" t="str">
        <f>IFERROR(VLOOKUP(TableHandbook[[#This Row],[UDC]],TableGCNETSCM[],7,FALSE),"")</f>
        <v/>
      </c>
      <c r="AH26" s="183" t="str">
        <f>IFERROR(VLOOKUP(TableHandbook[[#This Row],[UDC]],TableMCINTRNS[],7,FALSE),"")</f>
        <v/>
      </c>
      <c r="AI26" s="118" t="str">
        <f>IFERROR(VLOOKUP(TableHandbook[[#This Row],[UDC]],TableGDINTRNS[],7,FALSE),"")</f>
        <v/>
      </c>
      <c r="AJ26" s="184" t="str">
        <f>IFERROR(VLOOKUP(TableHandbook[[#This Row],[UDC]],TableGCINTRNS[],7,FALSE),"")</f>
        <v/>
      </c>
    </row>
    <row r="27" spans="1:36" x14ac:dyDescent="0.25">
      <c r="A27" s="5" t="s">
        <v>364</v>
      </c>
      <c r="B27" s="7">
        <v>1</v>
      </c>
      <c r="C27" s="6"/>
      <c r="D27" s="6" t="s">
        <v>365</v>
      </c>
      <c r="E27" s="7">
        <v>25</v>
      </c>
      <c r="F27" s="186" t="s">
        <v>366</v>
      </c>
      <c r="G27" s="75" t="str">
        <f>IFERROR(IF(VLOOKUP(TableHandbook[[#This Row],[UDC]],TableAvailabilities[],2,FALSE)&gt;0,"Y",""),"")</f>
        <v/>
      </c>
      <c r="H27" s="116" t="str">
        <f>IFERROR(IF(VLOOKUP(TableHandbook[[#This Row],[UDC]],TableAvailabilities[],3,FALSE)&gt;0,"Y",""),"")</f>
        <v/>
      </c>
      <c r="I27" s="117" t="str">
        <f>IFERROR(IF(VLOOKUP(TableHandbook[[#This Row],[UDC]],TableAvailabilities[],4,FALSE)&gt;0,"Y",""),"")</f>
        <v/>
      </c>
      <c r="J27" s="76" t="str">
        <f>IFERROR(IF(VLOOKUP(TableHandbook[[#This Row],[UDC]],TableAvailabilities[],5,FALSE)&gt;0,"Y",""),"")</f>
        <v/>
      </c>
      <c r="K27" s="289"/>
      <c r="L27" s="183" t="str">
        <f>IFERROR(VLOOKUP(TableHandbook[[#This Row],[UDC]],TableMCARTS[],7,FALSE),"")</f>
        <v/>
      </c>
      <c r="M27" s="118" t="str">
        <f>IFERROR(VLOOKUP(TableHandbook[[#This Row],[UDC]],TableMJRPCWRIT[],7,FALSE),"")</f>
        <v/>
      </c>
      <c r="N27" s="118" t="str">
        <f>IFERROR(VLOOKUP(TableHandbook[[#This Row],[UDC]],TableMJRPFINAR[],7,FALSE),"")</f>
        <v/>
      </c>
      <c r="O27" s="118" t="str">
        <f>IFERROR(VLOOKUP(TableHandbook[[#This Row],[UDC]],TableMJRPPWRIT[],7,FALSE),"")</f>
        <v/>
      </c>
      <c r="P27" s="184" t="str">
        <f>IFERROR(VLOOKUP(TableHandbook[[#This Row],[UDC]],TableMJRPSCRAR[],7,FALSE),"")</f>
        <v/>
      </c>
      <c r="Q27" s="183" t="str">
        <f>IFERROR(VLOOKUP(TableHandbook[[#This Row],[UDC]],TableMCMMJRG[],7,FALSE),"")</f>
        <v/>
      </c>
      <c r="R27" s="118" t="str">
        <f>IFERROR(VLOOKUP(TableHandbook[[#This Row],[UDC]],TableMCMMJRN[],7,FALSE),"")</f>
        <v/>
      </c>
      <c r="S27" s="118" t="str">
        <f>IFERROR(VLOOKUP(TableHandbook[[#This Row],[UDC]],TableGDMMJRN[],7,FALSE),"")</f>
        <v/>
      </c>
      <c r="T27" s="184" t="str">
        <f>IFERROR(VLOOKUP(TableHandbook[[#This Row],[UDC]],TableGCMMJRN[],7,FALSE),"")</f>
        <v/>
      </c>
      <c r="U27" s="183" t="str">
        <f>IFERROR(VLOOKUP(TableHandbook[[#This Row],[UDC]],TableMCHRIGLO[],7,FALSE),"")</f>
        <v/>
      </c>
      <c r="V27" s="118" t="str">
        <f>IFERROR(VLOOKUP(TableHandbook[[#This Row],[UDC]],TableMCHRIGHT[],7,FALSE),"")</f>
        <v/>
      </c>
      <c r="W27" s="118" t="str">
        <f>IFERROR(VLOOKUP(TableHandbook[[#This Row],[UDC]],TableGDHRIGHT[],7,FALSE),"")</f>
        <v/>
      </c>
      <c r="X27" s="184" t="str">
        <f>IFERROR(VLOOKUP(TableHandbook[[#This Row],[UDC]],TableGCHRIGHT[],7,FALSE),"")</f>
        <v/>
      </c>
      <c r="Y27" s="183" t="str">
        <f>IFERROR(VLOOKUP(TableHandbook[[#This Row],[UDC]],TableMCGLOBL2[],7,FALSE),"")</f>
        <v/>
      </c>
      <c r="Z27" s="118" t="str">
        <f>IFERROR(VLOOKUP(TableHandbook[[#This Row],[UDC]],TableMCGLOBL[],7,FALSE),"")</f>
        <v/>
      </c>
      <c r="AA27" s="297" t="str">
        <f>IFERROR(VLOOKUP(TableHandbook[[#This Row],[UDC]],TableSTRPGLOBL[],7,FALSE),"")</f>
        <v/>
      </c>
      <c r="AB27" s="297" t="str">
        <f>IFERROR(VLOOKUP(TableHandbook[[#This Row],[UDC]],TableSTRPHRIGT[],7,FALSE),"")</f>
        <v/>
      </c>
      <c r="AC27" s="297" t="str">
        <f>IFERROR(VLOOKUP(TableHandbook[[#This Row],[UDC]],TableSTRPINTRN[],7,FALSE),"")</f>
        <v/>
      </c>
      <c r="AD27" s="184" t="str">
        <f>IFERROR(VLOOKUP(TableHandbook[[#This Row],[UDC]],TableGCGLOBL[],7,FALSE),"")</f>
        <v/>
      </c>
      <c r="AE27" s="183" t="str">
        <f>IFERROR(VLOOKUP(TableHandbook[[#This Row],[UDC]],TableMCNETSCM[],7,FALSE),"")</f>
        <v/>
      </c>
      <c r="AF27" s="118" t="str">
        <f>IFERROR(VLOOKUP(TableHandbook[[#This Row],[UDC]],TableGDNETSCM[],7,FALSE),"")</f>
        <v/>
      </c>
      <c r="AG27" s="184" t="str">
        <f>IFERROR(VLOOKUP(TableHandbook[[#This Row],[UDC]],TableGCNETSCM[],7,FALSE),"")</f>
        <v/>
      </c>
      <c r="AH27" s="183" t="str">
        <f>IFERROR(VLOOKUP(TableHandbook[[#This Row],[UDC]],TableMCINTRNS[],7,FALSE),"")</f>
        <v/>
      </c>
      <c r="AI27" s="118" t="str">
        <f>IFERROR(VLOOKUP(TableHandbook[[#This Row],[UDC]],TableGDINTRNS[],7,FALSE),"")</f>
        <v/>
      </c>
      <c r="AJ27" s="184" t="str">
        <f>IFERROR(VLOOKUP(TableHandbook[[#This Row],[UDC]],TableGCINTRNS[],7,FALSE),"")</f>
        <v/>
      </c>
    </row>
    <row r="28" spans="1:36" x14ac:dyDescent="0.25">
      <c r="A28" s="3" t="s">
        <v>51</v>
      </c>
      <c r="B28" s="4">
        <v>1</v>
      </c>
      <c r="C28" s="4"/>
      <c r="D28" s="3" t="s">
        <v>367</v>
      </c>
      <c r="E28" s="4">
        <v>25</v>
      </c>
      <c r="F28" s="187" t="s">
        <v>368</v>
      </c>
      <c r="G28" s="75" t="str">
        <f>IFERROR(IF(VLOOKUP(TableHandbook[[#This Row],[UDC]],TableAvailabilities[],2,FALSE)&gt;0,"Y",""),"")</f>
        <v>Y</v>
      </c>
      <c r="H28" s="116" t="str">
        <f>IFERROR(IF(VLOOKUP(TableHandbook[[#This Row],[UDC]],TableAvailabilities[],3,FALSE)&gt;0,"Y",""),"")</f>
        <v/>
      </c>
      <c r="I28" s="117" t="str">
        <f>IFERROR(IF(VLOOKUP(TableHandbook[[#This Row],[UDC]],TableAvailabilities[],4,FALSE)&gt;0,"Y",""),"")</f>
        <v>Y</v>
      </c>
      <c r="J28" s="76" t="str">
        <f>IFERROR(IF(VLOOKUP(TableHandbook[[#This Row],[UDC]],TableAvailabilities[],5,FALSE)&gt;0,"Y",""),"")</f>
        <v/>
      </c>
      <c r="K28" s="289"/>
      <c r="L28" s="183" t="str">
        <f>IFERROR(VLOOKUP(TableHandbook[[#This Row],[UDC]],TableMCARTS[],7,FALSE),"")</f>
        <v/>
      </c>
      <c r="M28" s="118" t="str">
        <f>IFERROR(VLOOKUP(TableHandbook[[#This Row],[UDC]],TableMJRPCWRIT[],7,FALSE),"")</f>
        <v>Core</v>
      </c>
      <c r="N28" s="118" t="str">
        <f>IFERROR(VLOOKUP(TableHandbook[[#This Row],[UDC]],TableMJRPFINAR[],7,FALSE),"")</f>
        <v>Core</v>
      </c>
      <c r="O28" s="118" t="str">
        <f>IFERROR(VLOOKUP(TableHandbook[[#This Row],[UDC]],TableMJRPPWRIT[],7,FALSE),"")</f>
        <v>Core</v>
      </c>
      <c r="P28" s="184" t="str">
        <f>IFERROR(VLOOKUP(TableHandbook[[#This Row],[UDC]],TableMJRPSCRAR[],7,FALSE),"")</f>
        <v>Core</v>
      </c>
      <c r="Q28" s="183" t="str">
        <f>IFERROR(VLOOKUP(TableHandbook[[#This Row],[UDC]],TableMCMMJRG[],7,FALSE),"")</f>
        <v/>
      </c>
      <c r="R28" s="118" t="str">
        <f>IFERROR(VLOOKUP(TableHandbook[[#This Row],[UDC]],TableMCMMJRN[],7,FALSE),"")</f>
        <v/>
      </c>
      <c r="S28" s="118" t="str">
        <f>IFERROR(VLOOKUP(TableHandbook[[#This Row],[UDC]],TableGDMMJRN[],7,FALSE),"")</f>
        <v/>
      </c>
      <c r="T28" s="184" t="str">
        <f>IFERROR(VLOOKUP(TableHandbook[[#This Row],[UDC]],TableGCMMJRN[],7,FALSE),"")</f>
        <v/>
      </c>
      <c r="U28" s="183" t="str">
        <f>IFERROR(VLOOKUP(TableHandbook[[#This Row],[UDC]],TableMCHRIGLO[],7,FALSE),"")</f>
        <v/>
      </c>
      <c r="V28" s="118" t="str">
        <f>IFERROR(VLOOKUP(TableHandbook[[#This Row],[UDC]],TableMCHRIGHT[],7,FALSE),"")</f>
        <v/>
      </c>
      <c r="W28" s="118" t="str">
        <f>IFERROR(VLOOKUP(TableHandbook[[#This Row],[UDC]],TableGDHRIGHT[],7,FALSE),"")</f>
        <v/>
      </c>
      <c r="X28" s="184" t="str">
        <f>IFERROR(VLOOKUP(TableHandbook[[#This Row],[UDC]],TableGCHRIGHT[],7,FALSE),"")</f>
        <v/>
      </c>
      <c r="Y28" s="183" t="str">
        <f>IFERROR(VLOOKUP(TableHandbook[[#This Row],[UDC]],TableMCGLOBL2[],7,FALSE),"")</f>
        <v/>
      </c>
      <c r="Z28" s="118" t="str">
        <f>IFERROR(VLOOKUP(TableHandbook[[#This Row],[UDC]],TableMCGLOBL[],7,FALSE),"")</f>
        <v/>
      </c>
      <c r="AA28" s="297" t="str">
        <f>IFERROR(VLOOKUP(TableHandbook[[#This Row],[UDC]],TableSTRPGLOBL[],7,FALSE),"")</f>
        <v/>
      </c>
      <c r="AB28" s="297" t="str">
        <f>IFERROR(VLOOKUP(TableHandbook[[#This Row],[UDC]],TableSTRPHRIGT[],7,FALSE),"")</f>
        <v/>
      </c>
      <c r="AC28" s="297" t="str">
        <f>IFERROR(VLOOKUP(TableHandbook[[#This Row],[UDC]],TableSTRPINTRN[],7,FALSE),"")</f>
        <v/>
      </c>
      <c r="AD28" s="184" t="str">
        <f>IFERROR(VLOOKUP(TableHandbook[[#This Row],[UDC]],TableGCGLOBL[],7,FALSE),"")</f>
        <v/>
      </c>
      <c r="AE28" s="183" t="str">
        <f>IFERROR(VLOOKUP(TableHandbook[[#This Row],[UDC]],TableMCNETSCM[],7,FALSE),"")</f>
        <v/>
      </c>
      <c r="AF28" s="118" t="str">
        <f>IFERROR(VLOOKUP(TableHandbook[[#This Row],[UDC]],TableGDNETSCM[],7,FALSE),"")</f>
        <v/>
      </c>
      <c r="AG28" s="184" t="str">
        <f>IFERROR(VLOOKUP(TableHandbook[[#This Row],[UDC]],TableGCNETSCM[],7,FALSE),"")</f>
        <v/>
      </c>
      <c r="AH28" s="183" t="str">
        <f>IFERROR(VLOOKUP(TableHandbook[[#This Row],[UDC]],TableMCINTRNS[],7,FALSE),"")</f>
        <v/>
      </c>
      <c r="AI28" s="118" t="str">
        <f>IFERROR(VLOOKUP(TableHandbook[[#This Row],[UDC]],TableGDINTRNS[],7,FALSE),"")</f>
        <v/>
      </c>
      <c r="AJ28" s="184" t="str">
        <f>IFERROR(VLOOKUP(TableHandbook[[#This Row],[UDC]],TableGCINTRNS[],7,FALSE),"")</f>
        <v/>
      </c>
    </row>
    <row r="29" spans="1:36" x14ac:dyDescent="0.25">
      <c r="A29" s="6" t="s">
        <v>161</v>
      </c>
      <c r="B29" s="7">
        <v>3</v>
      </c>
      <c r="C29" s="6"/>
      <c r="D29" s="6" t="s">
        <v>369</v>
      </c>
      <c r="E29" s="7">
        <v>50</v>
      </c>
      <c r="F29" s="187" t="s">
        <v>370</v>
      </c>
      <c r="G29" s="75" t="str">
        <f>IFERROR(IF(VLOOKUP(TableHandbook[[#This Row],[UDC]],TableAvailabilities[],2,FALSE)&gt;0,"Y",""),"")</f>
        <v>Y</v>
      </c>
      <c r="H29" s="116" t="str">
        <f>IFERROR(IF(VLOOKUP(TableHandbook[[#This Row],[UDC]],TableAvailabilities[],3,FALSE)&gt;0,"Y",""),"")</f>
        <v>Y</v>
      </c>
      <c r="I29" s="117" t="str">
        <f>IFERROR(IF(VLOOKUP(TableHandbook[[#This Row],[UDC]],TableAvailabilities[],4,FALSE)&gt;0,"Y",""),"")</f>
        <v>Y</v>
      </c>
      <c r="J29" s="76" t="str">
        <f>IFERROR(IF(VLOOKUP(TableHandbook[[#This Row],[UDC]],TableAvailabilities[],5,FALSE)&gt;0,"Y",""),"")</f>
        <v>Y</v>
      </c>
      <c r="K29" s="289" t="s">
        <v>371</v>
      </c>
      <c r="L29" s="183" t="str">
        <f>IFERROR(VLOOKUP(TableHandbook[[#This Row],[UDC]],TableMCARTS[],7,FALSE),"")</f>
        <v/>
      </c>
      <c r="M29" s="118" t="str">
        <f>IFERROR(VLOOKUP(TableHandbook[[#This Row],[UDC]],TableMJRPCWRIT[],7,FALSE),"")</f>
        <v>Option</v>
      </c>
      <c r="N29" s="118" t="str">
        <f>IFERROR(VLOOKUP(TableHandbook[[#This Row],[UDC]],TableMJRPFINAR[],7,FALSE),"")</f>
        <v>Option</v>
      </c>
      <c r="O29" s="118" t="str">
        <f>IFERROR(VLOOKUP(TableHandbook[[#This Row],[UDC]],TableMJRPPWRIT[],7,FALSE),"")</f>
        <v>Option</v>
      </c>
      <c r="P29" s="184" t="str">
        <f>IFERROR(VLOOKUP(TableHandbook[[#This Row],[UDC]],TableMJRPSCRAR[],7,FALSE),"")</f>
        <v>Option</v>
      </c>
      <c r="Q29" s="183" t="str">
        <f>IFERROR(VLOOKUP(TableHandbook[[#This Row],[UDC]],TableMCMMJRG[],7,FALSE),"")</f>
        <v/>
      </c>
      <c r="R29" s="118" t="str">
        <f>IFERROR(VLOOKUP(TableHandbook[[#This Row],[UDC]],TableMCMMJRN[],7,FALSE),"")</f>
        <v/>
      </c>
      <c r="S29" s="118" t="str">
        <f>IFERROR(VLOOKUP(TableHandbook[[#This Row],[UDC]],TableGDMMJRN[],7,FALSE),"")</f>
        <v/>
      </c>
      <c r="T29" s="184" t="str">
        <f>IFERROR(VLOOKUP(TableHandbook[[#This Row],[UDC]],TableGCMMJRN[],7,FALSE),"")</f>
        <v/>
      </c>
      <c r="U29" s="183" t="str">
        <f>IFERROR(VLOOKUP(TableHandbook[[#This Row],[UDC]],TableMCHRIGLO[],7,FALSE),"")</f>
        <v>AltCore</v>
      </c>
      <c r="V29" s="118" t="str">
        <f>IFERROR(VLOOKUP(TableHandbook[[#This Row],[UDC]],TableMCHRIGHT[],7,FALSE),"")</f>
        <v>AltCore</v>
      </c>
      <c r="W29" s="118" t="str">
        <f>IFERROR(VLOOKUP(TableHandbook[[#This Row],[UDC]],TableGDHRIGHT[],7,FALSE),"")</f>
        <v/>
      </c>
      <c r="X29" s="184" t="str">
        <f>IFERROR(VLOOKUP(TableHandbook[[#This Row],[UDC]],TableGCHRIGHT[],7,FALSE),"")</f>
        <v/>
      </c>
      <c r="Y29" s="183" t="str">
        <f>IFERROR(VLOOKUP(TableHandbook[[#This Row],[UDC]],TableMCGLOBL2[],7,FALSE),"")</f>
        <v>AltCore</v>
      </c>
      <c r="Z29" s="118" t="str">
        <f>IFERROR(VLOOKUP(TableHandbook[[#This Row],[UDC]],TableMCGLOBL[],7,FALSE),"")</f>
        <v>AltCore</v>
      </c>
      <c r="AA29" s="297" t="str">
        <f>IFERROR(VLOOKUP(TableHandbook[[#This Row],[UDC]],TableSTRPGLOBL[],7,FALSE),"")</f>
        <v/>
      </c>
      <c r="AB29" s="297" t="str">
        <f>IFERROR(VLOOKUP(TableHandbook[[#This Row],[UDC]],TableSTRPHRIGT[],7,FALSE),"")</f>
        <v/>
      </c>
      <c r="AC29" s="297" t="str">
        <f>IFERROR(VLOOKUP(TableHandbook[[#This Row],[UDC]],TableSTRPINTRN[],7,FALSE),"")</f>
        <v/>
      </c>
      <c r="AD29" s="184" t="str">
        <f>IFERROR(VLOOKUP(TableHandbook[[#This Row],[UDC]],TableGCGLOBL[],7,FALSE),"")</f>
        <v/>
      </c>
      <c r="AE29" s="183" t="str">
        <f>IFERROR(VLOOKUP(TableHandbook[[#This Row],[UDC]],TableMCNETSCM[],7,FALSE),"")</f>
        <v/>
      </c>
      <c r="AF29" s="118" t="str">
        <f>IFERROR(VLOOKUP(TableHandbook[[#This Row],[UDC]],TableGDNETSCM[],7,FALSE),"")</f>
        <v/>
      </c>
      <c r="AG29" s="184" t="str">
        <f>IFERROR(VLOOKUP(TableHandbook[[#This Row],[UDC]],TableGCNETSCM[],7,FALSE),"")</f>
        <v/>
      </c>
      <c r="AH29" s="183" t="str">
        <f>IFERROR(VLOOKUP(TableHandbook[[#This Row],[UDC]],TableMCINTRNS[],7,FALSE),"")</f>
        <v/>
      </c>
      <c r="AI29" s="118" t="str">
        <f>IFERROR(VLOOKUP(TableHandbook[[#This Row],[UDC]],TableGDINTRNS[],7,FALSE),"")</f>
        <v/>
      </c>
      <c r="AJ29" s="184" t="str">
        <f>IFERROR(VLOOKUP(TableHandbook[[#This Row],[UDC]],TableGCINTRNS[],7,FALSE),"")</f>
        <v/>
      </c>
    </row>
    <row r="30" spans="1:36" x14ac:dyDescent="0.25">
      <c r="A30" s="6" t="s">
        <v>372</v>
      </c>
      <c r="B30" s="7">
        <v>2</v>
      </c>
      <c r="C30" s="6"/>
      <c r="D30" s="6" t="s">
        <v>373</v>
      </c>
      <c r="E30" s="7">
        <v>50</v>
      </c>
      <c r="F30" s="187" t="s">
        <v>374</v>
      </c>
      <c r="G30" s="75" t="str">
        <f>IFERROR(IF(VLOOKUP(TableHandbook[[#This Row],[UDC]],TableAvailabilities[],2,FALSE)&gt;0,"Y",""),"")</f>
        <v/>
      </c>
      <c r="H30" s="116" t="str">
        <f>IFERROR(IF(VLOOKUP(TableHandbook[[#This Row],[UDC]],TableAvailabilities[],3,FALSE)&gt;0,"Y",""),"")</f>
        <v/>
      </c>
      <c r="I30" s="117" t="str">
        <f>IFERROR(IF(VLOOKUP(TableHandbook[[#This Row],[UDC]],TableAvailabilities[],4,FALSE)&gt;0,"Y",""),"")</f>
        <v/>
      </c>
      <c r="J30" s="76" t="str">
        <f>IFERROR(IF(VLOOKUP(TableHandbook[[#This Row],[UDC]],TableAvailabilities[],5,FALSE)&gt;0,"Y",""),"")</f>
        <v/>
      </c>
      <c r="K30" s="289" t="s">
        <v>375</v>
      </c>
      <c r="L30" s="183" t="str">
        <f>IFERROR(VLOOKUP(TableHandbook[[#This Row],[UDC]],TableMCARTS[],7,FALSE),"")</f>
        <v/>
      </c>
      <c r="M30" s="118" t="str">
        <f>IFERROR(VLOOKUP(TableHandbook[[#This Row],[UDC]],TableMJRPCWRIT[],7,FALSE),"")</f>
        <v/>
      </c>
      <c r="N30" s="118" t="str">
        <f>IFERROR(VLOOKUP(TableHandbook[[#This Row],[UDC]],TableMJRPFINAR[],7,FALSE),"")</f>
        <v/>
      </c>
      <c r="O30" s="118" t="str">
        <f>IFERROR(VLOOKUP(TableHandbook[[#This Row],[UDC]],TableMJRPPWRIT[],7,FALSE),"")</f>
        <v/>
      </c>
      <c r="P30" s="184" t="str">
        <f>IFERROR(VLOOKUP(TableHandbook[[#This Row],[UDC]],TableMJRPSCRAR[],7,FALSE),"")</f>
        <v/>
      </c>
      <c r="Q30" s="183" t="str">
        <f>IFERROR(VLOOKUP(TableHandbook[[#This Row],[UDC]],TableMCMMJRG[],7,FALSE),"")</f>
        <v/>
      </c>
      <c r="R30" s="118" t="str">
        <f>IFERROR(VLOOKUP(TableHandbook[[#This Row],[UDC]],TableMCMMJRN[],7,FALSE),"")</f>
        <v/>
      </c>
      <c r="S30" s="118" t="str">
        <f>IFERROR(VLOOKUP(TableHandbook[[#This Row],[UDC]],TableGDMMJRN[],7,FALSE),"")</f>
        <v/>
      </c>
      <c r="T30" s="184" t="str">
        <f>IFERROR(VLOOKUP(TableHandbook[[#This Row],[UDC]],TableGCMMJRN[],7,FALSE),"")</f>
        <v/>
      </c>
      <c r="U30" s="183" t="str">
        <f>IFERROR(VLOOKUP(TableHandbook[[#This Row],[UDC]],TableMCHRIGLO[],7,FALSE),"")</f>
        <v/>
      </c>
      <c r="V30" s="118" t="str">
        <f>IFERROR(VLOOKUP(TableHandbook[[#This Row],[UDC]],TableMCHRIGHT[],7,FALSE),"")</f>
        <v/>
      </c>
      <c r="W30" s="118" t="str">
        <f>IFERROR(VLOOKUP(TableHandbook[[#This Row],[UDC]],TableGDHRIGHT[],7,FALSE),"")</f>
        <v/>
      </c>
      <c r="X30" s="184" t="str">
        <f>IFERROR(VLOOKUP(TableHandbook[[#This Row],[UDC]],TableGCHRIGHT[],7,FALSE),"")</f>
        <v/>
      </c>
      <c r="Y30" s="183" t="str">
        <f>IFERROR(VLOOKUP(TableHandbook[[#This Row],[UDC]],TableMCGLOBL2[],7,FALSE),"")</f>
        <v/>
      </c>
      <c r="Z30" s="118" t="str">
        <f>IFERROR(VLOOKUP(TableHandbook[[#This Row],[UDC]],TableMCGLOBL[],7,FALSE),"")</f>
        <v/>
      </c>
      <c r="AA30" s="297" t="str">
        <f>IFERROR(VLOOKUP(TableHandbook[[#This Row],[UDC]],TableSTRPGLOBL[],7,FALSE),"")</f>
        <v/>
      </c>
      <c r="AB30" s="297" t="str">
        <f>IFERROR(VLOOKUP(TableHandbook[[#This Row],[UDC]],TableSTRPHRIGT[],7,FALSE),"")</f>
        <v/>
      </c>
      <c r="AC30" s="297" t="str">
        <f>IFERROR(VLOOKUP(TableHandbook[[#This Row],[UDC]],TableSTRPINTRN[],7,FALSE),"")</f>
        <v/>
      </c>
      <c r="AD30" s="184" t="str">
        <f>IFERROR(VLOOKUP(TableHandbook[[#This Row],[UDC]],TableGCGLOBL[],7,FALSE),"")</f>
        <v/>
      </c>
      <c r="AE30" s="183" t="str">
        <f>IFERROR(VLOOKUP(TableHandbook[[#This Row],[UDC]],TableMCNETSCM[],7,FALSE),"")</f>
        <v/>
      </c>
      <c r="AF30" s="118" t="str">
        <f>IFERROR(VLOOKUP(TableHandbook[[#This Row],[UDC]],TableGDNETSCM[],7,FALSE),"")</f>
        <v/>
      </c>
      <c r="AG30" s="184" t="str">
        <f>IFERROR(VLOOKUP(TableHandbook[[#This Row],[UDC]],TableGCNETSCM[],7,FALSE),"")</f>
        <v/>
      </c>
      <c r="AH30" s="183" t="str">
        <f>IFERROR(VLOOKUP(TableHandbook[[#This Row],[UDC]],TableMCINTRNS[],7,FALSE),"")</f>
        <v/>
      </c>
      <c r="AI30" s="118" t="str">
        <f>IFERROR(VLOOKUP(TableHandbook[[#This Row],[UDC]],TableGDINTRNS[],7,FALSE),"")</f>
        <v/>
      </c>
      <c r="AJ30" s="184" t="str">
        <f>IFERROR(VLOOKUP(TableHandbook[[#This Row],[UDC]],TableGCINTRNS[],7,FALSE),"")</f>
        <v/>
      </c>
    </row>
    <row r="31" spans="1:36" x14ac:dyDescent="0.25">
      <c r="A31" s="6" t="s">
        <v>139</v>
      </c>
      <c r="B31" s="7">
        <v>2</v>
      </c>
      <c r="C31" s="6"/>
      <c r="D31" s="6" t="s">
        <v>376</v>
      </c>
      <c r="E31" s="7">
        <v>50</v>
      </c>
      <c r="F31" s="187" t="s">
        <v>370</v>
      </c>
      <c r="G31" s="75" t="str">
        <f>IFERROR(IF(VLOOKUP(TableHandbook[[#This Row],[UDC]],TableAvailabilities[],2,FALSE)&gt;0,"Y",""),"")</f>
        <v>Y</v>
      </c>
      <c r="H31" s="116" t="str">
        <f>IFERROR(IF(VLOOKUP(TableHandbook[[#This Row],[UDC]],TableAvailabilities[],3,FALSE)&gt;0,"Y",""),"")</f>
        <v>Y</v>
      </c>
      <c r="I31" s="117" t="str">
        <f>IFERROR(IF(VLOOKUP(TableHandbook[[#This Row],[UDC]],TableAvailabilities[],4,FALSE)&gt;0,"Y",""),"")</f>
        <v>Y</v>
      </c>
      <c r="J31" s="76" t="str">
        <f>IFERROR(IF(VLOOKUP(TableHandbook[[#This Row],[UDC]],TableAvailabilities[],5,FALSE)&gt;0,"Y",""),"")</f>
        <v>Y</v>
      </c>
      <c r="K31" s="289" t="s">
        <v>371</v>
      </c>
      <c r="L31" s="183" t="str">
        <f>IFERROR(VLOOKUP(TableHandbook[[#This Row],[UDC]],TableMCARTS[],7,FALSE),"")</f>
        <v/>
      </c>
      <c r="M31" s="118" t="str">
        <f>IFERROR(VLOOKUP(TableHandbook[[#This Row],[UDC]],TableMJRPCWRIT[],7,FALSE),"")</f>
        <v>AltCore</v>
      </c>
      <c r="N31" s="118" t="str">
        <f>IFERROR(VLOOKUP(TableHandbook[[#This Row],[UDC]],TableMJRPFINAR[],7,FALSE),"")</f>
        <v>AltCore</v>
      </c>
      <c r="O31" s="118" t="str">
        <f>IFERROR(VLOOKUP(TableHandbook[[#This Row],[UDC]],TableMJRPPWRIT[],7,FALSE),"")</f>
        <v>AltCore</v>
      </c>
      <c r="P31" s="184" t="str">
        <f>IFERROR(VLOOKUP(TableHandbook[[#This Row],[UDC]],TableMJRPSCRAR[],7,FALSE),"")</f>
        <v>AltCore</v>
      </c>
      <c r="Q31" s="183" t="str">
        <f>IFERROR(VLOOKUP(TableHandbook[[#This Row],[UDC]],TableMCMMJRG[],7,FALSE),"")</f>
        <v>Core</v>
      </c>
      <c r="R31" s="118" t="str">
        <f>IFERROR(VLOOKUP(TableHandbook[[#This Row],[UDC]],TableMCMMJRN[],7,FALSE),"")</f>
        <v>Core</v>
      </c>
      <c r="S31" s="118" t="str">
        <f>IFERROR(VLOOKUP(TableHandbook[[#This Row],[UDC]],TableGDMMJRN[],7,FALSE),"")</f>
        <v/>
      </c>
      <c r="T31" s="184" t="str">
        <f>IFERROR(VLOOKUP(TableHandbook[[#This Row],[UDC]],TableGCMMJRN[],7,FALSE),"")</f>
        <v/>
      </c>
      <c r="U31" s="183" t="str">
        <f>IFERROR(VLOOKUP(TableHandbook[[#This Row],[UDC]],TableMCHRIGLO[],7,FALSE),"")</f>
        <v>AltCore</v>
      </c>
      <c r="V31" s="118" t="str">
        <f>IFERROR(VLOOKUP(TableHandbook[[#This Row],[UDC]],TableMCHRIGHT[],7,FALSE),"")</f>
        <v>AltCore</v>
      </c>
      <c r="W31" s="118" t="str">
        <f>IFERROR(VLOOKUP(TableHandbook[[#This Row],[UDC]],TableGDHRIGHT[],7,FALSE),"")</f>
        <v/>
      </c>
      <c r="X31" s="184" t="str">
        <f>IFERROR(VLOOKUP(TableHandbook[[#This Row],[UDC]],TableGCHRIGHT[],7,FALSE),"")</f>
        <v/>
      </c>
      <c r="Y31" s="183" t="str">
        <f>IFERROR(VLOOKUP(TableHandbook[[#This Row],[UDC]],TableMCGLOBL2[],7,FALSE),"")</f>
        <v>AltCore</v>
      </c>
      <c r="Z31" s="118" t="str">
        <f>IFERROR(VLOOKUP(TableHandbook[[#This Row],[UDC]],TableMCGLOBL[],7,FALSE),"")</f>
        <v>AltCore</v>
      </c>
      <c r="AA31" s="297" t="str">
        <f>IFERROR(VLOOKUP(TableHandbook[[#This Row],[UDC]],TableSTRPGLOBL[],7,FALSE),"")</f>
        <v/>
      </c>
      <c r="AB31" s="297" t="str">
        <f>IFERROR(VLOOKUP(TableHandbook[[#This Row],[UDC]],TableSTRPHRIGT[],7,FALSE),"")</f>
        <v/>
      </c>
      <c r="AC31" s="297" t="str">
        <f>IFERROR(VLOOKUP(TableHandbook[[#This Row],[UDC]],TableSTRPINTRN[],7,FALSE),"")</f>
        <v/>
      </c>
      <c r="AD31" s="184" t="str">
        <f>IFERROR(VLOOKUP(TableHandbook[[#This Row],[UDC]],TableGCGLOBL[],7,FALSE),"")</f>
        <v/>
      </c>
      <c r="AE31" s="183" t="str">
        <f>IFERROR(VLOOKUP(TableHandbook[[#This Row],[UDC]],TableMCNETSCM[],7,FALSE),"")</f>
        <v/>
      </c>
      <c r="AF31" s="118" t="str">
        <f>IFERROR(VLOOKUP(TableHandbook[[#This Row],[UDC]],TableGDNETSCM[],7,FALSE),"")</f>
        <v/>
      </c>
      <c r="AG31" s="184" t="str">
        <f>IFERROR(VLOOKUP(TableHandbook[[#This Row],[UDC]],TableGCNETSCM[],7,FALSE),"")</f>
        <v/>
      </c>
      <c r="AH31" s="183" t="str">
        <f>IFERROR(VLOOKUP(TableHandbook[[#This Row],[UDC]],TableMCINTRNS[],7,FALSE),"")</f>
        <v>Option</v>
      </c>
      <c r="AI31" s="118" t="str">
        <f>IFERROR(VLOOKUP(TableHandbook[[#This Row],[UDC]],TableGDINTRNS[],7,FALSE),"")</f>
        <v/>
      </c>
      <c r="AJ31" s="184" t="str">
        <f>IFERROR(VLOOKUP(TableHandbook[[#This Row],[UDC]],TableGCINTRNS[],7,FALSE),"")</f>
        <v/>
      </c>
    </row>
    <row r="32" spans="1:36" x14ac:dyDescent="0.25">
      <c r="A32" s="6" t="s">
        <v>377</v>
      </c>
      <c r="B32" s="7">
        <v>1</v>
      </c>
      <c r="C32" s="6"/>
      <c r="D32" s="6" t="s">
        <v>378</v>
      </c>
      <c r="E32" s="7">
        <v>50</v>
      </c>
      <c r="F32" s="186" t="s">
        <v>77</v>
      </c>
      <c r="G32" s="75" t="str">
        <f>IFERROR(IF(VLOOKUP(TableHandbook[[#This Row],[UDC]],TableAvailabilities[],2,FALSE)&gt;0,"Y",""),"")</f>
        <v/>
      </c>
      <c r="H32" s="116" t="str">
        <f>IFERROR(IF(VLOOKUP(TableHandbook[[#This Row],[UDC]],TableAvailabilities[],3,FALSE)&gt;0,"Y",""),"")</f>
        <v/>
      </c>
      <c r="I32" s="117" t="str">
        <f>IFERROR(IF(VLOOKUP(TableHandbook[[#This Row],[UDC]],TableAvailabilities[],4,FALSE)&gt;0,"Y",""),"")</f>
        <v/>
      </c>
      <c r="J32" s="76" t="str">
        <f>IFERROR(IF(VLOOKUP(TableHandbook[[#This Row],[UDC]],TableAvailabilities[],5,FALSE)&gt;0,"Y",""),"")</f>
        <v/>
      </c>
      <c r="K32" s="289" t="s">
        <v>375</v>
      </c>
      <c r="L32" s="183" t="str">
        <f>IFERROR(VLOOKUP(TableHandbook[[#This Row],[UDC]],TableMCARTS[],7,FALSE),"")</f>
        <v/>
      </c>
      <c r="M32" s="118" t="str">
        <f>IFERROR(VLOOKUP(TableHandbook[[#This Row],[UDC]],TableMJRPCWRIT[],7,FALSE),"")</f>
        <v/>
      </c>
      <c r="N32" s="118" t="str">
        <f>IFERROR(VLOOKUP(TableHandbook[[#This Row],[UDC]],TableMJRPFINAR[],7,FALSE),"")</f>
        <v/>
      </c>
      <c r="O32" s="118" t="str">
        <f>IFERROR(VLOOKUP(TableHandbook[[#This Row],[UDC]],TableMJRPPWRIT[],7,FALSE),"")</f>
        <v/>
      </c>
      <c r="P32" s="184" t="str">
        <f>IFERROR(VLOOKUP(TableHandbook[[#This Row],[UDC]],TableMJRPSCRAR[],7,FALSE),"")</f>
        <v/>
      </c>
      <c r="Q32" s="183" t="str">
        <f>IFERROR(VLOOKUP(TableHandbook[[#This Row],[UDC]],TableMCMMJRG[],7,FALSE),"")</f>
        <v/>
      </c>
      <c r="R32" s="118" t="str">
        <f>IFERROR(VLOOKUP(TableHandbook[[#This Row],[UDC]],TableMCMMJRN[],7,FALSE),"")</f>
        <v/>
      </c>
      <c r="S32" s="118" t="str">
        <f>IFERROR(VLOOKUP(TableHandbook[[#This Row],[UDC]],TableGDMMJRN[],7,FALSE),"")</f>
        <v/>
      </c>
      <c r="T32" s="184" t="str">
        <f>IFERROR(VLOOKUP(TableHandbook[[#This Row],[UDC]],TableGCMMJRN[],7,FALSE),"")</f>
        <v/>
      </c>
      <c r="U32" s="183" t="str">
        <f>IFERROR(VLOOKUP(TableHandbook[[#This Row],[UDC]],TableMCHRIGLO[],7,FALSE),"")</f>
        <v/>
      </c>
      <c r="V32" s="118" t="str">
        <f>IFERROR(VLOOKUP(TableHandbook[[#This Row],[UDC]],TableMCHRIGHT[],7,FALSE),"")</f>
        <v/>
      </c>
      <c r="W32" s="118" t="str">
        <f>IFERROR(VLOOKUP(TableHandbook[[#This Row],[UDC]],TableGDHRIGHT[],7,FALSE),"")</f>
        <v/>
      </c>
      <c r="X32" s="184" t="str">
        <f>IFERROR(VLOOKUP(TableHandbook[[#This Row],[UDC]],TableGCHRIGHT[],7,FALSE),"")</f>
        <v/>
      </c>
      <c r="Y32" s="183" t="str">
        <f>IFERROR(VLOOKUP(TableHandbook[[#This Row],[UDC]],TableMCGLOBL2[],7,FALSE),"")</f>
        <v/>
      </c>
      <c r="Z32" s="118" t="str">
        <f>IFERROR(VLOOKUP(TableHandbook[[#This Row],[UDC]],TableMCGLOBL[],7,FALSE),"")</f>
        <v/>
      </c>
      <c r="AA32" s="297" t="str">
        <f>IFERROR(VLOOKUP(TableHandbook[[#This Row],[UDC]],TableSTRPGLOBL[],7,FALSE),"")</f>
        <v/>
      </c>
      <c r="AB32" s="297" t="str">
        <f>IFERROR(VLOOKUP(TableHandbook[[#This Row],[UDC]],TableSTRPHRIGT[],7,FALSE),"")</f>
        <v/>
      </c>
      <c r="AC32" s="297" t="str">
        <f>IFERROR(VLOOKUP(TableHandbook[[#This Row],[UDC]],TableSTRPINTRN[],7,FALSE),"")</f>
        <v/>
      </c>
      <c r="AD32" s="184" t="str">
        <f>IFERROR(VLOOKUP(TableHandbook[[#This Row],[UDC]],TableGCGLOBL[],7,FALSE),"")</f>
        <v/>
      </c>
      <c r="AE32" s="183" t="str">
        <f>IFERROR(VLOOKUP(TableHandbook[[#This Row],[UDC]],TableMCNETSCM[],7,FALSE),"")</f>
        <v/>
      </c>
      <c r="AF32" s="118" t="str">
        <f>IFERROR(VLOOKUP(TableHandbook[[#This Row],[UDC]],TableGDNETSCM[],7,FALSE),"")</f>
        <v/>
      </c>
      <c r="AG32" s="184" t="str">
        <f>IFERROR(VLOOKUP(TableHandbook[[#This Row],[UDC]],TableGCNETSCM[],7,FALSE),"")</f>
        <v/>
      </c>
      <c r="AH32" s="183" t="str">
        <f>IFERROR(VLOOKUP(TableHandbook[[#This Row],[UDC]],TableMCINTRNS[],7,FALSE),"")</f>
        <v/>
      </c>
      <c r="AI32" s="118" t="str">
        <f>IFERROR(VLOOKUP(TableHandbook[[#This Row],[UDC]],TableGDINTRNS[],7,FALSE),"")</f>
        <v/>
      </c>
      <c r="AJ32" s="184" t="str">
        <f>IFERROR(VLOOKUP(TableHandbook[[#This Row],[UDC]],TableGCINTRNS[],7,FALSE),"")</f>
        <v/>
      </c>
    </row>
    <row r="33" spans="1:36" x14ac:dyDescent="0.25">
      <c r="A33" s="6" t="s">
        <v>77</v>
      </c>
      <c r="B33" s="7">
        <v>1</v>
      </c>
      <c r="C33" s="6"/>
      <c r="D33" s="6" t="s">
        <v>379</v>
      </c>
      <c r="E33" s="7">
        <v>25</v>
      </c>
      <c r="F33" s="186" t="s">
        <v>51</v>
      </c>
      <c r="G33" s="75" t="str">
        <f>IFERROR(IF(VLOOKUP(TableHandbook[[#This Row],[UDC]],TableAvailabilities[],2,FALSE)&gt;0,"Y",""),"")</f>
        <v>Y</v>
      </c>
      <c r="H33" s="116" t="str">
        <f>IFERROR(IF(VLOOKUP(TableHandbook[[#This Row],[UDC]],TableAvailabilities[],3,FALSE)&gt;0,"Y",""),"")</f>
        <v/>
      </c>
      <c r="I33" s="117" t="str">
        <f>IFERROR(IF(VLOOKUP(TableHandbook[[#This Row],[UDC]],TableAvailabilities[],4,FALSE)&gt;0,"Y",""),"")</f>
        <v>Y</v>
      </c>
      <c r="J33" s="76" t="str">
        <f>IFERROR(IF(VLOOKUP(TableHandbook[[#This Row],[UDC]],TableAvailabilities[],5,FALSE)&gt;0,"Y",""),"")</f>
        <v/>
      </c>
      <c r="K33" s="289"/>
      <c r="L33" s="183" t="str">
        <f>IFERROR(VLOOKUP(TableHandbook[[#This Row],[UDC]],TableMCARTS[],7,FALSE),"")</f>
        <v/>
      </c>
      <c r="M33" s="118" t="str">
        <f>IFERROR(VLOOKUP(TableHandbook[[#This Row],[UDC]],TableMJRPCWRIT[],7,FALSE),"")</f>
        <v>Core</v>
      </c>
      <c r="N33" s="118" t="str">
        <f>IFERROR(VLOOKUP(TableHandbook[[#This Row],[UDC]],TableMJRPFINAR[],7,FALSE),"")</f>
        <v>Core</v>
      </c>
      <c r="O33" s="118" t="str">
        <f>IFERROR(VLOOKUP(TableHandbook[[#This Row],[UDC]],TableMJRPPWRIT[],7,FALSE),"")</f>
        <v>Core</v>
      </c>
      <c r="P33" s="184" t="str">
        <f>IFERROR(VLOOKUP(TableHandbook[[#This Row],[UDC]],TableMJRPSCRAR[],7,FALSE),"")</f>
        <v>Core</v>
      </c>
      <c r="Q33" s="183" t="str">
        <f>IFERROR(VLOOKUP(TableHandbook[[#This Row],[UDC]],TableMCMMJRG[],7,FALSE),"")</f>
        <v/>
      </c>
      <c r="R33" s="118" t="str">
        <f>IFERROR(VLOOKUP(TableHandbook[[#This Row],[UDC]],TableMCMMJRN[],7,FALSE),"")</f>
        <v/>
      </c>
      <c r="S33" s="118" t="str">
        <f>IFERROR(VLOOKUP(TableHandbook[[#This Row],[UDC]],TableGDMMJRN[],7,FALSE),"")</f>
        <v/>
      </c>
      <c r="T33" s="184" t="str">
        <f>IFERROR(VLOOKUP(TableHandbook[[#This Row],[UDC]],TableGCMMJRN[],7,FALSE),"")</f>
        <v/>
      </c>
      <c r="U33" s="183" t="str">
        <f>IFERROR(VLOOKUP(TableHandbook[[#This Row],[UDC]],TableMCHRIGLO[],7,FALSE),"")</f>
        <v/>
      </c>
      <c r="V33" s="118" t="str">
        <f>IFERROR(VLOOKUP(TableHandbook[[#This Row],[UDC]],TableMCHRIGHT[],7,FALSE),"")</f>
        <v/>
      </c>
      <c r="W33" s="118" t="str">
        <f>IFERROR(VLOOKUP(TableHandbook[[#This Row],[UDC]],TableGDHRIGHT[],7,FALSE),"")</f>
        <v/>
      </c>
      <c r="X33" s="184" t="str">
        <f>IFERROR(VLOOKUP(TableHandbook[[#This Row],[UDC]],TableGCHRIGHT[],7,FALSE),"")</f>
        <v/>
      </c>
      <c r="Y33" s="183" t="str">
        <f>IFERROR(VLOOKUP(TableHandbook[[#This Row],[UDC]],TableMCGLOBL2[],7,FALSE),"")</f>
        <v/>
      </c>
      <c r="Z33" s="118" t="str">
        <f>IFERROR(VLOOKUP(TableHandbook[[#This Row],[UDC]],TableMCGLOBL[],7,FALSE),"")</f>
        <v/>
      </c>
      <c r="AA33" s="297" t="str">
        <f>IFERROR(VLOOKUP(TableHandbook[[#This Row],[UDC]],TableSTRPGLOBL[],7,FALSE),"")</f>
        <v/>
      </c>
      <c r="AB33" s="297" t="str">
        <f>IFERROR(VLOOKUP(TableHandbook[[#This Row],[UDC]],TableSTRPHRIGT[],7,FALSE),"")</f>
        <v/>
      </c>
      <c r="AC33" s="297" t="str">
        <f>IFERROR(VLOOKUP(TableHandbook[[#This Row],[UDC]],TableSTRPINTRN[],7,FALSE),"")</f>
        <v/>
      </c>
      <c r="AD33" s="184" t="str">
        <f>IFERROR(VLOOKUP(TableHandbook[[#This Row],[UDC]],TableGCGLOBL[],7,FALSE),"")</f>
        <v/>
      </c>
      <c r="AE33" s="183" t="str">
        <f>IFERROR(VLOOKUP(TableHandbook[[#This Row],[UDC]],TableMCNETSCM[],7,FALSE),"")</f>
        <v/>
      </c>
      <c r="AF33" s="118" t="str">
        <f>IFERROR(VLOOKUP(TableHandbook[[#This Row],[UDC]],TableGDNETSCM[],7,FALSE),"")</f>
        <v/>
      </c>
      <c r="AG33" s="184" t="str">
        <f>IFERROR(VLOOKUP(TableHandbook[[#This Row],[UDC]],TableGCNETSCM[],7,FALSE),"")</f>
        <v/>
      </c>
      <c r="AH33" s="183" t="str">
        <f>IFERROR(VLOOKUP(TableHandbook[[#This Row],[UDC]],TableMCINTRNS[],7,FALSE),"")</f>
        <v/>
      </c>
      <c r="AI33" s="118" t="str">
        <f>IFERROR(VLOOKUP(TableHandbook[[#This Row],[UDC]],TableGDINTRNS[],7,FALSE),"")</f>
        <v/>
      </c>
      <c r="AJ33" s="184" t="str">
        <f>IFERROR(VLOOKUP(TableHandbook[[#This Row],[UDC]],TableGCINTRNS[],7,FALSE),"")</f>
        <v/>
      </c>
    </row>
    <row r="34" spans="1:36" x14ac:dyDescent="0.25">
      <c r="A34" s="5" t="s">
        <v>174</v>
      </c>
      <c r="B34" s="73">
        <v>1</v>
      </c>
      <c r="C34" s="5"/>
      <c r="D34" s="5" t="s">
        <v>380</v>
      </c>
      <c r="E34" s="73">
        <v>25</v>
      </c>
      <c r="F34" s="188" t="s">
        <v>368</v>
      </c>
      <c r="G34" s="75" t="str">
        <f>IFERROR(IF(VLOOKUP(TableHandbook[[#This Row],[UDC]],TableAvailabilities[],2,FALSE)&gt;0,"Y",""),"")</f>
        <v>Y</v>
      </c>
      <c r="H34" s="116" t="str">
        <f>IFERROR(IF(VLOOKUP(TableHandbook[[#This Row],[UDC]],TableAvailabilities[],3,FALSE)&gt;0,"Y",""),"")</f>
        <v/>
      </c>
      <c r="I34" s="117" t="str">
        <f>IFERROR(IF(VLOOKUP(TableHandbook[[#This Row],[UDC]],TableAvailabilities[],4,FALSE)&gt;0,"Y",""),"")</f>
        <v/>
      </c>
      <c r="J34" s="76" t="str">
        <f>IFERROR(IF(VLOOKUP(TableHandbook[[#This Row],[UDC]],TableAvailabilities[],5,FALSE)&gt;0,"Y",""),"")</f>
        <v/>
      </c>
      <c r="K34" s="289"/>
      <c r="L34" s="183" t="str">
        <f>IFERROR(VLOOKUP(TableHandbook[[#This Row],[UDC]],TableMCARTS[],7,FALSE),"")</f>
        <v/>
      </c>
      <c r="M34" s="118" t="str">
        <f>IFERROR(VLOOKUP(TableHandbook[[#This Row],[UDC]],TableMJRPCWRIT[],7,FALSE),"")</f>
        <v>Option</v>
      </c>
      <c r="N34" s="118" t="str">
        <f>IFERROR(VLOOKUP(TableHandbook[[#This Row],[UDC]],TableMJRPFINAR[],7,FALSE),"")</f>
        <v/>
      </c>
      <c r="O34" s="118" t="str">
        <f>IFERROR(VLOOKUP(TableHandbook[[#This Row],[UDC]],TableMJRPPWRIT[],7,FALSE),"")</f>
        <v/>
      </c>
      <c r="P34" s="184" t="str">
        <f>IFERROR(VLOOKUP(TableHandbook[[#This Row],[UDC]],TableMJRPSCRAR[],7,FALSE),"")</f>
        <v/>
      </c>
      <c r="Q34" s="183" t="str">
        <f>IFERROR(VLOOKUP(TableHandbook[[#This Row],[UDC]],TableMCMMJRG[],7,FALSE),"")</f>
        <v/>
      </c>
      <c r="R34" s="118" t="str">
        <f>IFERROR(VLOOKUP(TableHandbook[[#This Row],[UDC]],TableMCMMJRN[],7,FALSE),"")</f>
        <v/>
      </c>
      <c r="S34" s="118" t="str">
        <f>IFERROR(VLOOKUP(TableHandbook[[#This Row],[UDC]],TableGDMMJRN[],7,FALSE),"")</f>
        <v/>
      </c>
      <c r="T34" s="184" t="str">
        <f>IFERROR(VLOOKUP(TableHandbook[[#This Row],[UDC]],TableGCMMJRN[],7,FALSE),"")</f>
        <v/>
      </c>
      <c r="U34" s="183" t="str">
        <f>IFERROR(VLOOKUP(TableHandbook[[#This Row],[UDC]],TableMCHRIGLO[],7,FALSE),"")</f>
        <v/>
      </c>
      <c r="V34" s="118" t="str">
        <f>IFERROR(VLOOKUP(TableHandbook[[#This Row],[UDC]],TableMCHRIGHT[],7,FALSE),"")</f>
        <v/>
      </c>
      <c r="W34" s="118" t="str">
        <f>IFERROR(VLOOKUP(TableHandbook[[#This Row],[UDC]],TableGDHRIGHT[],7,FALSE),"")</f>
        <v/>
      </c>
      <c r="X34" s="184" t="str">
        <f>IFERROR(VLOOKUP(TableHandbook[[#This Row],[UDC]],TableGCHRIGHT[],7,FALSE),"")</f>
        <v/>
      </c>
      <c r="Y34" s="183" t="str">
        <f>IFERROR(VLOOKUP(TableHandbook[[#This Row],[UDC]],TableMCGLOBL2[],7,FALSE),"")</f>
        <v/>
      </c>
      <c r="Z34" s="118" t="str">
        <f>IFERROR(VLOOKUP(TableHandbook[[#This Row],[UDC]],TableMCGLOBL[],7,FALSE),"")</f>
        <v/>
      </c>
      <c r="AA34" s="297" t="str">
        <f>IFERROR(VLOOKUP(TableHandbook[[#This Row],[UDC]],TableSTRPGLOBL[],7,FALSE),"")</f>
        <v/>
      </c>
      <c r="AB34" s="297" t="str">
        <f>IFERROR(VLOOKUP(TableHandbook[[#This Row],[UDC]],TableSTRPHRIGT[],7,FALSE),"")</f>
        <v/>
      </c>
      <c r="AC34" s="297" t="str">
        <f>IFERROR(VLOOKUP(TableHandbook[[#This Row],[UDC]],TableSTRPINTRN[],7,FALSE),"")</f>
        <v/>
      </c>
      <c r="AD34" s="184" t="str">
        <f>IFERROR(VLOOKUP(TableHandbook[[#This Row],[UDC]],TableGCGLOBL[],7,FALSE),"")</f>
        <v/>
      </c>
      <c r="AE34" s="183" t="str">
        <f>IFERROR(VLOOKUP(TableHandbook[[#This Row],[UDC]],TableMCNETSCM[],7,FALSE),"")</f>
        <v/>
      </c>
      <c r="AF34" s="118" t="str">
        <f>IFERROR(VLOOKUP(TableHandbook[[#This Row],[UDC]],TableGDNETSCM[],7,FALSE),"")</f>
        <v/>
      </c>
      <c r="AG34" s="184" t="str">
        <f>IFERROR(VLOOKUP(TableHandbook[[#This Row],[UDC]],TableGCNETSCM[],7,FALSE),"")</f>
        <v/>
      </c>
      <c r="AH34" s="183" t="str">
        <f>IFERROR(VLOOKUP(TableHandbook[[#This Row],[UDC]],TableMCINTRNS[],7,FALSE),"")</f>
        <v/>
      </c>
      <c r="AI34" s="118" t="str">
        <f>IFERROR(VLOOKUP(TableHandbook[[#This Row],[UDC]],TableGDINTRNS[],7,FALSE),"")</f>
        <v/>
      </c>
      <c r="AJ34" s="184" t="str">
        <f>IFERROR(VLOOKUP(TableHandbook[[#This Row],[UDC]],TableGCINTRNS[],7,FALSE),"")</f>
        <v/>
      </c>
    </row>
    <row r="35" spans="1:36" x14ac:dyDescent="0.25">
      <c r="A35" s="6" t="s">
        <v>180</v>
      </c>
      <c r="B35" s="7">
        <v>1</v>
      </c>
      <c r="C35" s="6"/>
      <c r="D35" s="6" t="s">
        <v>381</v>
      </c>
      <c r="E35" s="7">
        <v>25</v>
      </c>
      <c r="F35" s="186" t="s">
        <v>368</v>
      </c>
      <c r="G35" s="75" t="str">
        <f>IFERROR(IF(VLOOKUP(TableHandbook[[#This Row],[UDC]],TableAvailabilities[],2,FALSE)&gt;0,"Y",""),"")</f>
        <v>Y</v>
      </c>
      <c r="H35" s="116" t="str">
        <f>IFERROR(IF(VLOOKUP(TableHandbook[[#This Row],[UDC]],TableAvailabilities[],3,FALSE)&gt;0,"Y",""),"")</f>
        <v/>
      </c>
      <c r="I35" s="117" t="str">
        <f>IFERROR(IF(VLOOKUP(TableHandbook[[#This Row],[UDC]],TableAvailabilities[],4,FALSE)&gt;0,"Y",""),"")</f>
        <v/>
      </c>
      <c r="J35" s="76" t="str">
        <f>IFERROR(IF(VLOOKUP(TableHandbook[[#This Row],[UDC]],TableAvailabilities[],5,FALSE)&gt;0,"Y",""),"")</f>
        <v/>
      </c>
      <c r="K35" s="289"/>
      <c r="L35" s="183" t="str">
        <f>IFERROR(VLOOKUP(TableHandbook[[#This Row],[UDC]],TableMCARTS[],7,FALSE),"")</f>
        <v/>
      </c>
      <c r="M35" s="118" t="str">
        <f>IFERROR(VLOOKUP(TableHandbook[[#This Row],[UDC]],TableMJRPCWRIT[],7,FALSE),"")</f>
        <v>Option</v>
      </c>
      <c r="N35" s="118" t="str">
        <f>IFERROR(VLOOKUP(TableHandbook[[#This Row],[UDC]],TableMJRPFINAR[],7,FALSE),"")</f>
        <v/>
      </c>
      <c r="O35" s="118" t="str">
        <f>IFERROR(VLOOKUP(TableHandbook[[#This Row],[UDC]],TableMJRPPWRIT[],7,FALSE),"")</f>
        <v/>
      </c>
      <c r="P35" s="184" t="str">
        <f>IFERROR(VLOOKUP(TableHandbook[[#This Row],[UDC]],TableMJRPSCRAR[],7,FALSE),"")</f>
        <v/>
      </c>
      <c r="Q35" s="183" t="str">
        <f>IFERROR(VLOOKUP(TableHandbook[[#This Row],[UDC]],TableMCMMJRG[],7,FALSE),"")</f>
        <v/>
      </c>
      <c r="R35" s="118" t="str">
        <f>IFERROR(VLOOKUP(TableHandbook[[#This Row],[UDC]],TableMCMMJRN[],7,FALSE),"")</f>
        <v/>
      </c>
      <c r="S35" s="118" t="str">
        <f>IFERROR(VLOOKUP(TableHandbook[[#This Row],[UDC]],TableGDMMJRN[],7,FALSE),"")</f>
        <v/>
      </c>
      <c r="T35" s="184" t="str">
        <f>IFERROR(VLOOKUP(TableHandbook[[#This Row],[UDC]],TableGCMMJRN[],7,FALSE),"")</f>
        <v/>
      </c>
      <c r="U35" s="183" t="str">
        <f>IFERROR(VLOOKUP(TableHandbook[[#This Row],[UDC]],TableMCHRIGLO[],7,FALSE),"")</f>
        <v/>
      </c>
      <c r="V35" s="118" t="str">
        <f>IFERROR(VLOOKUP(TableHandbook[[#This Row],[UDC]],TableMCHRIGHT[],7,FALSE),"")</f>
        <v/>
      </c>
      <c r="W35" s="118" t="str">
        <f>IFERROR(VLOOKUP(TableHandbook[[#This Row],[UDC]],TableGDHRIGHT[],7,FALSE),"")</f>
        <v/>
      </c>
      <c r="X35" s="184" t="str">
        <f>IFERROR(VLOOKUP(TableHandbook[[#This Row],[UDC]],TableGCHRIGHT[],7,FALSE),"")</f>
        <v/>
      </c>
      <c r="Y35" s="183" t="str">
        <f>IFERROR(VLOOKUP(TableHandbook[[#This Row],[UDC]],TableMCGLOBL2[],7,FALSE),"")</f>
        <v/>
      </c>
      <c r="Z35" s="118" t="str">
        <f>IFERROR(VLOOKUP(TableHandbook[[#This Row],[UDC]],TableMCGLOBL[],7,FALSE),"")</f>
        <v/>
      </c>
      <c r="AA35" s="297" t="str">
        <f>IFERROR(VLOOKUP(TableHandbook[[#This Row],[UDC]],TableSTRPGLOBL[],7,FALSE),"")</f>
        <v/>
      </c>
      <c r="AB35" s="297" t="str">
        <f>IFERROR(VLOOKUP(TableHandbook[[#This Row],[UDC]],TableSTRPHRIGT[],7,FALSE),"")</f>
        <v/>
      </c>
      <c r="AC35" s="297" t="str">
        <f>IFERROR(VLOOKUP(TableHandbook[[#This Row],[UDC]],TableSTRPINTRN[],7,FALSE),"")</f>
        <v/>
      </c>
      <c r="AD35" s="184" t="str">
        <f>IFERROR(VLOOKUP(TableHandbook[[#This Row],[UDC]],TableGCGLOBL[],7,FALSE),"")</f>
        <v/>
      </c>
      <c r="AE35" s="183" t="str">
        <f>IFERROR(VLOOKUP(TableHandbook[[#This Row],[UDC]],TableMCNETSCM[],7,FALSE),"")</f>
        <v/>
      </c>
      <c r="AF35" s="118" t="str">
        <f>IFERROR(VLOOKUP(TableHandbook[[#This Row],[UDC]],TableGDNETSCM[],7,FALSE),"")</f>
        <v/>
      </c>
      <c r="AG35" s="184" t="str">
        <f>IFERROR(VLOOKUP(TableHandbook[[#This Row],[UDC]],TableGCNETSCM[],7,FALSE),"")</f>
        <v/>
      </c>
      <c r="AH35" s="183" t="str">
        <f>IFERROR(VLOOKUP(TableHandbook[[#This Row],[UDC]],TableMCINTRNS[],7,FALSE),"")</f>
        <v/>
      </c>
      <c r="AI35" s="118" t="str">
        <f>IFERROR(VLOOKUP(TableHandbook[[#This Row],[UDC]],TableGDINTRNS[],7,FALSE),"")</f>
        <v/>
      </c>
      <c r="AJ35" s="184" t="str">
        <f>IFERROR(VLOOKUP(TableHandbook[[#This Row],[UDC]],TableGCINTRNS[],7,FALSE),"")</f>
        <v/>
      </c>
    </row>
    <row r="36" spans="1:36" x14ac:dyDescent="0.25">
      <c r="A36" s="6" t="s">
        <v>186</v>
      </c>
      <c r="B36" s="7">
        <v>1</v>
      </c>
      <c r="C36" s="6"/>
      <c r="D36" s="6" t="s">
        <v>382</v>
      </c>
      <c r="E36" s="7">
        <v>25</v>
      </c>
      <c r="F36" s="186" t="s">
        <v>368</v>
      </c>
      <c r="G36" s="75" t="str">
        <f>IFERROR(IF(VLOOKUP(TableHandbook[[#This Row],[UDC]],TableAvailabilities[],2,FALSE)&gt;0,"Y",""),"")</f>
        <v/>
      </c>
      <c r="H36" s="116" t="str">
        <f>IFERROR(IF(VLOOKUP(TableHandbook[[#This Row],[UDC]],TableAvailabilities[],3,FALSE)&gt;0,"Y",""),"")</f>
        <v/>
      </c>
      <c r="I36" s="117" t="str">
        <f>IFERROR(IF(VLOOKUP(TableHandbook[[#This Row],[UDC]],TableAvailabilities[],4,FALSE)&gt;0,"Y",""),"")</f>
        <v>Y</v>
      </c>
      <c r="J36" s="76" t="str">
        <f>IFERROR(IF(VLOOKUP(TableHandbook[[#This Row],[UDC]],TableAvailabilities[],5,FALSE)&gt;0,"Y",""),"")</f>
        <v/>
      </c>
      <c r="K36" s="289"/>
      <c r="L36" s="183" t="str">
        <f>IFERROR(VLOOKUP(TableHandbook[[#This Row],[UDC]],TableMCARTS[],7,FALSE),"")</f>
        <v/>
      </c>
      <c r="M36" s="118" t="str">
        <f>IFERROR(VLOOKUP(TableHandbook[[#This Row],[UDC]],TableMJRPCWRIT[],7,FALSE),"")</f>
        <v>Option</v>
      </c>
      <c r="N36" s="118" t="str">
        <f>IFERROR(VLOOKUP(TableHandbook[[#This Row],[UDC]],TableMJRPFINAR[],7,FALSE),"")</f>
        <v/>
      </c>
      <c r="O36" s="118" t="str">
        <f>IFERROR(VLOOKUP(TableHandbook[[#This Row],[UDC]],TableMJRPPWRIT[],7,FALSE),"")</f>
        <v/>
      </c>
      <c r="P36" s="184" t="str">
        <f>IFERROR(VLOOKUP(TableHandbook[[#This Row],[UDC]],TableMJRPSCRAR[],7,FALSE),"")</f>
        <v/>
      </c>
      <c r="Q36" s="183" t="str">
        <f>IFERROR(VLOOKUP(TableHandbook[[#This Row],[UDC]],TableMCMMJRG[],7,FALSE),"")</f>
        <v/>
      </c>
      <c r="R36" s="118" t="str">
        <f>IFERROR(VLOOKUP(TableHandbook[[#This Row],[UDC]],TableMCMMJRN[],7,FALSE),"")</f>
        <v/>
      </c>
      <c r="S36" s="118" t="str">
        <f>IFERROR(VLOOKUP(TableHandbook[[#This Row],[UDC]],TableGDMMJRN[],7,FALSE),"")</f>
        <v/>
      </c>
      <c r="T36" s="184" t="str">
        <f>IFERROR(VLOOKUP(TableHandbook[[#This Row],[UDC]],TableGCMMJRN[],7,FALSE),"")</f>
        <v/>
      </c>
      <c r="U36" s="183" t="str">
        <f>IFERROR(VLOOKUP(TableHandbook[[#This Row],[UDC]],TableMCHRIGLO[],7,FALSE),"")</f>
        <v/>
      </c>
      <c r="V36" s="118" t="str">
        <f>IFERROR(VLOOKUP(TableHandbook[[#This Row],[UDC]],TableMCHRIGHT[],7,FALSE),"")</f>
        <v/>
      </c>
      <c r="W36" s="118" t="str">
        <f>IFERROR(VLOOKUP(TableHandbook[[#This Row],[UDC]],TableGDHRIGHT[],7,FALSE),"")</f>
        <v/>
      </c>
      <c r="X36" s="184" t="str">
        <f>IFERROR(VLOOKUP(TableHandbook[[#This Row],[UDC]],TableGCHRIGHT[],7,FALSE),"")</f>
        <v/>
      </c>
      <c r="Y36" s="183" t="str">
        <f>IFERROR(VLOOKUP(TableHandbook[[#This Row],[UDC]],TableMCGLOBL2[],7,FALSE),"")</f>
        <v/>
      </c>
      <c r="Z36" s="118" t="str">
        <f>IFERROR(VLOOKUP(TableHandbook[[#This Row],[UDC]],TableMCGLOBL[],7,FALSE),"")</f>
        <v/>
      </c>
      <c r="AA36" s="297" t="str">
        <f>IFERROR(VLOOKUP(TableHandbook[[#This Row],[UDC]],TableSTRPGLOBL[],7,FALSE),"")</f>
        <v/>
      </c>
      <c r="AB36" s="297" t="str">
        <f>IFERROR(VLOOKUP(TableHandbook[[#This Row],[UDC]],TableSTRPHRIGT[],7,FALSE),"")</f>
        <v/>
      </c>
      <c r="AC36" s="297" t="str">
        <f>IFERROR(VLOOKUP(TableHandbook[[#This Row],[UDC]],TableSTRPINTRN[],7,FALSE),"")</f>
        <v/>
      </c>
      <c r="AD36" s="184" t="str">
        <f>IFERROR(VLOOKUP(TableHandbook[[#This Row],[UDC]],TableGCGLOBL[],7,FALSE),"")</f>
        <v/>
      </c>
      <c r="AE36" s="183" t="str">
        <f>IFERROR(VLOOKUP(TableHandbook[[#This Row],[UDC]],TableMCNETSCM[],7,FALSE),"")</f>
        <v/>
      </c>
      <c r="AF36" s="118" t="str">
        <f>IFERROR(VLOOKUP(TableHandbook[[#This Row],[UDC]],TableGDNETSCM[],7,FALSE),"")</f>
        <v/>
      </c>
      <c r="AG36" s="184" t="str">
        <f>IFERROR(VLOOKUP(TableHandbook[[#This Row],[UDC]],TableGCNETSCM[],7,FALSE),"")</f>
        <v/>
      </c>
      <c r="AH36" s="183" t="str">
        <f>IFERROR(VLOOKUP(TableHandbook[[#This Row],[UDC]],TableMCINTRNS[],7,FALSE),"")</f>
        <v/>
      </c>
      <c r="AI36" s="118" t="str">
        <f>IFERROR(VLOOKUP(TableHandbook[[#This Row],[UDC]],TableGDINTRNS[],7,FALSE),"")</f>
        <v/>
      </c>
      <c r="AJ36" s="184" t="str">
        <f>IFERROR(VLOOKUP(TableHandbook[[#This Row],[UDC]],TableGCINTRNS[],7,FALSE),"")</f>
        <v/>
      </c>
    </row>
    <row r="37" spans="1:36" x14ac:dyDescent="0.25">
      <c r="A37" s="6" t="s">
        <v>190</v>
      </c>
      <c r="B37" s="7">
        <v>1</v>
      </c>
      <c r="C37" s="6"/>
      <c r="D37" s="6" t="s">
        <v>383</v>
      </c>
      <c r="E37" s="7">
        <v>25</v>
      </c>
      <c r="F37" s="186" t="s">
        <v>368</v>
      </c>
      <c r="G37" s="75" t="str">
        <f>IFERROR(IF(VLOOKUP(TableHandbook[[#This Row],[UDC]],TableAvailabilities[],2,FALSE)&gt;0,"Y",""),"")</f>
        <v>Y</v>
      </c>
      <c r="H37" s="116" t="str">
        <f>IFERROR(IF(VLOOKUP(TableHandbook[[#This Row],[UDC]],TableAvailabilities[],3,FALSE)&gt;0,"Y",""),"")</f>
        <v/>
      </c>
      <c r="I37" s="117" t="str">
        <f>IFERROR(IF(VLOOKUP(TableHandbook[[#This Row],[UDC]],TableAvailabilities[],4,FALSE)&gt;0,"Y",""),"")</f>
        <v/>
      </c>
      <c r="J37" s="76" t="str">
        <f>IFERROR(IF(VLOOKUP(TableHandbook[[#This Row],[UDC]],TableAvailabilities[],5,FALSE)&gt;0,"Y",""),"")</f>
        <v/>
      </c>
      <c r="K37" s="289"/>
      <c r="L37" s="183" t="str">
        <f>IFERROR(VLOOKUP(TableHandbook[[#This Row],[UDC]],TableMCARTS[],7,FALSE),"")</f>
        <v/>
      </c>
      <c r="M37" s="118" t="str">
        <f>IFERROR(VLOOKUP(TableHandbook[[#This Row],[UDC]],TableMJRPCWRIT[],7,FALSE),"")</f>
        <v>Option</v>
      </c>
      <c r="N37" s="118" t="str">
        <f>IFERROR(VLOOKUP(TableHandbook[[#This Row],[UDC]],TableMJRPFINAR[],7,FALSE),"")</f>
        <v/>
      </c>
      <c r="O37" s="118" t="str">
        <f>IFERROR(VLOOKUP(TableHandbook[[#This Row],[UDC]],TableMJRPPWRIT[],7,FALSE),"")</f>
        <v>Option</v>
      </c>
      <c r="P37" s="184" t="str">
        <f>IFERROR(VLOOKUP(TableHandbook[[#This Row],[UDC]],TableMJRPSCRAR[],7,FALSE),"")</f>
        <v/>
      </c>
      <c r="Q37" s="183" t="str">
        <f>IFERROR(VLOOKUP(TableHandbook[[#This Row],[UDC]],TableMCMMJRG[],7,FALSE),"")</f>
        <v/>
      </c>
      <c r="R37" s="118" t="str">
        <f>IFERROR(VLOOKUP(TableHandbook[[#This Row],[UDC]],TableMCMMJRN[],7,FALSE),"")</f>
        <v/>
      </c>
      <c r="S37" s="118" t="str">
        <f>IFERROR(VLOOKUP(TableHandbook[[#This Row],[UDC]],TableGDMMJRN[],7,FALSE),"")</f>
        <v/>
      </c>
      <c r="T37" s="184" t="str">
        <f>IFERROR(VLOOKUP(TableHandbook[[#This Row],[UDC]],TableGCMMJRN[],7,FALSE),"")</f>
        <v/>
      </c>
      <c r="U37" s="183" t="str">
        <f>IFERROR(VLOOKUP(TableHandbook[[#This Row],[UDC]],TableMCHRIGLO[],7,FALSE),"")</f>
        <v/>
      </c>
      <c r="V37" s="118" t="str">
        <f>IFERROR(VLOOKUP(TableHandbook[[#This Row],[UDC]],TableMCHRIGHT[],7,FALSE),"")</f>
        <v/>
      </c>
      <c r="W37" s="118" t="str">
        <f>IFERROR(VLOOKUP(TableHandbook[[#This Row],[UDC]],TableGDHRIGHT[],7,FALSE),"")</f>
        <v/>
      </c>
      <c r="X37" s="184" t="str">
        <f>IFERROR(VLOOKUP(TableHandbook[[#This Row],[UDC]],TableGCHRIGHT[],7,FALSE),"")</f>
        <v/>
      </c>
      <c r="Y37" s="183" t="str">
        <f>IFERROR(VLOOKUP(TableHandbook[[#This Row],[UDC]],TableMCGLOBL2[],7,FALSE),"")</f>
        <v/>
      </c>
      <c r="Z37" s="118" t="str">
        <f>IFERROR(VLOOKUP(TableHandbook[[#This Row],[UDC]],TableMCGLOBL[],7,FALSE),"")</f>
        <v/>
      </c>
      <c r="AA37" s="297" t="str">
        <f>IFERROR(VLOOKUP(TableHandbook[[#This Row],[UDC]],TableSTRPGLOBL[],7,FALSE),"")</f>
        <v/>
      </c>
      <c r="AB37" s="297" t="str">
        <f>IFERROR(VLOOKUP(TableHandbook[[#This Row],[UDC]],TableSTRPHRIGT[],7,FALSE),"")</f>
        <v/>
      </c>
      <c r="AC37" s="297" t="str">
        <f>IFERROR(VLOOKUP(TableHandbook[[#This Row],[UDC]],TableSTRPINTRN[],7,FALSE),"")</f>
        <v/>
      </c>
      <c r="AD37" s="184" t="str">
        <f>IFERROR(VLOOKUP(TableHandbook[[#This Row],[UDC]],TableGCGLOBL[],7,FALSE),"")</f>
        <v/>
      </c>
      <c r="AE37" s="183" t="str">
        <f>IFERROR(VLOOKUP(TableHandbook[[#This Row],[UDC]],TableMCNETSCM[],7,FALSE),"")</f>
        <v/>
      </c>
      <c r="AF37" s="118" t="str">
        <f>IFERROR(VLOOKUP(TableHandbook[[#This Row],[UDC]],TableGDNETSCM[],7,FALSE),"")</f>
        <v/>
      </c>
      <c r="AG37" s="184" t="str">
        <f>IFERROR(VLOOKUP(TableHandbook[[#This Row],[UDC]],TableGCNETSCM[],7,FALSE),"")</f>
        <v/>
      </c>
      <c r="AH37" s="183" t="str">
        <f>IFERROR(VLOOKUP(TableHandbook[[#This Row],[UDC]],TableMCINTRNS[],7,FALSE),"")</f>
        <v/>
      </c>
      <c r="AI37" s="118" t="str">
        <f>IFERROR(VLOOKUP(TableHandbook[[#This Row],[UDC]],TableGDINTRNS[],7,FALSE),"")</f>
        <v/>
      </c>
      <c r="AJ37" s="184" t="str">
        <f>IFERROR(VLOOKUP(TableHandbook[[#This Row],[UDC]],TableGCINTRNS[],7,FALSE),"")</f>
        <v/>
      </c>
    </row>
    <row r="38" spans="1:36" x14ac:dyDescent="0.25">
      <c r="A38" s="6" t="s">
        <v>191</v>
      </c>
      <c r="B38" s="7">
        <v>1</v>
      </c>
      <c r="C38" s="6"/>
      <c r="D38" s="6" t="s">
        <v>384</v>
      </c>
      <c r="E38" s="7">
        <v>25</v>
      </c>
      <c r="F38" s="186" t="s">
        <v>368</v>
      </c>
      <c r="G38" s="75" t="str">
        <f>IFERROR(IF(VLOOKUP(TableHandbook[[#This Row],[UDC]],TableAvailabilities[],2,FALSE)&gt;0,"Y",""),"")</f>
        <v>Y</v>
      </c>
      <c r="H38" s="116" t="str">
        <f>IFERROR(IF(VLOOKUP(TableHandbook[[#This Row],[UDC]],TableAvailabilities[],3,FALSE)&gt;0,"Y",""),"")</f>
        <v/>
      </c>
      <c r="I38" s="117" t="str">
        <f>IFERROR(IF(VLOOKUP(TableHandbook[[#This Row],[UDC]],TableAvailabilities[],4,FALSE)&gt;0,"Y",""),"")</f>
        <v/>
      </c>
      <c r="J38" s="76" t="str">
        <f>IFERROR(IF(VLOOKUP(TableHandbook[[#This Row],[UDC]],TableAvailabilities[],5,FALSE)&gt;0,"Y",""),"")</f>
        <v/>
      </c>
      <c r="K38" s="289"/>
      <c r="L38" s="183" t="str">
        <f>IFERROR(VLOOKUP(TableHandbook[[#This Row],[UDC]],TableMCARTS[],7,FALSE),"")</f>
        <v/>
      </c>
      <c r="M38" s="118" t="str">
        <f>IFERROR(VLOOKUP(TableHandbook[[#This Row],[UDC]],TableMJRPCWRIT[],7,FALSE),"")</f>
        <v>Option</v>
      </c>
      <c r="N38" s="118" t="str">
        <f>IFERROR(VLOOKUP(TableHandbook[[#This Row],[UDC]],TableMJRPFINAR[],7,FALSE),"")</f>
        <v/>
      </c>
      <c r="O38" s="118" t="str">
        <f>IFERROR(VLOOKUP(TableHandbook[[#This Row],[UDC]],TableMJRPPWRIT[],7,FALSE),"")</f>
        <v/>
      </c>
      <c r="P38" s="184" t="str">
        <f>IFERROR(VLOOKUP(TableHandbook[[#This Row],[UDC]],TableMJRPSCRAR[],7,FALSE),"")</f>
        <v/>
      </c>
      <c r="Q38" s="183" t="str">
        <f>IFERROR(VLOOKUP(TableHandbook[[#This Row],[UDC]],TableMCMMJRG[],7,FALSE),"")</f>
        <v/>
      </c>
      <c r="R38" s="118" t="str">
        <f>IFERROR(VLOOKUP(TableHandbook[[#This Row],[UDC]],TableMCMMJRN[],7,FALSE),"")</f>
        <v/>
      </c>
      <c r="S38" s="118" t="str">
        <f>IFERROR(VLOOKUP(TableHandbook[[#This Row],[UDC]],TableGDMMJRN[],7,FALSE),"")</f>
        <v/>
      </c>
      <c r="T38" s="184" t="str">
        <f>IFERROR(VLOOKUP(TableHandbook[[#This Row],[UDC]],TableGCMMJRN[],7,FALSE),"")</f>
        <v/>
      </c>
      <c r="U38" s="183" t="str">
        <f>IFERROR(VLOOKUP(TableHandbook[[#This Row],[UDC]],TableMCHRIGLO[],7,FALSE),"")</f>
        <v/>
      </c>
      <c r="V38" s="118" t="str">
        <f>IFERROR(VLOOKUP(TableHandbook[[#This Row],[UDC]],TableMCHRIGHT[],7,FALSE),"")</f>
        <v/>
      </c>
      <c r="W38" s="118" t="str">
        <f>IFERROR(VLOOKUP(TableHandbook[[#This Row],[UDC]],TableGDHRIGHT[],7,FALSE),"")</f>
        <v/>
      </c>
      <c r="X38" s="184" t="str">
        <f>IFERROR(VLOOKUP(TableHandbook[[#This Row],[UDC]],TableGCHRIGHT[],7,FALSE),"")</f>
        <v/>
      </c>
      <c r="Y38" s="183" t="str">
        <f>IFERROR(VLOOKUP(TableHandbook[[#This Row],[UDC]],TableMCGLOBL2[],7,FALSE),"")</f>
        <v/>
      </c>
      <c r="Z38" s="118" t="str">
        <f>IFERROR(VLOOKUP(TableHandbook[[#This Row],[UDC]],TableMCGLOBL[],7,FALSE),"")</f>
        <v/>
      </c>
      <c r="AA38" s="297" t="str">
        <f>IFERROR(VLOOKUP(TableHandbook[[#This Row],[UDC]],TableSTRPGLOBL[],7,FALSE),"")</f>
        <v/>
      </c>
      <c r="AB38" s="297" t="str">
        <f>IFERROR(VLOOKUP(TableHandbook[[#This Row],[UDC]],TableSTRPHRIGT[],7,FALSE),"")</f>
        <v/>
      </c>
      <c r="AC38" s="297" t="str">
        <f>IFERROR(VLOOKUP(TableHandbook[[#This Row],[UDC]],TableSTRPINTRN[],7,FALSE),"")</f>
        <v/>
      </c>
      <c r="AD38" s="184" t="str">
        <f>IFERROR(VLOOKUP(TableHandbook[[#This Row],[UDC]],TableGCGLOBL[],7,FALSE),"")</f>
        <v/>
      </c>
      <c r="AE38" s="183" t="str">
        <f>IFERROR(VLOOKUP(TableHandbook[[#This Row],[UDC]],TableMCNETSCM[],7,FALSE),"")</f>
        <v/>
      </c>
      <c r="AF38" s="118" t="str">
        <f>IFERROR(VLOOKUP(TableHandbook[[#This Row],[UDC]],TableGDNETSCM[],7,FALSE),"")</f>
        <v/>
      </c>
      <c r="AG38" s="184" t="str">
        <f>IFERROR(VLOOKUP(TableHandbook[[#This Row],[UDC]],TableGCNETSCM[],7,FALSE),"")</f>
        <v/>
      </c>
      <c r="AH38" s="183" t="str">
        <f>IFERROR(VLOOKUP(TableHandbook[[#This Row],[UDC]],TableMCINTRNS[],7,FALSE),"")</f>
        <v/>
      </c>
      <c r="AI38" s="118" t="str">
        <f>IFERROR(VLOOKUP(TableHandbook[[#This Row],[UDC]],TableGDINTRNS[],7,FALSE),"")</f>
        <v/>
      </c>
      <c r="AJ38" s="184" t="str">
        <f>IFERROR(VLOOKUP(TableHandbook[[#This Row],[UDC]],TableGCINTRNS[],7,FALSE),"")</f>
        <v/>
      </c>
    </row>
    <row r="39" spans="1:36" x14ac:dyDescent="0.25">
      <c r="A39" s="6" t="s">
        <v>194</v>
      </c>
      <c r="B39" s="7">
        <v>1</v>
      </c>
      <c r="C39" s="6"/>
      <c r="D39" s="6" t="s">
        <v>385</v>
      </c>
      <c r="E39" s="7">
        <v>25</v>
      </c>
      <c r="F39" s="186" t="s">
        <v>368</v>
      </c>
      <c r="G39" s="75" t="str">
        <f>IFERROR(IF(VLOOKUP(TableHandbook[[#This Row],[UDC]],TableAvailabilities[],2,FALSE)&gt;0,"Y",""),"")</f>
        <v/>
      </c>
      <c r="H39" s="116" t="str">
        <f>IFERROR(IF(VLOOKUP(TableHandbook[[#This Row],[UDC]],TableAvailabilities[],3,FALSE)&gt;0,"Y",""),"")</f>
        <v/>
      </c>
      <c r="I39" s="117" t="str">
        <f>IFERROR(IF(VLOOKUP(TableHandbook[[#This Row],[UDC]],TableAvailabilities[],4,FALSE)&gt;0,"Y",""),"")</f>
        <v>Y</v>
      </c>
      <c r="J39" s="76" t="str">
        <f>IFERROR(IF(VLOOKUP(TableHandbook[[#This Row],[UDC]],TableAvailabilities[],5,FALSE)&gt;0,"Y",""),"")</f>
        <v/>
      </c>
      <c r="K39" s="289"/>
      <c r="L39" s="183" t="str">
        <f>IFERROR(VLOOKUP(TableHandbook[[#This Row],[UDC]],TableMCARTS[],7,FALSE),"")</f>
        <v/>
      </c>
      <c r="M39" s="118" t="str">
        <f>IFERROR(VLOOKUP(TableHandbook[[#This Row],[UDC]],TableMJRPCWRIT[],7,FALSE),"")</f>
        <v>Option</v>
      </c>
      <c r="N39" s="118" t="str">
        <f>IFERROR(VLOOKUP(TableHandbook[[#This Row],[UDC]],TableMJRPFINAR[],7,FALSE),"")</f>
        <v/>
      </c>
      <c r="O39" s="118" t="str">
        <f>IFERROR(VLOOKUP(TableHandbook[[#This Row],[UDC]],TableMJRPPWRIT[],7,FALSE),"")</f>
        <v/>
      </c>
      <c r="P39" s="184" t="str">
        <f>IFERROR(VLOOKUP(TableHandbook[[#This Row],[UDC]],TableMJRPSCRAR[],7,FALSE),"")</f>
        <v/>
      </c>
      <c r="Q39" s="183" t="str">
        <f>IFERROR(VLOOKUP(TableHandbook[[#This Row],[UDC]],TableMCMMJRG[],7,FALSE),"")</f>
        <v/>
      </c>
      <c r="R39" s="118" t="str">
        <f>IFERROR(VLOOKUP(TableHandbook[[#This Row],[UDC]],TableMCMMJRN[],7,FALSE),"")</f>
        <v/>
      </c>
      <c r="S39" s="118" t="str">
        <f>IFERROR(VLOOKUP(TableHandbook[[#This Row],[UDC]],TableGDMMJRN[],7,FALSE),"")</f>
        <v/>
      </c>
      <c r="T39" s="184" t="str">
        <f>IFERROR(VLOOKUP(TableHandbook[[#This Row],[UDC]],TableGCMMJRN[],7,FALSE),"")</f>
        <v/>
      </c>
      <c r="U39" s="183" t="str">
        <f>IFERROR(VLOOKUP(TableHandbook[[#This Row],[UDC]],TableMCHRIGLO[],7,FALSE),"")</f>
        <v/>
      </c>
      <c r="V39" s="118" t="str">
        <f>IFERROR(VLOOKUP(TableHandbook[[#This Row],[UDC]],TableMCHRIGHT[],7,FALSE),"")</f>
        <v/>
      </c>
      <c r="W39" s="118" t="str">
        <f>IFERROR(VLOOKUP(TableHandbook[[#This Row],[UDC]],TableGDHRIGHT[],7,FALSE),"")</f>
        <v/>
      </c>
      <c r="X39" s="184" t="str">
        <f>IFERROR(VLOOKUP(TableHandbook[[#This Row],[UDC]],TableGCHRIGHT[],7,FALSE),"")</f>
        <v/>
      </c>
      <c r="Y39" s="183" t="str">
        <f>IFERROR(VLOOKUP(TableHandbook[[#This Row],[UDC]],TableMCGLOBL2[],7,FALSE),"")</f>
        <v/>
      </c>
      <c r="Z39" s="118" t="str">
        <f>IFERROR(VLOOKUP(TableHandbook[[#This Row],[UDC]],TableMCGLOBL[],7,FALSE),"")</f>
        <v/>
      </c>
      <c r="AA39" s="297" t="str">
        <f>IFERROR(VLOOKUP(TableHandbook[[#This Row],[UDC]],TableSTRPGLOBL[],7,FALSE),"")</f>
        <v/>
      </c>
      <c r="AB39" s="297" t="str">
        <f>IFERROR(VLOOKUP(TableHandbook[[#This Row],[UDC]],TableSTRPHRIGT[],7,FALSE),"")</f>
        <v/>
      </c>
      <c r="AC39" s="297" t="str">
        <f>IFERROR(VLOOKUP(TableHandbook[[#This Row],[UDC]],TableSTRPINTRN[],7,FALSE),"")</f>
        <v/>
      </c>
      <c r="AD39" s="184" t="str">
        <f>IFERROR(VLOOKUP(TableHandbook[[#This Row],[UDC]],TableGCGLOBL[],7,FALSE),"")</f>
        <v/>
      </c>
      <c r="AE39" s="183" t="str">
        <f>IFERROR(VLOOKUP(TableHandbook[[#This Row],[UDC]],TableMCNETSCM[],7,FALSE),"")</f>
        <v/>
      </c>
      <c r="AF39" s="118" t="str">
        <f>IFERROR(VLOOKUP(TableHandbook[[#This Row],[UDC]],TableGDNETSCM[],7,FALSE),"")</f>
        <v/>
      </c>
      <c r="AG39" s="184" t="str">
        <f>IFERROR(VLOOKUP(TableHandbook[[#This Row],[UDC]],TableGCNETSCM[],7,FALSE),"")</f>
        <v/>
      </c>
      <c r="AH39" s="183" t="str">
        <f>IFERROR(VLOOKUP(TableHandbook[[#This Row],[UDC]],TableMCINTRNS[],7,FALSE),"")</f>
        <v/>
      </c>
      <c r="AI39" s="118" t="str">
        <f>IFERROR(VLOOKUP(TableHandbook[[#This Row],[UDC]],TableGDINTRNS[],7,FALSE),"")</f>
        <v/>
      </c>
      <c r="AJ39" s="184" t="str">
        <f>IFERROR(VLOOKUP(TableHandbook[[#This Row],[UDC]],TableGCINTRNS[],7,FALSE),"")</f>
        <v/>
      </c>
    </row>
    <row r="40" spans="1:36" x14ac:dyDescent="0.25">
      <c r="A40" s="6" t="s">
        <v>196</v>
      </c>
      <c r="B40" s="7">
        <v>1</v>
      </c>
      <c r="C40" s="6"/>
      <c r="D40" s="6" t="s">
        <v>386</v>
      </c>
      <c r="E40" s="7">
        <v>25</v>
      </c>
      <c r="F40" s="186" t="s">
        <v>368</v>
      </c>
      <c r="G40" s="75" t="str">
        <f>IFERROR(IF(VLOOKUP(TableHandbook[[#This Row],[UDC]],TableAvailabilities[],2,FALSE)&gt;0,"Y",""),"")</f>
        <v>Y</v>
      </c>
      <c r="H40" s="116" t="str">
        <f>IFERROR(IF(VLOOKUP(TableHandbook[[#This Row],[UDC]],TableAvailabilities[],3,FALSE)&gt;0,"Y",""),"")</f>
        <v/>
      </c>
      <c r="I40" s="117" t="str">
        <f>IFERROR(IF(VLOOKUP(TableHandbook[[#This Row],[UDC]],TableAvailabilities[],4,FALSE)&gt;0,"Y",""),"")</f>
        <v/>
      </c>
      <c r="J40" s="76" t="str">
        <f>IFERROR(IF(VLOOKUP(TableHandbook[[#This Row],[UDC]],TableAvailabilities[],5,FALSE)&gt;0,"Y",""),"")</f>
        <v/>
      </c>
      <c r="K40" s="289"/>
      <c r="L40" s="183" t="str">
        <f>IFERROR(VLOOKUP(TableHandbook[[#This Row],[UDC]],TableMCARTS[],7,FALSE),"")</f>
        <v/>
      </c>
      <c r="M40" s="118" t="str">
        <f>IFERROR(VLOOKUP(TableHandbook[[#This Row],[UDC]],TableMJRPCWRIT[],7,FALSE),"")</f>
        <v>Option</v>
      </c>
      <c r="N40" s="118" t="str">
        <f>IFERROR(VLOOKUP(TableHandbook[[#This Row],[UDC]],TableMJRPFINAR[],7,FALSE),"")</f>
        <v/>
      </c>
      <c r="O40" s="118" t="str">
        <f>IFERROR(VLOOKUP(TableHandbook[[#This Row],[UDC]],TableMJRPPWRIT[],7,FALSE),"")</f>
        <v/>
      </c>
      <c r="P40" s="184" t="str">
        <f>IFERROR(VLOOKUP(TableHandbook[[#This Row],[UDC]],TableMJRPSCRAR[],7,FALSE),"")</f>
        <v/>
      </c>
      <c r="Q40" s="183" t="str">
        <f>IFERROR(VLOOKUP(TableHandbook[[#This Row],[UDC]],TableMCMMJRG[],7,FALSE),"")</f>
        <v/>
      </c>
      <c r="R40" s="118" t="str">
        <f>IFERROR(VLOOKUP(TableHandbook[[#This Row],[UDC]],TableMCMMJRN[],7,FALSE),"")</f>
        <v/>
      </c>
      <c r="S40" s="118" t="str">
        <f>IFERROR(VLOOKUP(TableHandbook[[#This Row],[UDC]],TableGDMMJRN[],7,FALSE),"")</f>
        <v/>
      </c>
      <c r="T40" s="184" t="str">
        <f>IFERROR(VLOOKUP(TableHandbook[[#This Row],[UDC]],TableGCMMJRN[],7,FALSE),"")</f>
        <v/>
      </c>
      <c r="U40" s="183" t="str">
        <f>IFERROR(VLOOKUP(TableHandbook[[#This Row],[UDC]],TableMCHRIGLO[],7,FALSE),"")</f>
        <v/>
      </c>
      <c r="V40" s="118" t="str">
        <f>IFERROR(VLOOKUP(TableHandbook[[#This Row],[UDC]],TableMCHRIGHT[],7,FALSE),"")</f>
        <v/>
      </c>
      <c r="W40" s="118" t="str">
        <f>IFERROR(VLOOKUP(TableHandbook[[#This Row],[UDC]],TableGDHRIGHT[],7,FALSE),"")</f>
        <v/>
      </c>
      <c r="X40" s="184" t="str">
        <f>IFERROR(VLOOKUP(TableHandbook[[#This Row],[UDC]],TableGCHRIGHT[],7,FALSE),"")</f>
        <v/>
      </c>
      <c r="Y40" s="183" t="str">
        <f>IFERROR(VLOOKUP(TableHandbook[[#This Row],[UDC]],TableMCGLOBL2[],7,FALSE),"")</f>
        <v/>
      </c>
      <c r="Z40" s="118" t="str">
        <f>IFERROR(VLOOKUP(TableHandbook[[#This Row],[UDC]],TableMCGLOBL[],7,FALSE),"")</f>
        <v/>
      </c>
      <c r="AA40" s="297" t="str">
        <f>IFERROR(VLOOKUP(TableHandbook[[#This Row],[UDC]],TableSTRPGLOBL[],7,FALSE),"")</f>
        <v/>
      </c>
      <c r="AB40" s="297" t="str">
        <f>IFERROR(VLOOKUP(TableHandbook[[#This Row],[UDC]],TableSTRPHRIGT[],7,FALSE),"")</f>
        <v/>
      </c>
      <c r="AC40" s="297" t="str">
        <f>IFERROR(VLOOKUP(TableHandbook[[#This Row],[UDC]],TableSTRPINTRN[],7,FALSE),"")</f>
        <v/>
      </c>
      <c r="AD40" s="184" t="str">
        <f>IFERROR(VLOOKUP(TableHandbook[[#This Row],[UDC]],TableGCGLOBL[],7,FALSE),"")</f>
        <v/>
      </c>
      <c r="AE40" s="183" t="str">
        <f>IFERROR(VLOOKUP(TableHandbook[[#This Row],[UDC]],TableMCNETSCM[],7,FALSE),"")</f>
        <v/>
      </c>
      <c r="AF40" s="118" t="str">
        <f>IFERROR(VLOOKUP(TableHandbook[[#This Row],[UDC]],TableGDNETSCM[],7,FALSE),"")</f>
        <v/>
      </c>
      <c r="AG40" s="184" t="str">
        <f>IFERROR(VLOOKUP(TableHandbook[[#This Row],[UDC]],TableGCNETSCM[],7,FALSE),"")</f>
        <v/>
      </c>
      <c r="AH40" s="183" t="str">
        <f>IFERROR(VLOOKUP(TableHandbook[[#This Row],[UDC]],TableMCINTRNS[],7,FALSE),"")</f>
        <v/>
      </c>
      <c r="AI40" s="118" t="str">
        <f>IFERROR(VLOOKUP(TableHandbook[[#This Row],[UDC]],TableGDINTRNS[],7,FALSE),"")</f>
        <v/>
      </c>
      <c r="AJ40" s="184" t="str">
        <f>IFERROR(VLOOKUP(TableHandbook[[#This Row],[UDC]],TableGCINTRNS[],7,FALSE),"")</f>
        <v/>
      </c>
    </row>
    <row r="41" spans="1:36" x14ac:dyDescent="0.25">
      <c r="A41" s="6" t="s">
        <v>141</v>
      </c>
      <c r="B41" s="7">
        <v>2</v>
      </c>
      <c r="C41" s="6"/>
      <c r="D41" s="6" t="s">
        <v>387</v>
      </c>
      <c r="E41" s="7">
        <v>25</v>
      </c>
      <c r="F41" s="186" t="s">
        <v>368</v>
      </c>
      <c r="G41" s="75" t="str">
        <f>IFERROR(IF(VLOOKUP(TableHandbook[[#This Row],[UDC]],TableAvailabilities[],2,FALSE)&gt;0,"Y",""),"")</f>
        <v/>
      </c>
      <c r="H41" s="116" t="str">
        <f>IFERROR(IF(VLOOKUP(TableHandbook[[#This Row],[UDC]],TableAvailabilities[],3,FALSE)&gt;0,"Y",""),"")</f>
        <v/>
      </c>
      <c r="I41" s="117" t="str">
        <f>IFERROR(IF(VLOOKUP(TableHandbook[[#This Row],[UDC]],TableAvailabilities[],4,FALSE)&gt;0,"Y",""),"")</f>
        <v>Y</v>
      </c>
      <c r="J41" s="76" t="str">
        <f>IFERROR(IF(VLOOKUP(TableHandbook[[#This Row],[UDC]],TableAvailabilities[],5,FALSE)&gt;0,"Y",""),"")</f>
        <v/>
      </c>
      <c r="K41" s="289"/>
      <c r="L41" s="183" t="str">
        <f>IFERROR(VLOOKUP(TableHandbook[[#This Row],[UDC]],TableMCARTS[],7,FALSE),"")</f>
        <v/>
      </c>
      <c r="M41" s="118" t="str">
        <f>IFERROR(VLOOKUP(TableHandbook[[#This Row],[UDC]],TableMJRPCWRIT[],7,FALSE),"")</f>
        <v>Option</v>
      </c>
      <c r="N41" s="118" t="str">
        <f>IFERROR(VLOOKUP(TableHandbook[[#This Row],[UDC]],TableMJRPFINAR[],7,FALSE),"")</f>
        <v/>
      </c>
      <c r="O41" s="118" t="str">
        <f>IFERROR(VLOOKUP(TableHandbook[[#This Row],[UDC]],TableMJRPPWRIT[],7,FALSE),"")</f>
        <v>Option</v>
      </c>
      <c r="P41" s="184" t="str">
        <f>IFERROR(VLOOKUP(TableHandbook[[#This Row],[UDC]],TableMJRPSCRAR[],7,FALSE),"")</f>
        <v>AltCore</v>
      </c>
      <c r="Q41" s="183" t="str">
        <f>IFERROR(VLOOKUP(TableHandbook[[#This Row],[UDC]],TableMCMMJRG[],7,FALSE),"")</f>
        <v/>
      </c>
      <c r="R41" s="118" t="str">
        <f>IFERROR(VLOOKUP(TableHandbook[[#This Row],[UDC]],TableMCMMJRN[],7,FALSE),"")</f>
        <v/>
      </c>
      <c r="S41" s="118" t="str">
        <f>IFERROR(VLOOKUP(TableHandbook[[#This Row],[UDC]],TableGDMMJRN[],7,FALSE),"")</f>
        <v/>
      </c>
      <c r="T41" s="184" t="str">
        <f>IFERROR(VLOOKUP(TableHandbook[[#This Row],[UDC]],TableGCMMJRN[],7,FALSE),"")</f>
        <v/>
      </c>
      <c r="U41" s="183" t="str">
        <f>IFERROR(VLOOKUP(TableHandbook[[#This Row],[UDC]],TableMCHRIGLO[],7,FALSE),"")</f>
        <v/>
      </c>
      <c r="V41" s="118" t="str">
        <f>IFERROR(VLOOKUP(TableHandbook[[#This Row],[UDC]],TableMCHRIGHT[],7,FALSE),"")</f>
        <v/>
      </c>
      <c r="W41" s="118" t="str">
        <f>IFERROR(VLOOKUP(TableHandbook[[#This Row],[UDC]],TableGDHRIGHT[],7,FALSE),"")</f>
        <v/>
      </c>
      <c r="X41" s="184" t="str">
        <f>IFERROR(VLOOKUP(TableHandbook[[#This Row],[UDC]],TableGCHRIGHT[],7,FALSE),"")</f>
        <v/>
      </c>
      <c r="Y41" s="183" t="str">
        <f>IFERROR(VLOOKUP(TableHandbook[[#This Row],[UDC]],TableMCGLOBL2[],7,FALSE),"")</f>
        <v/>
      </c>
      <c r="Z41" s="118" t="str">
        <f>IFERROR(VLOOKUP(TableHandbook[[#This Row],[UDC]],TableMCGLOBL[],7,FALSE),"")</f>
        <v/>
      </c>
      <c r="AA41" s="297" t="str">
        <f>IFERROR(VLOOKUP(TableHandbook[[#This Row],[UDC]],TableSTRPGLOBL[],7,FALSE),"")</f>
        <v/>
      </c>
      <c r="AB41" s="297" t="str">
        <f>IFERROR(VLOOKUP(TableHandbook[[#This Row],[UDC]],TableSTRPHRIGT[],7,FALSE),"")</f>
        <v/>
      </c>
      <c r="AC41" s="297" t="str">
        <f>IFERROR(VLOOKUP(TableHandbook[[#This Row],[UDC]],TableSTRPINTRN[],7,FALSE),"")</f>
        <v/>
      </c>
      <c r="AD41" s="184" t="str">
        <f>IFERROR(VLOOKUP(TableHandbook[[#This Row],[UDC]],TableGCGLOBL[],7,FALSE),"")</f>
        <v/>
      </c>
      <c r="AE41" s="183" t="str">
        <f>IFERROR(VLOOKUP(TableHandbook[[#This Row],[UDC]],TableMCNETSCM[],7,FALSE),"")</f>
        <v/>
      </c>
      <c r="AF41" s="118" t="str">
        <f>IFERROR(VLOOKUP(TableHandbook[[#This Row],[UDC]],TableGDNETSCM[],7,FALSE),"")</f>
        <v/>
      </c>
      <c r="AG41" s="184" t="str">
        <f>IFERROR(VLOOKUP(TableHandbook[[#This Row],[UDC]],TableGCNETSCM[],7,FALSE),"")</f>
        <v/>
      </c>
      <c r="AH41" s="183" t="str">
        <f>IFERROR(VLOOKUP(TableHandbook[[#This Row],[UDC]],TableMCINTRNS[],7,FALSE),"")</f>
        <v/>
      </c>
      <c r="AI41" s="118" t="str">
        <f>IFERROR(VLOOKUP(TableHandbook[[#This Row],[UDC]],TableGDINTRNS[],7,FALSE),"")</f>
        <v/>
      </c>
      <c r="AJ41" s="184" t="str">
        <f>IFERROR(VLOOKUP(TableHandbook[[#This Row],[UDC]],TableGCINTRNS[],7,FALSE),"")</f>
        <v/>
      </c>
    </row>
    <row r="42" spans="1:36" x14ac:dyDescent="0.25">
      <c r="A42" s="6" t="s">
        <v>235</v>
      </c>
      <c r="B42" s="7"/>
      <c r="C42" s="6"/>
      <c r="D42" s="6" t="s">
        <v>388</v>
      </c>
      <c r="E42" s="7">
        <v>25</v>
      </c>
      <c r="F42" s="186" t="s">
        <v>366</v>
      </c>
      <c r="G42" s="75" t="str">
        <f>IFERROR(IF(VLOOKUP(TableHandbook[[#This Row],[UDC]],TableAvailabilities[],2,FALSE)&gt;0,"Y",""),"")</f>
        <v/>
      </c>
      <c r="H42" s="116" t="str">
        <f>IFERROR(IF(VLOOKUP(TableHandbook[[#This Row],[UDC]],TableAvailabilities[],3,FALSE)&gt;0,"Y",""),"")</f>
        <v/>
      </c>
      <c r="I42" s="117" t="str">
        <f>IFERROR(IF(VLOOKUP(TableHandbook[[#This Row],[UDC]],TableAvailabilities[],4,FALSE)&gt;0,"Y",""),"")</f>
        <v/>
      </c>
      <c r="J42" s="76" t="str">
        <f>IFERROR(IF(VLOOKUP(TableHandbook[[#This Row],[UDC]],TableAvailabilities[],5,FALSE)&gt;0,"Y",""),"")</f>
        <v/>
      </c>
      <c r="K42" s="289"/>
      <c r="L42" s="183" t="str">
        <f>IFERROR(VLOOKUP(TableHandbook[[#This Row],[UDC]],TableMCARTS[],7,FALSE),"")</f>
        <v/>
      </c>
      <c r="M42" s="118" t="str">
        <f>IFERROR(VLOOKUP(TableHandbook[[#This Row],[UDC]],TableMJRPCWRIT[],7,FALSE),"")</f>
        <v/>
      </c>
      <c r="N42" s="118" t="str">
        <f>IFERROR(VLOOKUP(TableHandbook[[#This Row],[UDC]],TableMJRPFINAR[],7,FALSE),"")</f>
        <v/>
      </c>
      <c r="O42" s="118" t="str">
        <f>IFERROR(VLOOKUP(TableHandbook[[#This Row],[UDC]],TableMJRPPWRIT[],7,FALSE),"")</f>
        <v/>
      </c>
      <c r="P42" s="184" t="str">
        <f>IFERROR(VLOOKUP(TableHandbook[[#This Row],[UDC]],TableMJRPSCRAR[],7,FALSE),"")</f>
        <v/>
      </c>
      <c r="Q42" s="183" t="str">
        <f>IFERROR(VLOOKUP(TableHandbook[[#This Row],[UDC]],TableMCMMJRG[],7,FALSE),"")</f>
        <v/>
      </c>
      <c r="R42" s="118" t="str">
        <f>IFERROR(VLOOKUP(TableHandbook[[#This Row],[UDC]],TableMCMMJRN[],7,FALSE),"")</f>
        <v/>
      </c>
      <c r="S42" s="118" t="str">
        <f>IFERROR(VLOOKUP(TableHandbook[[#This Row],[UDC]],TableGDMMJRN[],7,FALSE),"")</f>
        <v/>
      </c>
      <c r="T42" s="184" t="str">
        <f>IFERROR(VLOOKUP(TableHandbook[[#This Row],[UDC]],TableGCMMJRN[],7,FALSE),"")</f>
        <v/>
      </c>
      <c r="U42" s="183" t="str">
        <f>IFERROR(VLOOKUP(TableHandbook[[#This Row],[UDC]],TableMCHRIGLO[],7,FALSE),"")</f>
        <v>Elective</v>
      </c>
      <c r="V42" s="118" t="str">
        <f>IFERROR(VLOOKUP(TableHandbook[[#This Row],[UDC]],TableMCHRIGHT[],7,FALSE),"")</f>
        <v>Elective</v>
      </c>
      <c r="W42" s="118" t="str">
        <f>IFERROR(VLOOKUP(TableHandbook[[#This Row],[UDC]],TableGDHRIGHT[],7,FALSE),"")</f>
        <v>Elective</v>
      </c>
      <c r="X42" s="184" t="str">
        <f>IFERROR(VLOOKUP(TableHandbook[[#This Row],[UDC]],TableGCHRIGHT[],7,FALSE),"")</f>
        <v/>
      </c>
      <c r="Y42" s="183" t="str">
        <f>IFERROR(VLOOKUP(TableHandbook[[#This Row],[UDC]],TableMCGLOBL2[],7,FALSE),"")</f>
        <v/>
      </c>
      <c r="Z42" s="118" t="str">
        <f>IFERROR(VLOOKUP(TableHandbook[[#This Row],[UDC]],TableMCGLOBL[],7,FALSE),"")</f>
        <v/>
      </c>
      <c r="AA42" s="297" t="str">
        <f>IFERROR(VLOOKUP(TableHandbook[[#This Row],[UDC]],TableSTRPGLOBL[],7,FALSE),"")</f>
        <v/>
      </c>
      <c r="AB42" s="297" t="str">
        <f>IFERROR(VLOOKUP(TableHandbook[[#This Row],[UDC]],TableSTRPHRIGT[],7,FALSE),"")</f>
        <v/>
      </c>
      <c r="AC42" s="297" t="str">
        <f>IFERROR(VLOOKUP(TableHandbook[[#This Row],[UDC]],TableSTRPINTRN[],7,FALSE),"")</f>
        <v/>
      </c>
      <c r="AD42" s="184" t="str">
        <f>IFERROR(VLOOKUP(TableHandbook[[#This Row],[UDC]],TableGCGLOBL[],7,FALSE),"")</f>
        <v/>
      </c>
      <c r="AE42" s="183" t="str">
        <f>IFERROR(VLOOKUP(TableHandbook[[#This Row],[UDC]],TableMCNETSCM[],7,FALSE),"")</f>
        <v/>
      </c>
      <c r="AF42" s="118" t="str">
        <f>IFERROR(VLOOKUP(TableHandbook[[#This Row],[UDC]],TableGDNETSCM[],7,FALSE),"")</f>
        <v/>
      </c>
      <c r="AG42" s="184" t="str">
        <f>IFERROR(VLOOKUP(TableHandbook[[#This Row],[UDC]],TableGCNETSCM[],7,FALSE),"")</f>
        <v/>
      </c>
      <c r="AH42" s="183" t="str">
        <f>IFERROR(VLOOKUP(TableHandbook[[#This Row],[UDC]],TableMCINTRNS[],7,FALSE),"")</f>
        <v/>
      </c>
      <c r="AI42" s="118" t="str">
        <f>IFERROR(VLOOKUP(TableHandbook[[#This Row],[UDC]],TableGDINTRNS[],7,FALSE),"")</f>
        <v/>
      </c>
      <c r="AJ42" s="184" t="str">
        <f>IFERROR(VLOOKUP(TableHandbook[[#This Row],[UDC]],TableGCINTRNS[],7,FALSE),"")</f>
        <v/>
      </c>
    </row>
    <row r="43" spans="1:36" x14ac:dyDescent="0.25">
      <c r="A43" s="6" t="s">
        <v>234</v>
      </c>
      <c r="B43" s="7">
        <v>1</v>
      </c>
      <c r="C43" s="6"/>
      <c r="D43" s="6" t="s">
        <v>389</v>
      </c>
      <c r="E43" s="7">
        <v>25</v>
      </c>
      <c r="F43" s="186" t="s">
        <v>368</v>
      </c>
      <c r="G43" s="75" t="str">
        <f>IFERROR(IF(VLOOKUP(TableHandbook[[#This Row],[UDC]],TableAvailabilities[],2,FALSE)&gt;0,"Y",""),"")</f>
        <v>Y</v>
      </c>
      <c r="H43" s="116" t="str">
        <f>IFERROR(IF(VLOOKUP(TableHandbook[[#This Row],[UDC]],TableAvailabilities[],3,FALSE)&gt;0,"Y",""),"")</f>
        <v>Y</v>
      </c>
      <c r="I43" s="117" t="str">
        <f>IFERROR(IF(VLOOKUP(TableHandbook[[#This Row],[UDC]],TableAvailabilities[],4,FALSE)&gt;0,"Y",""),"")</f>
        <v/>
      </c>
      <c r="J43" s="76" t="str">
        <f>IFERROR(IF(VLOOKUP(TableHandbook[[#This Row],[UDC]],TableAvailabilities[],5,FALSE)&gt;0,"Y",""),"")</f>
        <v/>
      </c>
      <c r="K43" s="289"/>
      <c r="L43" s="183" t="str">
        <f>IFERROR(VLOOKUP(TableHandbook[[#This Row],[UDC]],TableMCARTS[],7,FALSE),"")</f>
        <v/>
      </c>
      <c r="M43" s="118" t="str">
        <f>IFERROR(VLOOKUP(TableHandbook[[#This Row],[UDC]],TableMJRPCWRIT[],7,FALSE),"")</f>
        <v/>
      </c>
      <c r="N43" s="118" t="str">
        <f>IFERROR(VLOOKUP(TableHandbook[[#This Row],[UDC]],TableMJRPFINAR[],7,FALSE),"")</f>
        <v/>
      </c>
      <c r="O43" s="118" t="str">
        <f>IFERROR(VLOOKUP(TableHandbook[[#This Row],[UDC]],TableMJRPPWRIT[],7,FALSE),"")</f>
        <v/>
      </c>
      <c r="P43" s="184" t="str">
        <f>IFERROR(VLOOKUP(TableHandbook[[#This Row],[UDC]],TableMJRPSCRAR[],7,FALSE),"")</f>
        <v/>
      </c>
      <c r="Q43" s="183" t="str">
        <f>IFERROR(VLOOKUP(TableHandbook[[#This Row],[UDC]],TableMCMMJRG[],7,FALSE),"")</f>
        <v/>
      </c>
      <c r="R43" s="118" t="str">
        <f>IFERROR(VLOOKUP(TableHandbook[[#This Row],[UDC]],TableMCMMJRN[],7,FALSE),"")</f>
        <v/>
      </c>
      <c r="S43" s="118" t="str">
        <f>IFERROR(VLOOKUP(TableHandbook[[#This Row],[UDC]],TableGDMMJRN[],7,FALSE),"")</f>
        <v/>
      </c>
      <c r="T43" s="184" t="str">
        <f>IFERROR(VLOOKUP(TableHandbook[[#This Row],[UDC]],TableGCMMJRN[],7,FALSE),"")</f>
        <v/>
      </c>
      <c r="U43" s="183" t="str">
        <f>IFERROR(VLOOKUP(TableHandbook[[#This Row],[UDC]],TableMCHRIGLO[],7,FALSE),"")</f>
        <v>Core</v>
      </c>
      <c r="V43" s="118" t="str">
        <f>IFERROR(VLOOKUP(TableHandbook[[#This Row],[UDC]],TableMCHRIGHT[],7,FALSE),"")</f>
        <v/>
      </c>
      <c r="W43" s="118" t="str">
        <f>IFERROR(VLOOKUP(TableHandbook[[#This Row],[UDC]],TableGDHRIGHT[],7,FALSE),"")</f>
        <v/>
      </c>
      <c r="X43" s="184" t="str">
        <f>IFERROR(VLOOKUP(TableHandbook[[#This Row],[UDC]],TableGCHRIGHT[],7,FALSE),"")</f>
        <v/>
      </c>
      <c r="Y43" s="183" t="str">
        <f>IFERROR(VLOOKUP(TableHandbook[[#This Row],[UDC]],TableMCGLOBL2[],7,FALSE),"")</f>
        <v/>
      </c>
      <c r="Z43" s="118" t="str">
        <f>IFERROR(VLOOKUP(TableHandbook[[#This Row],[UDC]],TableMCGLOBL[],7,FALSE),"")</f>
        <v/>
      </c>
      <c r="AA43" s="297" t="str">
        <f>IFERROR(VLOOKUP(TableHandbook[[#This Row],[UDC]],TableSTRPGLOBL[],7,FALSE),"")</f>
        <v>Core</v>
      </c>
      <c r="AB43" s="297" t="str">
        <f>IFERROR(VLOOKUP(TableHandbook[[#This Row],[UDC]],TableSTRPHRIGT[],7,FALSE),"")</f>
        <v/>
      </c>
      <c r="AC43" s="297" t="str">
        <f>IFERROR(VLOOKUP(TableHandbook[[#This Row],[UDC]],TableSTRPINTRN[],7,FALSE),"")</f>
        <v/>
      </c>
      <c r="AD43" s="184" t="str">
        <f>IFERROR(VLOOKUP(TableHandbook[[#This Row],[UDC]],TableGCGLOBL[],7,FALSE),"")</f>
        <v>Core</v>
      </c>
      <c r="AE43" s="183" t="str">
        <f>IFERROR(VLOOKUP(TableHandbook[[#This Row],[UDC]],TableMCNETSCM[],7,FALSE),"")</f>
        <v/>
      </c>
      <c r="AF43" s="118" t="str">
        <f>IFERROR(VLOOKUP(TableHandbook[[#This Row],[UDC]],TableGDNETSCM[],7,FALSE),"")</f>
        <v/>
      </c>
      <c r="AG43" s="184" t="str">
        <f>IFERROR(VLOOKUP(TableHandbook[[#This Row],[UDC]],TableGCNETSCM[],7,FALSE),"")</f>
        <v/>
      </c>
      <c r="AH43" s="183" t="str">
        <f>IFERROR(VLOOKUP(TableHandbook[[#This Row],[UDC]],TableMCINTRNS[],7,FALSE),"")</f>
        <v/>
      </c>
      <c r="AI43" s="118" t="str">
        <f>IFERROR(VLOOKUP(TableHandbook[[#This Row],[UDC]],TableGDINTRNS[],7,FALSE),"")</f>
        <v/>
      </c>
      <c r="AJ43" s="184" t="str">
        <f>IFERROR(VLOOKUP(TableHandbook[[#This Row],[UDC]],TableGCINTRNS[],7,FALSE),"")</f>
        <v/>
      </c>
    </row>
    <row r="44" spans="1:36" x14ac:dyDescent="0.25">
      <c r="A44" s="6" t="s">
        <v>236</v>
      </c>
      <c r="B44" s="7">
        <v>1</v>
      </c>
      <c r="C44" s="6"/>
      <c r="D44" s="6" t="s">
        <v>390</v>
      </c>
      <c r="E44" s="7">
        <v>25</v>
      </c>
      <c r="F44" s="186" t="s">
        <v>368</v>
      </c>
      <c r="G44" s="75" t="str">
        <f>IFERROR(IF(VLOOKUP(TableHandbook[[#This Row],[UDC]],TableAvailabilities[],2,FALSE)&gt;0,"Y",""),"")</f>
        <v>Y</v>
      </c>
      <c r="H44" s="116" t="str">
        <f>IFERROR(IF(VLOOKUP(TableHandbook[[#This Row],[UDC]],TableAvailabilities[],3,FALSE)&gt;0,"Y",""),"")</f>
        <v>Y</v>
      </c>
      <c r="I44" s="117" t="str">
        <f>IFERROR(IF(VLOOKUP(TableHandbook[[#This Row],[UDC]],TableAvailabilities[],4,FALSE)&gt;0,"Y",""),"")</f>
        <v/>
      </c>
      <c r="J44" s="76" t="str">
        <f>IFERROR(IF(VLOOKUP(TableHandbook[[#This Row],[UDC]],TableAvailabilities[],5,FALSE)&gt;0,"Y",""),"")</f>
        <v/>
      </c>
      <c r="K44" s="289"/>
      <c r="L44" s="183" t="str">
        <f>IFERROR(VLOOKUP(TableHandbook[[#This Row],[UDC]],TableMCARTS[],7,FALSE),"")</f>
        <v/>
      </c>
      <c r="M44" s="118" t="str">
        <f>IFERROR(VLOOKUP(TableHandbook[[#This Row],[UDC]],TableMJRPCWRIT[],7,FALSE),"")</f>
        <v/>
      </c>
      <c r="N44" s="118" t="str">
        <f>IFERROR(VLOOKUP(TableHandbook[[#This Row],[UDC]],TableMJRPFINAR[],7,FALSE),"")</f>
        <v/>
      </c>
      <c r="O44" s="118" t="str">
        <f>IFERROR(VLOOKUP(TableHandbook[[#This Row],[UDC]],TableMJRPPWRIT[],7,FALSE),"")</f>
        <v/>
      </c>
      <c r="P44" s="184" t="str">
        <f>IFERROR(VLOOKUP(TableHandbook[[#This Row],[UDC]],TableMJRPSCRAR[],7,FALSE),"")</f>
        <v/>
      </c>
      <c r="Q44" s="183" t="str">
        <f>IFERROR(VLOOKUP(TableHandbook[[#This Row],[UDC]],TableMCMMJRG[],7,FALSE),"")</f>
        <v/>
      </c>
      <c r="R44" s="118" t="str">
        <f>IFERROR(VLOOKUP(TableHandbook[[#This Row],[UDC]],TableMCMMJRN[],7,FALSE),"")</f>
        <v/>
      </c>
      <c r="S44" s="118" t="str">
        <f>IFERROR(VLOOKUP(TableHandbook[[#This Row],[UDC]],TableGDMMJRN[],7,FALSE),"")</f>
        <v/>
      </c>
      <c r="T44" s="184" t="str">
        <f>IFERROR(VLOOKUP(TableHandbook[[#This Row],[UDC]],TableGCMMJRN[],7,FALSE),"")</f>
        <v/>
      </c>
      <c r="U44" s="183" t="str">
        <f>IFERROR(VLOOKUP(TableHandbook[[#This Row],[UDC]],TableMCHRIGLO[],7,FALSE),"")</f>
        <v>Core</v>
      </c>
      <c r="V44" s="118" t="str">
        <f>IFERROR(VLOOKUP(TableHandbook[[#This Row],[UDC]],TableMCHRIGHT[],7,FALSE),"")</f>
        <v/>
      </c>
      <c r="W44" s="118" t="str">
        <f>IFERROR(VLOOKUP(TableHandbook[[#This Row],[UDC]],TableGDHRIGHT[],7,FALSE),"")</f>
        <v/>
      </c>
      <c r="X44" s="184" t="str">
        <f>IFERROR(VLOOKUP(TableHandbook[[#This Row],[UDC]],TableGCHRIGHT[],7,FALSE),"")</f>
        <v/>
      </c>
      <c r="Y44" s="183" t="str">
        <f>IFERROR(VLOOKUP(TableHandbook[[#This Row],[UDC]],TableMCGLOBL2[],7,FALSE),"")</f>
        <v/>
      </c>
      <c r="Z44" s="118" t="str">
        <f>IFERROR(VLOOKUP(TableHandbook[[#This Row],[UDC]],TableMCGLOBL[],7,FALSE),"")</f>
        <v/>
      </c>
      <c r="AA44" s="297" t="str">
        <f>IFERROR(VLOOKUP(TableHandbook[[#This Row],[UDC]],TableSTRPGLOBL[],7,FALSE),"")</f>
        <v>Core</v>
      </c>
      <c r="AB44" s="297" t="str">
        <f>IFERROR(VLOOKUP(TableHandbook[[#This Row],[UDC]],TableSTRPHRIGT[],7,FALSE),"")</f>
        <v/>
      </c>
      <c r="AC44" s="297" t="str">
        <f>IFERROR(VLOOKUP(TableHandbook[[#This Row],[UDC]],TableSTRPINTRN[],7,FALSE),"")</f>
        <v/>
      </c>
      <c r="AD44" s="184" t="str">
        <f>IFERROR(VLOOKUP(TableHandbook[[#This Row],[UDC]],TableGCGLOBL[],7,FALSE),"")</f>
        <v>Core</v>
      </c>
      <c r="AE44" s="183" t="str">
        <f>IFERROR(VLOOKUP(TableHandbook[[#This Row],[UDC]],TableMCNETSCM[],7,FALSE),"")</f>
        <v/>
      </c>
      <c r="AF44" s="118" t="str">
        <f>IFERROR(VLOOKUP(TableHandbook[[#This Row],[UDC]],TableGDNETSCM[],7,FALSE),"")</f>
        <v/>
      </c>
      <c r="AG44" s="184" t="str">
        <f>IFERROR(VLOOKUP(TableHandbook[[#This Row],[UDC]],TableGCNETSCM[],7,FALSE),"")</f>
        <v/>
      </c>
      <c r="AH44" s="183" t="str">
        <f>IFERROR(VLOOKUP(TableHandbook[[#This Row],[UDC]],TableMCINTRNS[],7,FALSE),"")</f>
        <v/>
      </c>
      <c r="AI44" s="118" t="str">
        <f>IFERROR(VLOOKUP(TableHandbook[[#This Row],[UDC]],TableGDINTRNS[],7,FALSE),"")</f>
        <v/>
      </c>
      <c r="AJ44" s="184" t="str">
        <f>IFERROR(VLOOKUP(TableHandbook[[#This Row],[UDC]],TableGCINTRNS[],7,FALSE),"")</f>
        <v/>
      </c>
    </row>
    <row r="45" spans="1:36" x14ac:dyDescent="0.25">
      <c r="A45" s="6" t="s">
        <v>237</v>
      </c>
      <c r="B45" s="7">
        <v>1</v>
      </c>
      <c r="C45" s="6"/>
      <c r="D45" s="6" t="s">
        <v>391</v>
      </c>
      <c r="E45" s="7">
        <v>25</v>
      </c>
      <c r="F45" s="186" t="s">
        <v>368</v>
      </c>
      <c r="G45" s="75" t="str">
        <f>IFERROR(IF(VLOOKUP(TableHandbook[[#This Row],[UDC]],TableAvailabilities[],2,FALSE)&gt;0,"Y",""),"")</f>
        <v>Y</v>
      </c>
      <c r="H45" s="116" t="str">
        <f>IFERROR(IF(VLOOKUP(TableHandbook[[#This Row],[UDC]],TableAvailabilities[],3,FALSE)&gt;0,"Y",""),"")</f>
        <v>Y</v>
      </c>
      <c r="I45" s="117" t="str">
        <f>IFERROR(IF(VLOOKUP(TableHandbook[[#This Row],[UDC]],TableAvailabilities[],4,FALSE)&gt;0,"Y",""),"")</f>
        <v/>
      </c>
      <c r="J45" s="76" t="str">
        <f>IFERROR(IF(VLOOKUP(TableHandbook[[#This Row],[UDC]],TableAvailabilities[],5,FALSE)&gt;0,"Y",""),"")</f>
        <v/>
      </c>
      <c r="K45" s="289"/>
      <c r="L45" s="183" t="str">
        <f>IFERROR(VLOOKUP(TableHandbook[[#This Row],[UDC]],TableMCARTS[],7,FALSE),"")</f>
        <v/>
      </c>
      <c r="M45" s="118" t="str">
        <f>IFERROR(VLOOKUP(TableHandbook[[#This Row],[UDC]],TableMJRPCWRIT[],7,FALSE),"")</f>
        <v/>
      </c>
      <c r="N45" s="118" t="str">
        <f>IFERROR(VLOOKUP(TableHandbook[[#This Row],[UDC]],TableMJRPFINAR[],7,FALSE),"")</f>
        <v/>
      </c>
      <c r="O45" s="118" t="str">
        <f>IFERROR(VLOOKUP(TableHandbook[[#This Row],[UDC]],TableMJRPPWRIT[],7,FALSE),"")</f>
        <v/>
      </c>
      <c r="P45" s="184" t="str">
        <f>IFERROR(VLOOKUP(TableHandbook[[#This Row],[UDC]],TableMJRPSCRAR[],7,FALSE),"")</f>
        <v/>
      </c>
      <c r="Q45" s="183" t="str">
        <f>IFERROR(VLOOKUP(TableHandbook[[#This Row],[UDC]],TableMCMMJRG[],7,FALSE),"")</f>
        <v/>
      </c>
      <c r="R45" s="118" t="str">
        <f>IFERROR(VLOOKUP(TableHandbook[[#This Row],[UDC]],TableMCMMJRN[],7,FALSE),"")</f>
        <v/>
      </c>
      <c r="S45" s="118" t="str">
        <f>IFERROR(VLOOKUP(TableHandbook[[#This Row],[UDC]],TableGDMMJRN[],7,FALSE),"")</f>
        <v/>
      </c>
      <c r="T45" s="184" t="str">
        <f>IFERROR(VLOOKUP(TableHandbook[[#This Row],[UDC]],TableGCMMJRN[],7,FALSE),"")</f>
        <v/>
      </c>
      <c r="U45" s="183" t="str">
        <f>IFERROR(VLOOKUP(TableHandbook[[#This Row],[UDC]],TableMCHRIGLO[],7,FALSE),"")</f>
        <v>Core</v>
      </c>
      <c r="V45" s="118" t="str">
        <f>IFERROR(VLOOKUP(TableHandbook[[#This Row],[UDC]],TableMCHRIGHT[],7,FALSE),"")</f>
        <v/>
      </c>
      <c r="W45" s="118" t="str">
        <f>IFERROR(VLOOKUP(TableHandbook[[#This Row],[UDC]],TableGDHRIGHT[],7,FALSE),"")</f>
        <v/>
      </c>
      <c r="X45" s="184" t="str">
        <f>IFERROR(VLOOKUP(TableHandbook[[#This Row],[UDC]],TableGCHRIGHT[],7,FALSE),"")</f>
        <v/>
      </c>
      <c r="Y45" s="183" t="str">
        <f>IFERROR(VLOOKUP(TableHandbook[[#This Row],[UDC]],TableMCGLOBL2[],7,FALSE),"")</f>
        <v/>
      </c>
      <c r="Z45" s="118" t="str">
        <f>IFERROR(VLOOKUP(TableHandbook[[#This Row],[UDC]],TableMCGLOBL[],7,FALSE),"")</f>
        <v/>
      </c>
      <c r="AA45" s="297" t="str">
        <f>IFERROR(VLOOKUP(TableHandbook[[#This Row],[UDC]],TableSTRPGLOBL[],7,FALSE),"")</f>
        <v>Core</v>
      </c>
      <c r="AB45" s="297" t="str">
        <f>IFERROR(VLOOKUP(TableHandbook[[#This Row],[UDC]],TableSTRPHRIGT[],7,FALSE),"")</f>
        <v/>
      </c>
      <c r="AC45" s="297" t="str">
        <f>IFERROR(VLOOKUP(TableHandbook[[#This Row],[UDC]],TableSTRPINTRN[],7,FALSE),"")</f>
        <v/>
      </c>
      <c r="AD45" s="184" t="str">
        <f>IFERROR(VLOOKUP(TableHandbook[[#This Row],[UDC]],TableGCGLOBL[],7,FALSE),"")</f>
        <v>Core</v>
      </c>
      <c r="AE45" s="183" t="str">
        <f>IFERROR(VLOOKUP(TableHandbook[[#This Row],[UDC]],TableMCNETSCM[],7,FALSE),"")</f>
        <v/>
      </c>
      <c r="AF45" s="118" t="str">
        <f>IFERROR(VLOOKUP(TableHandbook[[#This Row],[UDC]],TableGDNETSCM[],7,FALSE),"")</f>
        <v/>
      </c>
      <c r="AG45" s="184" t="str">
        <f>IFERROR(VLOOKUP(TableHandbook[[#This Row],[UDC]],TableGCNETSCM[],7,FALSE),"")</f>
        <v/>
      </c>
      <c r="AH45" s="183" t="str">
        <f>IFERROR(VLOOKUP(TableHandbook[[#This Row],[UDC]],TableMCINTRNS[],7,FALSE),"")</f>
        <v/>
      </c>
      <c r="AI45" s="118" t="str">
        <f>IFERROR(VLOOKUP(TableHandbook[[#This Row],[UDC]],TableGDINTRNS[],7,FALSE),"")</f>
        <v/>
      </c>
      <c r="AJ45" s="184" t="str">
        <f>IFERROR(VLOOKUP(TableHandbook[[#This Row],[UDC]],TableGCINTRNS[],7,FALSE),"")</f>
        <v/>
      </c>
    </row>
    <row r="46" spans="1:36" x14ac:dyDescent="0.25">
      <c r="A46" s="6" t="s">
        <v>238</v>
      </c>
      <c r="B46" s="7">
        <v>1</v>
      </c>
      <c r="C46" s="6"/>
      <c r="D46" s="6" t="s">
        <v>392</v>
      </c>
      <c r="E46" s="7">
        <v>25</v>
      </c>
      <c r="F46" s="186" t="s">
        <v>368</v>
      </c>
      <c r="G46" s="75" t="str">
        <f>IFERROR(IF(VLOOKUP(TableHandbook[[#This Row],[UDC]],TableAvailabilities[],2,FALSE)&gt;0,"Y",""),"")</f>
        <v>Y</v>
      </c>
      <c r="H46" s="116" t="str">
        <f>IFERROR(IF(VLOOKUP(TableHandbook[[#This Row],[UDC]],TableAvailabilities[],3,FALSE)&gt;0,"Y",""),"")</f>
        <v>Y</v>
      </c>
      <c r="I46" s="117" t="str">
        <f>IFERROR(IF(VLOOKUP(TableHandbook[[#This Row],[UDC]],TableAvailabilities[],4,FALSE)&gt;0,"Y",""),"")</f>
        <v/>
      </c>
      <c r="J46" s="76" t="str">
        <f>IFERROR(IF(VLOOKUP(TableHandbook[[#This Row],[UDC]],TableAvailabilities[],5,FALSE)&gt;0,"Y",""),"")</f>
        <v/>
      </c>
      <c r="K46" s="289"/>
      <c r="L46" s="183" t="str">
        <f>IFERROR(VLOOKUP(TableHandbook[[#This Row],[UDC]],TableMCARTS[],7,FALSE),"")</f>
        <v/>
      </c>
      <c r="M46" s="118" t="str">
        <f>IFERROR(VLOOKUP(TableHandbook[[#This Row],[UDC]],TableMJRPCWRIT[],7,FALSE),"")</f>
        <v/>
      </c>
      <c r="N46" s="118" t="str">
        <f>IFERROR(VLOOKUP(TableHandbook[[#This Row],[UDC]],TableMJRPFINAR[],7,FALSE),"")</f>
        <v/>
      </c>
      <c r="O46" s="118" t="str">
        <f>IFERROR(VLOOKUP(TableHandbook[[#This Row],[UDC]],TableMJRPPWRIT[],7,FALSE),"")</f>
        <v/>
      </c>
      <c r="P46" s="184" t="str">
        <f>IFERROR(VLOOKUP(TableHandbook[[#This Row],[UDC]],TableMJRPSCRAR[],7,FALSE),"")</f>
        <v/>
      </c>
      <c r="Q46" s="183" t="str">
        <f>IFERROR(VLOOKUP(TableHandbook[[#This Row],[UDC]],TableMCMMJRG[],7,FALSE),"")</f>
        <v/>
      </c>
      <c r="R46" s="118" t="str">
        <f>IFERROR(VLOOKUP(TableHandbook[[#This Row],[UDC]],TableMCMMJRN[],7,FALSE),"")</f>
        <v/>
      </c>
      <c r="S46" s="118" t="str">
        <f>IFERROR(VLOOKUP(TableHandbook[[#This Row],[UDC]],TableGDMMJRN[],7,FALSE),"")</f>
        <v/>
      </c>
      <c r="T46" s="184" t="str">
        <f>IFERROR(VLOOKUP(TableHandbook[[#This Row],[UDC]],TableGCMMJRN[],7,FALSE),"")</f>
        <v/>
      </c>
      <c r="U46" s="183" t="str">
        <f>IFERROR(VLOOKUP(TableHandbook[[#This Row],[UDC]],TableMCHRIGLO[],7,FALSE),"")</f>
        <v>Core</v>
      </c>
      <c r="V46" s="118" t="str">
        <f>IFERROR(VLOOKUP(TableHandbook[[#This Row],[UDC]],TableMCHRIGHT[],7,FALSE),"")</f>
        <v/>
      </c>
      <c r="W46" s="118" t="str">
        <f>IFERROR(VLOOKUP(TableHandbook[[#This Row],[UDC]],TableGDHRIGHT[],7,FALSE),"")</f>
        <v/>
      </c>
      <c r="X46" s="184" t="str">
        <f>IFERROR(VLOOKUP(TableHandbook[[#This Row],[UDC]],TableGCHRIGHT[],7,FALSE),"")</f>
        <v/>
      </c>
      <c r="Y46" s="183" t="str">
        <f>IFERROR(VLOOKUP(TableHandbook[[#This Row],[UDC]],TableMCGLOBL2[],7,FALSE),"")</f>
        <v/>
      </c>
      <c r="Z46" s="118" t="str">
        <f>IFERROR(VLOOKUP(TableHandbook[[#This Row],[UDC]],TableMCGLOBL[],7,FALSE),"")</f>
        <v/>
      </c>
      <c r="AA46" s="297" t="str">
        <f>IFERROR(VLOOKUP(TableHandbook[[#This Row],[UDC]],TableSTRPGLOBL[],7,FALSE),"")</f>
        <v>Core</v>
      </c>
      <c r="AB46" s="297" t="str">
        <f>IFERROR(VLOOKUP(TableHandbook[[#This Row],[UDC]],TableSTRPHRIGT[],7,FALSE),"")</f>
        <v/>
      </c>
      <c r="AC46" s="297" t="str">
        <f>IFERROR(VLOOKUP(TableHandbook[[#This Row],[UDC]],TableSTRPINTRN[],7,FALSE),"")</f>
        <v/>
      </c>
      <c r="AD46" s="184" t="str">
        <f>IFERROR(VLOOKUP(TableHandbook[[#This Row],[UDC]],TableGCGLOBL[],7,FALSE),"")</f>
        <v>Core</v>
      </c>
      <c r="AE46" s="183" t="str">
        <f>IFERROR(VLOOKUP(TableHandbook[[#This Row],[UDC]],TableMCNETSCM[],7,FALSE),"")</f>
        <v/>
      </c>
      <c r="AF46" s="118" t="str">
        <f>IFERROR(VLOOKUP(TableHandbook[[#This Row],[UDC]],TableGDNETSCM[],7,FALSE),"")</f>
        <v/>
      </c>
      <c r="AG46" s="184" t="str">
        <f>IFERROR(VLOOKUP(TableHandbook[[#This Row],[UDC]],TableGCNETSCM[],7,FALSE),"")</f>
        <v/>
      </c>
      <c r="AH46" s="183" t="str">
        <f>IFERROR(VLOOKUP(TableHandbook[[#This Row],[UDC]],TableMCINTRNS[],7,FALSE),"")</f>
        <v/>
      </c>
      <c r="AI46" s="118" t="str">
        <f>IFERROR(VLOOKUP(TableHandbook[[#This Row],[UDC]],TableGDINTRNS[],7,FALSE),"")</f>
        <v/>
      </c>
      <c r="AJ46" s="184" t="str">
        <f>IFERROR(VLOOKUP(TableHandbook[[#This Row],[UDC]],TableGCINTRNS[],7,FALSE),"")</f>
        <v/>
      </c>
    </row>
    <row r="47" spans="1:36" x14ac:dyDescent="0.25">
      <c r="A47" s="190" t="s">
        <v>206</v>
      </c>
      <c r="B47" s="122">
        <v>2</v>
      </c>
      <c r="C47" s="190"/>
      <c r="D47" s="190" t="s">
        <v>393</v>
      </c>
      <c r="E47" s="7">
        <v>25</v>
      </c>
      <c r="F47" s="186" t="s">
        <v>368</v>
      </c>
      <c r="G47" s="75" t="str">
        <f>IFERROR(IF(VLOOKUP(TableHandbook[[#This Row],[UDC]],TableAvailabilities[],2,FALSE)&gt;0,"Y",""),"")</f>
        <v/>
      </c>
      <c r="H47" s="116" t="str">
        <f>IFERROR(IF(VLOOKUP(TableHandbook[[#This Row],[UDC]],TableAvailabilities[],3,FALSE)&gt;0,"Y",""),"")</f>
        <v/>
      </c>
      <c r="I47" s="117" t="str">
        <f>IFERROR(IF(VLOOKUP(TableHandbook[[#This Row],[UDC]],TableAvailabilities[],4,FALSE)&gt;0,"Y",""),"")</f>
        <v/>
      </c>
      <c r="J47" s="76" t="str">
        <f>IFERROR(IF(VLOOKUP(TableHandbook[[#This Row],[UDC]],TableAvailabilities[],5,FALSE)&gt;0,"Y",""),"")</f>
        <v/>
      </c>
      <c r="K47" s="290" t="s">
        <v>394</v>
      </c>
      <c r="L47" s="183" t="str">
        <f>IFERROR(VLOOKUP(TableHandbook[[#This Row],[UDC]],TableMCARTS[],7,FALSE),"")</f>
        <v/>
      </c>
      <c r="M47" s="118" t="str">
        <f>IFERROR(VLOOKUP(TableHandbook[[#This Row],[UDC]],TableMJRPCWRIT[],7,FALSE),"")</f>
        <v/>
      </c>
      <c r="N47" s="118" t="str">
        <f>IFERROR(VLOOKUP(TableHandbook[[#This Row],[UDC]],TableMJRPFINAR[],7,FALSE),"")</f>
        <v/>
      </c>
      <c r="O47" s="118" t="str">
        <f>IFERROR(VLOOKUP(TableHandbook[[#This Row],[UDC]],TableMJRPPWRIT[],7,FALSE),"")</f>
        <v>Option</v>
      </c>
      <c r="P47" s="184" t="str">
        <f>IFERROR(VLOOKUP(TableHandbook[[#This Row],[UDC]],TableMJRPSCRAR[],7,FALSE),"")</f>
        <v/>
      </c>
      <c r="Q47" s="183" t="str">
        <f>IFERROR(VLOOKUP(TableHandbook[[#This Row],[UDC]],TableMCMMJRG[],7,FALSE),"")</f>
        <v/>
      </c>
      <c r="R47" s="118" t="str">
        <f>IFERROR(VLOOKUP(TableHandbook[[#This Row],[UDC]],TableMCMMJRN[],7,FALSE),"")</f>
        <v/>
      </c>
      <c r="S47" s="118" t="str">
        <f>IFERROR(VLOOKUP(TableHandbook[[#This Row],[UDC]],TableGDMMJRN[],7,FALSE),"")</f>
        <v/>
      </c>
      <c r="T47" s="184" t="str">
        <f>IFERROR(VLOOKUP(TableHandbook[[#This Row],[UDC]],TableGCMMJRN[],7,FALSE),"")</f>
        <v/>
      </c>
      <c r="U47" s="183" t="str">
        <f>IFERROR(VLOOKUP(TableHandbook[[#This Row],[UDC]],TableMCHRIGLO[],7,FALSE),"")</f>
        <v/>
      </c>
      <c r="V47" s="118" t="str">
        <f>IFERROR(VLOOKUP(TableHandbook[[#This Row],[UDC]],TableMCHRIGHT[],7,FALSE),"")</f>
        <v/>
      </c>
      <c r="W47" s="118" t="str">
        <f>IFERROR(VLOOKUP(TableHandbook[[#This Row],[UDC]],TableGDHRIGHT[],7,FALSE),"")</f>
        <v/>
      </c>
      <c r="X47" s="184" t="str">
        <f>IFERROR(VLOOKUP(TableHandbook[[#This Row],[UDC]],TableGCHRIGHT[],7,FALSE),"")</f>
        <v/>
      </c>
      <c r="Y47" s="183" t="str">
        <f>IFERROR(VLOOKUP(TableHandbook[[#This Row],[UDC]],TableMCGLOBL2[],7,FALSE),"")</f>
        <v/>
      </c>
      <c r="Z47" s="118" t="str">
        <f>IFERROR(VLOOKUP(TableHandbook[[#This Row],[UDC]],TableMCGLOBL[],7,FALSE),"")</f>
        <v/>
      </c>
      <c r="AA47" s="297" t="str">
        <f>IFERROR(VLOOKUP(TableHandbook[[#This Row],[UDC]],TableSTRPGLOBL[],7,FALSE),"")</f>
        <v/>
      </c>
      <c r="AB47" s="297" t="str">
        <f>IFERROR(VLOOKUP(TableHandbook[[#This Row],[UDC]],TableSTRPHRIGT[],7,FALSE),"")</f>
        <v/>
      </c>
      <c r="AC47" s="297" t="str">
        <f>IFERROR(VLOOKUP(TableHandbook[[#This Row],[UDC]],TableSTRPINTRN[],7,FALSE),"")</f>
        <v/>
      </c>
      <c r="AD47" s="184" t="str">
        <f>IFERROR(VLOOKUP(TableHandbook[[#This Row],[UDC]],TableGCGLOBL[],7,FALSE),"")</f>
        <v/>
      </c>
      <c r="AE47" s="183" t="str">
        <f>IFERROR(VLOOKUP(TableHandbook[[#This Row],[UDC]],TableMCNETSCM[],7,FALSE),"")</f>
        <v/>
      </c>
      <c r="AF47" s="118" t="str">
        <f>IFERROR(VLOOKUP(TableHandbook[[#This Row],[UDC]],TableGDNETSCM[],7,FALSE),"")</f>
        <v/>
      </c>
      <c r="AG47" s="184" t="str">
        <f>IFERROR(VLOOKUP(TableHandbook[[#This Row],[UDC]],TableGCNETSCM[],7,FALSE),"")</f>
        <v/>
      </c>
      <c r="AH47" s="183" t="str">
        <f>IFERROR(VLOOKUP(TableHandbook[[#This Row],[UDC]],TableMCINTRNS[],7,FALSE),"")</f>
        <v/>
      </c>
      <c r="AI47" s="118" t="str">
        <f>IFERROR(VLOOKUP(TableHandbook[[#This Row],[UDC]],TableGDINTRNS[],7,FALSE),"")</f>
        <v/>
      </c>
      <c r="AJ47" s="184" t="str">
        <f>IFERROR(VLOOKUP(TableHandbook[[#This Row],[UDC]],TableGCINTRNS[],7,FALSE),"")</f>
        <v/>
      </c>
    </row>
    <row r="48" spans="1:36" x14ac:dyDescent="0.25">
      <c r="A48" s="190" t="s">
        <v>207</v>
      </c>
      <c r="B48" s="122">
        <v>1</v>
      </c>
      <c r="C48" s="190"/>
      <c r="D48" s="190" t="s">
        <v>395</v>
      </c>
      <c r="E48" s="7">
        <v>25</v>
      </c>
      <c r="F48" s="186" t="s">
        <v>368</v>
      </c>
      <c r="G48" s="75" t="str">
        <f>IFERROR(IF(VLOOKUP(TableHandbook[[#This Row],[UDC]],TableAvailabilities[],2,FALSE)&gt;0,"Y",""),"")</f>
        <v/>
      </c>
      <c r="H48" s="116" t="str">
        <f>IFERROR(IF(VLOOKUP(TableHandbook[[#This Row],[UDC]],TableAvailabilities[],3,FALSE)&gt;0,"Y",""),"")</f>
        <v/>
      </c>
      <c r="I48" s="117" t="str">
        <f>IFERROR(IF(VLOOKUP(TableHandbook[[#This Row],[UDC]],TableAvailabilities[],4,FALSE)&gt;0,"Y",""),"")</f>
        <v/>
      </c>
      <c r="J48" s="76" t="str">
        <f>IFERROR(IF(VLOOKUP(TableHandbook[[#This Row],[UDC]],TableAvailabilities[],5,FALSE)&gt;0,"Y",""),"")</f>
        <v/>
      </c>
      <c r="K48" s="290" t="s">
        <v>394</v>
      </c>
      <c r="L48" s="183" t="str">
        <f>IFERROR(VLOOKUP(TableHandbook[[#This Row],[UDC]],TableMCARTS[],7,FALSE),"")</f>
        <v/>
      </c>
      <c r="M48" s="118" t="str">
        <f>IFERROR(VLOOKUP(TableHandbook[[#This Row],[UDC]],TableMJRPCWRIT[],7,FALSE),"")</f>
        <v/>
      </c>
      <c r="N48" s="118" t="str">
        <f>IFERROR(VLOOKUP(TableHandbook[[#This Row],[UDC]],TableMJRPFINAR[],7,FALSE),"")</f>
        <v/>
      </c>
      <c r="O48" s="118" t="str">
        <f>IFERROR(VLOOKUP(TableHandbook[[#This Row],[UDC]],TableMJRPPWRIT[],7,FALSE),"")</f>
        <v>Option</v>
      </c>
      <c r="P48" s="184" t="str">
        <f>IFERROR(VLOOKUP(TableHandbook[[#This Row],[UDC]],TableMJRPSCRAR[],7,FALSE),"")</f>
        <v/>
      </c>
      <c r="Q48" s="183" t="str">
        <f>IFERROR(VLOOKUP(TableHandbook[[#This Row],[UDC]],TableMCMMJRG[],7,FALSE),"")</f>
        <v/>
      </c>
      <c r="R48" s="118" t="str">
        <f>IFERROR(VLOOKUP(TableHandbook[[#This Row],[UDC]],TableMCMMJRN[],7,FALSE),"")</f>
        <v/>
      </c>
      <c r="S48" s="118" t="str">
        <f>IFERROR(VLOOKUP(TableHandbook[[#This Row],[UDC]],TableGDMMJRN[],7,FALSE),"")</f>
        <v/>
      </c>
      <c r="T48" s="184" t="str">
        <f>IFERROR(VLOOKUP(TableHandbook[[#This Row],[UDC]],TableGCMMJRN[],7,FALSE),"")</f>
        <v/>
      </c>
      <c r="U48" s="183" t="str">
        <f>IFERROR(VLOOKUP(TableHandbook[[#This Row],[UDC]],TableMCHRIGLO[],7,FALSE),"")</f>
        <v/>
      </c>
      <c r="V48" s="118" t="str">
        <f>IFERROR(VLOOKUP(TableHandbook[[#This Row],[UDC]],TableMCHRIGHT[],7,FALSE),"")</f>
        <v/>
      </c>
      <c r="W48" s="118" t="str">
        <f>IFERROR(VLOOKUP(TableHandbook[[#This Row],[UDC]],TableGDHRIGHT[],7,FALSE),"")</f>
        <v/>
      </c>
      <c r="X48" s="184" t="str">
        <f>IFERROR(VLOOKUP(TableHandbook[[#This Row],[UDC]],TableGCHRIGHT[],7,FALSE),"")</f>
        <v/>
      </c>
      <c r="Y48" s="183" t="str">
        <f>IFERROR(VLOOKUP(TableHandbook[[#This Row],[UDC]],TableMCGLOBL2[],7,FALSE),"")</f>
        <v/>
      </c>
      <c r="Z48" s="118" t="str">
        <f>IFERROR(VLOOKUP(TableHandbook[[#This Row],[UDC]],TableMCGLOBL[],7,FALSE),"")</f>
        <v/>
      </c>
      <c r="AA48" s="297" t="str">
        <f>IFERROR(VLOOKUP(TableHandbook[[#This Row],[UDC]],TableSTRPGLOBL[],7,FALSE),"")</f>
        <v/>
      </c>
      <c r="AB48" s="297" t="str">
        <f>IFERROR(VLOOKUP(TableHandbook[[#This Row],[UDC]],TableSTRPHRIGT[],7,FALSE),"")</f>
        <v/>
      </c>
      <c r="AC48" s="297" t="str">
        <f>IFERROR(VLOOKUP(TableHandbook[[#This Row],[UDC]],TableSTRPINTRN[],7,FALSE),"")</f>
        <v/>
      </c>
      <c r="AD48" s="184" t="str">
        <f>IFERROR(VLOOKUP(TableHandbook[[#This Row],[UDC]],TableGCGLOBL[],7,FALSE),"")</f>
        <v/>
      </c>
      <c r="AE48" s="183" t="str">
        <f>IFERROR(VLOOKUP(TableHandbook[[#This Row],[UDC]],TableMCNETSCM[],7,FALSE),"")</f>
        <v/>
      </c>
      <c r="AF48" s="118" t="str">
        <f>IFERROR(VLOOKUP(TableHandbook[[#This Row],[UDC]],TableGDNETSCM[],7,FALSE),"")</f>
        <v/>
      </c>
      <c r="AG48" s="184" t="str">
        <f>IFERROR(VLOOKUP(TableHandbook[[#This Row],[UDC]],TableGCNETSCM[],7,FALSE),"")</f>
        <v/>
      </c>
      <c r="AH48" s="183" t="str">
        <f>IFERROR(VLOOKUP(TableHandbook[[#This Row],[UDC]],TableMCINTRNS[],7,FALSE),"")</f>
        <v/>
      </c>
      <c r="AI48" s="118" t="str">
        <f>IFERROR(VLOOKUP(TableHandbook[[#This Row],[UDC]],TableGDINTRNS[],7,FALSE),"")</f>
        <v/>
      </c>
      <c r="AJ48" s="184" t="str">
        <f>IFERROR(VLOOKUP(TableHandbook[[#This Row],[UDC]],TableGCINTRNS[],7,FALSE),"")</f>
        <v/>
      </c>
    </row>
    <row r="49" spans="1:36" x14ac:dyDescent="0.25">
      <c r="A49" s="6" t="s">
        <v>226</v>
      </c>
      <c r="B49" s="7">
        <v>2</v>
      </c>
      <c r="C49" s="6"/>
      <c r="D49" s="6" t="s">
        <v>396</v>
      </c>
      <c r="E49" s="7">
        <v>25</v>
      </c>
      <c r="F49" s="186" t="s">
        <v>368</v>
      </c>
      <c r="G49" s="75" t="str">
        <f>IFERROR(IF(VLOOKUP(TableHandbook[[#This Row],[UDC]],TableAvailabilities[],2,FALSE)&gt;0,"Y",""),"")</f>
        <v/>
      </c>
      <c r="H49" s="116" t="str">
        <f>IFERROR(IF(VLOOKUP(TableHandbook[[#This Row],[UDC]],TableAvailabilities[],3,FALSE)&gt;0,"Y",""),"")</f>
        <v/>
      </c>
      <c r="I49" s="117" t="str">
        <f>IFERROR(IF(VLOOKUP(TableHandbook[[#This Row],[UDC]],TableAvailabilities[],4,FALSE)&gt;0,"Y",""),"")</f>
        <v>Y</v>
      </c>
      <c r="J49" s="76" t="str">
        <f>IFERROR(IF(VLOOKUP(TableHandbook[[#This Row],[UDC]],TableAvailabilities[],5,FALSE)&gt;0,"Y",""),"")</f>
        <v>Y</v>
      </c>
      <c r="K49" s="289" t="s">
        <v>371</v>
      </c>
      <c r="L49" s="183" t="str">
        <f>IFERROR(VLOOKUP(TableHandbook[[#This Row],[UDC]],TableMCARTS[],7,FALSE),"")</f>
        <v/>
      </c>
      <c r="M49" s="118" t="str">
        <f>IFERROR(VLOOKUP(TableHandbook[[#This Row],[UDC]],TableMJRPCWRIT[],7,FALSE),"")</f>
        <v/>
      </c>
      <c r="N49" s="118" t="str">
        <f>IFERROR(VLOOKUP(TableHandbook[[#This Row],[UDC]],TableMJRPFINAR[],7,FALSE),"")</f>
        <v/>
      </c>
      <c r="O49" s="118" t="str">
        <f>IFERROR(VLOOKUP(TableHandbook[[#This Row],[UDC]],TableMJRPPWRIT[],7,FALSE),"")</f>
        <v/>
      </c>
      <c r="P49" s="184" t="str">
        <f>IFERROR(VLOOKUP(TableHandbook[[#This Row],[UDC]],TableMJRPSCRAR[],7,FALSE),"")</f>
        <v/>
      </c>
      <c r="Q49" s="183" t="str">
        <f>IFERROR(VLOOKUP(TableHandbook[[#This Row],[UDC]],TableMCMMJRG[],7,FALSE),"")</f>
        <v/>
      </c>
      <c r="R49" s="118" t="str">
        <f>IFERROR(VLOOKUP(TableHandbook[[#This Row],[UDC]],TableMCMMJRN[],7,FALSE),"")</f>
        <v/>
      </c>
      <c r="S49" s="118" t="str">
        <f>IFERROR(VLOOKUP(TableHandbook[[#This Row],[UDC]],TableGDMMJRN[],7,FALSE),"")</f>
        <v/>
      </c>
      <c r="T49" s="184" t="str">
        <f>IFERROR(VLOOKUP(TableHandbook[[#This Row],[UDC]],TableGCMMJRN[],7,FALSE),"")</f>
        <v/>
      </c>
      <c r="U49" s="183" t="str">
        <f>IFERROR(VLOOKUP(TableHandbook[[#This Row],[UDC]],TableMCHRIGLO[],7,FALSE),"")</f>
        <v>Core</v>
      </c>
      <c r="V49" s="118" t="str">
        <f>IFERROR(VLOOKUP(TableHandbook[[#This Row],[UDC]],TableMCHRIGHT[],7,FALSE),"")</f>
        <v>Core</v>
      </c>
      <c r="W49" s="118" t="str">
        <f>IFERROR(VLOOKUP(TableHandbook[[#This Row],[UDC]],TableGDHRIGHT[],7,FALSE),"")</f>
        <v>Core</v>
      </c>
      <c r="X49" s="184" t="str">
        <f>IFERROR(VLOOKUP(TableHandbook[[#This Row],[UDC]],TableGCHRIGHT[],7,FALSE),"")</f>
        <v>Option</v>
      </c>
      <c r="Y49" s="183" t="str">
        <f>IFERROR(VLOOKUP(TableHandbook[[#This Row],[UDC]],TableMCGLOBL2[],7,FALSE),"")</f>
        <v/>
      </c>
      <c r="Z49" s="118" t="str">
        <f>IFERROR(VLOOKUP(TableHandbook[[#This Row],[UDC]],TableMCGLOBL[],7,FALSE),"")</f>
        <v/>
      </c>
      <c r="AA49" s="297" t="str">
        <f>IFERROR(VLOOKUP(TableHandbook[[#This Row],[UDC]],TableSTRPGLOBL[],7,FALSE),"")</f>
        <v/>
      </c>
      <c r="AB49" s="297" t="str">
        <f>IFERROR(VLOOKUP(TableHandbook[[#This Row],[UDC]],TableSTRPHRIGT[],7,FALSE),"")</f>
        <v>Option</v>
      </c>
      <c r="AC49" s="297" t="str">
        <f>IFERROR(VLOOKUP(TableHandbook[[#This Row],[UDC]],TableSTRPINTRN[],7,FALSE),"")</f>
        <v/>
      </c>
      <c r="AD49" s="184" t="str">
        <f>IFERROR(VLOOKUP(TableHandbook[[#This Row],[UDC]],TableGCGLOBL[],7,FALSE),"")</f>
        <v/>
      </c>
      <c r="AE49" s="183" t="str">
        <f>IFERROR(VLOOKUP(TableHandbook[[#This Row],[UDC]],TableMCNETSCM[],7,FALSE),"")</f>
        <v/>
      </c>
      <c r="AF49" s="118" t="str">
        <f>IFERROR(VLOOKUP(TableHandbook[[#This Row],[UDC]],TableGDNETSCM[],7,FALSE),"")</f>
        <v/>
      </c>
      <c r="AG49" s="184" t="str">
        <f>IFERROR(VLOOKUP(TableHandbook[[#This Row],[UDC]],TableGCNETSCM[],7,FALSE),"")</f>
        <v/>
      </c>
      <c r="AH49" s="183" t="str">
        <f>IFERROR(VLOOKUP(TableHandbook[[#This Row],[UDC]],TableMCINTRNS[],7,FALSE),"")</f>
        <v/>
      </c>
      <c r="AI49" s="118" t="str">
        <f>IFERROR(VLOOKUP(TableHandbook[[#This Row],[UDC]],TableGDINTRNS[],7,FALSE),"")</f>
        <v/>
      </c>
      <c r="AJ49" s="184" t="str">
        <f>IFERROR(VLOOKUP(TableHandbook[[#This Row],[UDC]],TableGCINTRNS[],7,FALSE),"")</f>
        <v/>
      </c>
    </row>
    <row r="50" spans="1:36" x14ac:dyDescent="0.25">
      <c r="A50" s="6" t="s">
        <v>397</v>
      </c>
      <c r="B50" s="7">
        <v>1</v>
      </c>
      <c r="C50" s="6"/>
      <c r="D50" s="6" t="s">
        <v>398</v>
      </c>
      <c r="E50" s="7">
        <v>25</v>
      </c>
      <c r="F50" s="186" t="s">
        <v>368</v>
      </c>
      <c r="G50" s="75" t="str">
        <f>IFERROR(IF(VLOOKUP(TableHandbook[[#This Row],[UDC]],TableAvailabilities[],2,FALSE)&gt;0,"Y",""),"")</f>
        <v/>
      </c>
      <c r="H50" s="116" t="str">
        <f>IFERROR(IF(VLOOKUP(TableHandbook[[#This Row],[UDC]],TableAvailabilities[],3,FALSE)&gt;0,"Y",""),"")</f>
        <v/>
      </c>
      <c r="I50" s="117" t="str">
        <f>IFERROR(IF(VLOOKUP(TableHandbook[[#This Row],[UDC]],TableAvailabilities[],4,FALSE)&gt;0,"Y",""),"")</f>
        <v/>
      </c>
      <c r="J50" s="76" t="str">
        <f>IFERROR(IF(VLOOKUP(TableHandbook[[#This Row],[UDC]],TableAvailabilities[],5,FALSE)&gt;0,"Y",""),"")</f>
        <v/>
      </c>
      <c r="K50" s="289" t="s">
        <v>375</v>
      </c>
      <c r="L50" s="183" t="str">
        <f>IFERROR(VLOOKUP(TableHandbook[[#This Row],[UDC]],TableMCARTS[],7,FALSE),"")</f>
        <v/>
      </c>
      <c r="M50" s="118" t="str">
        <f>IFERROR(VLOOKUP(TableHandbook[[#This Row],[UDC]],TableMJRPCWRIT[],7,FALSE),"")</f>
        <v/>
      </c>
      <c r="N50" s="118" t="str">
        <f>IFERROR(VLOOKUP(TableHandbook[[#This Row],[UDC]],TableMJRPFINAR[],7,FALSE),"")</f>
        <v/>
      </c>
      <c r="O50" s="118" t="str">
        <f>IFERROR(VLOOKUP(TableHandbook[[#This Row],[UDC]],TableMJRPPWRIT[],7,FALSE),"")</f>
        <v/>
      </c>
      <c r="P50" s="184" t="str">
        <f>IFERROR(VLOOKUP(TableHandbook[[#This Row],[UDC]],TableMJRPSCRAR[],7,FALSE),"")</f>
        <v/>
      </c>
      <c r="Q50" s="183" t="str">
        <f>IFERROR(VLOOKUP(TableHandbook[[#This Row],[UDC]],TableMCMMJRG[],7,FALSE),"")</f>
        <v/>
      </c>
      <c r="R50" s="118" t="str">
        <f>IFERROR(VLOOKUP(TableHandbook[[#This Row],[UDC]],TableMCMMJRN[],7,FALSE),"")</f>
        <v/>
      </c>
      <c r="S50" s="118" t="str">
        <f>IFERROR(VLOOKUP(TableHandbook[[#This Row],[UDC]],TableGDMMJRN[],7,FALSE),"")</f>
        <v/>
      </c>
      <c r="T50" s="184" t="str">
        <f>IFERROR(VLOOKUP(TableHandbook[[#This Row],[UDC]],TableGCMMJRN[],7,FALSE),"")</f>
        <v/>
      </c>
      <c r="U50" s="183" t="str">
        <f>IFERROR(VLOOKUP(TableHandbook[[#This Row],[UDC]],TableMCHRIGLO[],7,FALSE),"")</f>
        <v/>
      </c>
      <c r="V50" s="118" t="str">
        <f>IFERROR(VLOOKUP(TableHandbook[[#This Row],[UDC]],TableMCHRIGHT[],7,FALSE),"")</f>
        <v/>
      </c>
      <c r="W50" s="118" t="str">
        <f>IFERROR(VLOOKUP(TableHandbook[[#This Row],[UDC]],TableGDHRIGHT[],7,FALSE),"")</f>
        <v/>
      </c>
      <c r="X50" s="184" t="str">
        <f>IFERROR(VLOOKUP(TableHandbook[[#This Row],[UDC]],TableGCHRIGHT[],7,FALSE),"")</f>
        <v/>
      </c>
      <c r="Y50" s="183" t="str">
        <f>IFERROR(VLOOKUP(TableHandbook[[#This Row],[UDC]],TableMCGLOBL2[],7,FALSE),"")</f>
        <v/>
      </c>
      <c r="Z50" s="118" t="str">
        <f>IFERROR(VLOOKUP(TableHandbook[[#This Row],[UDC]],TableMCGLOBL[],7,FALSE),"")</f>
        <v/>
      </c>
      <c r="AA50" s="297" t="str">
        <f>IFERROR(VLOOKUP(TableHandbook[[#This Row],[UDC]],TableSTRPGLOBL[],7,FALSE),"")</f>
        <v/>
      </c>
      <c r="AB50" s="297" t="str">
        <f>IFERROR(VLOOKUP(TableHandbook[[#This Row],[UDC]],TableSTRPHRIGT[],7,FALSE),"")</f>
        <v/>
      </c>
      <c r="AC50" s="297" t="str">
        <f>IFERROR(VLOOKUP(TableHandbook[[#This Row],[UDC]],TableSTRPINTRN[],7,FALSE),"")</f>
        <v/>
      </c>
      <c r="AD50" s="184" t="str">
        <f>IFERROR(VLOOKUP(TableHandbook[[#This Row],[UDC]],TableGCGLOBL[],7,FALSE),"")</f>
        <v/>
      </c>
      <c r="AE50" s="183" t="str">
        <f>IFERROR(VLOOKUP(TableHandbook[[#This Row],[UDC]],TableMCNETSCM[],7,FALSE),"")</f>
        <v/>
      </c>
      <c r="AF50" s="118" t="str">
        <f>IFERROR(VLOOKUP(TableHandbook[[#This Row],[UDC]],TableGDNETSCM[],7,FALSE),"")</f>
        <v/>
      </c>
      <c r="AG50" s="184" t="str">
        <f>IFERROR(VLOOKUP(TableHandbook[[#This Row],[UDC]],TableGCNETSCM[],7,FALSE),"")</f>
        <v/>
      </c>
      <c r="AH50" s="183" t="str">
        <f>IFERROR(VLOOKUP(TableHandbook[[#This Row],[UDC]],TableMCINTRNS[],7,FALSE),"")</f>
        <v/>
      </c>
      <c r="AI50" s="118" t="str">
        <f>IFERROR(VLOOKUP(TableHandbook[[#This Row],[UDC]],TableGDINTRNS[],7,FALSE),"")</f>
        <v/>
      </c>
      <c r="AJ50" s="184" t="str">
        <f>IFERROR(VLOOKUP(TableHandbook[[#This Row],[UDC]],TableGCINTRNS[],7,FALSE),"")</f>
        <v/>
      </c>
    </row>
    <row r="51" spans="1:36" x14ac:dyDescent="0.25">
      <c r="A51" s="6" t="s">
        <v>231</v>
      </c>
      <c r="B51" s="7">
        <v>2</v>
      </c>
      <c r="C51" s="6"/>
      <c r="D51" s="6" t="s">
        <v>399</v>
      </c>
      <c r="E51" s="7">
        <v>25</v>
      </c>
      <c r="F51" s="186" t="s">
        <v>368</v>
      </c>
      <c r="G51" s="75" t="str">
        <f>IFERROR(IF(VLOOKUP(TableHandbook[[#This Row],[UDC]],TableAvailabilities[],2,FALSE)&gt;0,"Y",""),"")</f>
        <v>Y</v>
      </c>
      <c r="H51" s="116" t="str">
        <f>IFERROR(IF(VLOOKUP(TableHandbook[[#This Row],[UDC]],TableAvailabilities[],3,FALSE)&gt;0,"Y",""),"")</f>
        <v>Y</v>
      </c>
      <c r="I51" s="117" t="str">
        <f>IFERROR(IF(VLOOKUP(TableHandbook[[#This Row],[UDC]],TableAvailabilities[],4,FALSE)&gt;0,"Y",""),"")</f>
        <v/>
      </c>
      <c r="J51" s="76" t="str">
        <f>IFERROR(IF(VLOOKUP(TableHandbook[[#This Row],[UDC]],TableAvailabilities[],5,FALSE)&gt;0,"Y",""),"")</f>
        <v/>
      </c>
      <c r="K51" s="289" t="s">
        <v>371</v>
      </c>
      <c r="L51" s="183" t="str">
        <f>IFERROR(VLOOKUP(TableHandbook[[#This Row],[UDC]],TableMCARTS[],7,FALSE),"")</f>
        <v/>
      </c>
      <c r="M51" s="118" t="str">
        <f>IFERROR(VLOOKUP(TableHandbook[[#This Row],[UDC]],TableMJRPCWRIT[],7,FALSE),"")</f>
        <v/>
      </c>
      <c r="N51" s="118" t="str">
        <f>IFERROR(VLOOKUP(TableHandbook[[#This Row],[UDC]],TableMJRPFINAR[],7,FALSE),"")</f>
        <v/>
      </c>
      <c r="O51" s="118" t="str">
        <f>IFERROR(VLOOKUP(TableHandbook[[#This Row],[UDC]],TableMJRPPWRIT[],7,FALSE),"")</f>
        <v/>
      </c>
      <c r="P51" s="184" t="str">
        <f>IFERROR(VLOOKUP(TableHandbook[[#This Row],[UDC]],TableMJRPSCRAR[],7,FALSE),"")</f>
        <v/>
      </c>
      <c r="Q51" s="183" t="str">
        <f>IFERROR(VLOOKUP(TableHandbook[[#This Row],[UDC]],TableMCMMJRG[],7,FALSE),"")</f>
        <v/>
      </c>
      <c r="R51" s="118" t="str">
        <f>IFERROR(VLOOKUP(TableHandbook[[#This Row],[UDC]],TableMCMMJRN[],7,FALSE),"")</f>
        <v/>
      </c>
      <c r="S51" s="118" t="str">
        <f>IFERROR(VLOOKUP(TableHandbook[[#This Row],[UDC]],TableGDMMJRN[],7,FALSE),"")</f>
        <v/>
      </c>
      <c r="T51" s="184" t="str">
        <f>IFERROR(VLOOKUP(TableHandbook[[#This Row],[UDC]],TableGCMMJRN[],7,FALSE),"")</f>
        <v/>
      </c>
      <c r="U51" s="183" t="str">
        <f>IFERROR(VLOOKUP(TableHandbook[[#This Row],[UDC]],TableMCHRIGLO[],7,FALSE),"")</f>
        <v>Core</v>
      </c>
      <c r="V51" s="118" t="str">
        <f>IFERROR(VLOOKUP(TableHandbook[[#This Row],[UDC]],TableMCHRIGHT[],7,FALSE),"")</f>
        <v>Core</v>
      </c>
      <c r="W51" s="118" t="str">
        <f>IFERROR(VLOOKUP(TableHandbook[[#This Row],[UDC]],TableGDHRIGHT[],7,FALSE),"")</f>
        <v>Core</v>
      </c>
      <c r="X51" s="184" t="str">
        <f>IFERROR(VLOOKUP(TableHandbook[[#This Row],[UDC]],TableGCHRIGHT[],7,FALSE),"")</f>
        <v>Option</v>
      </c>
      <c r="Y51" s="183" t="str">
        <f>IFERROR(VLOOKUP(TableHandbook[[#This Row],[UDC]],TableMCGLOBL2[],7,FALSE),"")</f>
        <v/>
      </c>
      <c r="Z51" s="118" t="str">
        <f>IFERROR(VLOOKUP(TableHandbook[[#This Row],[UDC]],TableMCGLOBL[],7,FALSE),"")</f>
        <v/>
      </c>
      <c r="AA51" s="297" t="str">
        <f>IFERROR(VLOOKUP(TableHandbook[[#This Row],[UDC]],TableSTRPGLOBL[],7,FALSE),"")</f>
        <v/>
      </c>
      <c r="AB51" s="297" t="str">
        <f>IFERROR(VLOOKUP(TableHandbook[[#This Row],[UDC]],TableSTRPHRIGT[],7,FALSE),"")</f>
        <v>Option</v>
      </c>
      <c r="AC51" s="297" t="str">
        <f>IFERROR(VLOOKUP(TableHandbook[[#This Row],[UDC]],TableSTRPINTRN[],7,FALSE),"")</f>
        <v/>
      </c>
      <c r="AD51" s="184" t="str">
        <f>IFERROR(VLOOKUP(TableHandbook[[#This Row],[UDC]],TableGCGLOBL[],7,FALSE),"")</f>
        <v/>
      </c>
      <c r="AE51" s="183" t="str">
        <f>IFERROR(VLOOKUP(TableHandbook[[#This Row],[UDC]],TableMCNETSCM[],7,FALSE),"")</f>
        <v/>
      </c>
      <c r="AF51" s="118" t="str">
        <f>IFERROR(VLOOKUP(TableHandbook[[#This Row],[UDC]],TableGDNETSCM[],7,FALSE),"")</f>
        <v/>
      </c>
      <c r="AG51" s="184" t="str">
        <f>IFERROR(VLOOKUP(TableHandbook[[#This Row],[UDC]],TableGCNETSCM[],7,FALSE),"")</f>
        <v/>
      </c>
      <c r="AH51" s="183" t="str">
        <f>IFERROR(VLOOKUP(TableHandbook[[#This Row],[UDC]],TableMCINTRNS[],7,FALSE),"")</f>
        <v/>
      </c>
      <c r="AI51" s="118" t="str">
        <f>IFERROR(VLOOKUP(TableHandbook[[#This Row],[UDC]],TableGDINTRNS[],7,FALSE),"")</f>
        <v/>
      </c>
      <c r="AJ51" s="184" t="str">
        <f>IFERROR(VLOOKUP(TableHandbook[[#This Row],[UDC]],TableGCINTRNS[],7,FALSE),"")</f>
        <v/>
      </c>
    </row>
    <row r="52" spans="1:36" x14ac:dyDescent="0.25">
      <c r="A52" s="6" t="s">
        <v>400</v>
      </c>
      <c r="B52" s="7">
        <v>1</v>
      </c>
      <c r="C52" s="6"/>
      <c r="D52" s="6" t="s">
        <v>401</v>
      </c>
      <c r="E52" s="7">
        <v>25</v>
      </c>
      <c r="F52" s="186" t="s">
        <v>368</v>
      </c>
      <c r="G52" s="75" t="str">
        <f>IFERROR(IF(VLOOKUP(TableHandbook[[#This Row],[UDC]],TableAvailabilities[],2,FALSE)&gt;0,"Y",""),"")</f>
        <v/>
      </c>
      <c r="H52" s="116" t="str">
        <f>IFERROR(IF(VLOOKUP(TableHandbook[[#This Row],[UDC]],TableAvailabilities[],3,FALSE)&gt;0,"Y",""),"")</f>
        <v/>
      </c>
      <c r="I52" s="117" t="str">
        <f>IFERROR(IF(VLOOKUP(TableHandbook[[#This Row],[UDC]],TableAvailabilities[],4,FALSE)&gt;0,"Y",""),"")</f>
        <v/>
      </c>
      <c r="J52" s="76" t="str">
        <f>IFERROR(IF(VLOOKUP(TableHandbook[[#This Row],[UDC]],TableAvailabilities[],5,FALSE)&gt;0,"Y",""),"")</f>
        <v/>
      </c>
      <c r="K52" s="289" t="s">
        <v>375</v>
      </c>
      <c r="L52" s="183" t="str">
        <f>IFERROR(VLOOKUP(TableHandbook[[#This Row],[UDC]],TableMCARTS[],7,FALSE),"")</f>
        <v/>
      </c>
      <c r="M52" s="118" t="str">
        <f>IFERROR(VLOOKUP(TableHandbook[[#This Row],[UDC]],TableMJRPCWRIT[],7,FALSE),"")</f>
        <v/>
      </c>
      <c r="N52" s="118" t="str">
        <f>IFERROR(VLOOKUP(TableHandbook[[#This Row],[UDC]],TableMJRPFINAR[],7,FALSE),"")</f>
        <v/>
      </c>
      <c r="O52" s="118" t="str">
        <f>IFERROR(VLOOKUP(TableHandbook[[#This Row],[UDC]],TableMJRPPWRIT[],7,FALSE),"")</f>
        <v/>
      </c>
      <c r="P52" s="184" t="str">
        <f>IFERROR(VLOOKUP(TableHandbook[[#This Row],[UDC]],TableMJRPSCRAR[],7,FALSE),"")</f>
        <v/>
      </c>
      <c r="Q52" s="183" t="str">
        <f>IFERROR(VLOOKUP(TableHandbook[[#This Row],[UDC]],TableMCMMJRG[],7,FALSE),"")</f>
        <v/>
      </c>
      <c r="R52" s="118" t="str">
        <f>IFERROR(VLOOKUP(TableHandbook[[#This Row],[UDC]],TableMCMMJRN[],7,FALSE),"")</f>
        <v/>
      </c>
      <c r="S52" s="118" t="str">
        <f>IFERROR(VLOOKUP(TableHandbook[[#This Row],[UDC]],TableGDMMJRN[],7,FALSE),"")</f>
        <v/>
      </c>
      <c r="T52" s="184" t="str">
        <f>IFERROR(VLOOKUP(TableHandbook[[#This Row],[UDC]],TableGCMMJRN[],7,FALSE),"")</f>
        <v/>
      </c>
      <c r="U52" s="183" t="str">
        <f>IFERROR(VLOOKUP(TableHandbook[[#This Row],[UDC]],TableMCHRIGLO[],7,FALSE),"")</f>
        <v/>
      </c>
      <c r="V52" s="118" t="str">
        <f>IFERROR(VLOOKUP(TableHandbook[[#This Row],[UDC]],TableMCHRIGHT[],7,FALSE),"")</f>
        <v/>
      </c>
      <c r="W52" s="118" t="str">
        <f>IFERROR(VLOOKUP(TableHandbook[[#This Row],[UDC]],TableGDHRIGHT[],7,FALSE),"")</f>
        <v/>
      </c>
      <c r="X52" s="184" t="str">
        <f>IFERROR(VLOOKUP(TableHandbook[[#This Row],[UDC]],TableGCHRIGHT[],7,FALSE),"")</f>
        <v/>
      </c>
      <c r="Y52" s="183" t="str">
        <f>IFERROR(VLOOKUP(TableHandbook[[#This Row],[UDC]],TableMCGLOBL2[],7,FALSE),"")</f>
        <v/>
      </c>
      <c r="Z52" s="118" t="str">
        <f>IFERROR(VLOOKUP(TableHandbook[[#This Row],[UDC]],TableMCGLOBL[],7,FALSE),"")</f>
        <v/>
      </c>
      <c r="AA52" s="297" t="str">
        <f>IFERROR(VLOOKUP(TableHandbook[[#This Row],[UDC]],TableSTRPGLOBL[],7,FALSE),"")</f>
        <v/>
      </c>
      <c r="AB52" s="297" t="str">
        <f>IFERROR(VLOOKUP(TableHandbook[[#This Row],[UDC]],TableSTRPHRIGT[],7,FALSE),"")</f>
        <v/>
      </c>
      <c r="AC52" s="297" t="str">
        <f>IFERROR(VLOOKUP(TableHandbook[[#This Row],[UDC]],TableSTRPINTRN[],7,FALSE),"")</f>
        <v/>
      </c>
      <c r="AD52" s="184" t="str">
        <f>IFERROR(VLOOKUP(TableHandbook[[#This Row],[UDC]],TableGCGLOBL[],7,FALSE),"")</f>
        <v/>
      </c>
      <c r="AE52" s="183" t="str">
        <f>IFERROR(VLOOKUP(TableHandbook[[#This Row],[UDC]],TableMCNETSCM[],7,FALSE),"")</f>
        <v/>
      </c>
      <c r="AF52" s="118" t="str">
        <f>IFERROR(VLOOKUP(TableHandbook[[#This Row],[UDC]],TableGDNETSCM[],7,FALSE),"")</f>
        <v/>
      </c>
      <c r="AG52" s="184" t="str">
        <f>IFERROR(VLOOKUP(TableHandbook[[#This Row],[UDC]],TableGCNETSCM[],7,FALSE),"")</f>
        <v/>
      </c>
      <c r="AH52" s="183" t="str">
        <f>IFERROR(VLOOKUP(TableHandbook[[#This Row],[UDC]],TableMCINTRNS[],7,FALSE),"")</f>
        <v/>
      </c>
      <c r="AI52" s="118" t="str">
        <f>IFERROR(VLOOKUP(TableHandbook[[#This Row],[UDC]],TableGDINTRNS[],7,FALSE),"")</f>
        <v/>
      </c>
      <c r="AJ52" s="184" t="str">
        <f>IFERROR(VLOOKUP(TableHandbook[[#This Row],[UDC]],TableGCINTRNS[],7,FALSE),"")</f>
        <v/>
      </c>
    </row>
    <row r="53" spans="1:36" x14ac:dyDescent="0.25">
      <c r="A53" s="6" t="s">
        <v>230</v>
      </c>
      <c r="B53" s="7">
        <v>2</v>
      </c>
      <c r="C53" s="6"/>
      <c r="D53" s="6" t="s">
        <v>402</v>
      </c>
      <c r="E53" s="7">
        <v>25</v>
      </c>
      <c r="F53" s="186" t="s">
        <v>368</v>
      </c>
      <c r="G53" s="75" t="str">
        <f>IFERROR(IF(VLOOKUP(TableHandbook[[#This Row],[UDC]],TableAvailabilities[],2,FALSE)&gt;0,"Y",""),"")</f>
        <v/>
      </c>
      <c r="H53" s="116" t="str">
        <f>IFERROR(IF(VLOOKUP(TableHandbook[[#This Row],[UDC]],TableAvailabilities[],3,FALSE)&gt;0,"Y",""),"")</f>
        <v/>
      </c>
      <c r="I53" s="117" t="str">
        <f>IFERROR(IF(VLOOKUP(TableHandbook[[#This Row],[UDC]],TableAvailabilities[],4,FALSE)&gt;0,"Y",""),"")</f>
        <v>Y</v>
      </c>
      <c r="J53" s="76" t="str">
        <f>IFERROR(IF(VLOOKUP(TableHandbook[[#This Row],[UDC]],TableAvailabilities[],5,FALSE)&gt;0,"Y",""),"")</f>
        <v>Y</v>
      </c>
      <c r="K53" s="289" t="s">
        <v>371</v>
      </c>
      <c r="L53" s="183" t="str">
        <f>IFERROR(VLOOKUP(TableHandbook[[#This Row],[UDC]],TableMCARTS[],7,FALSE),"")</f>
        <v/>
      </c>
      <c r="M53" s="118" t="str">
        <f>IFERROR(VLOOKUP(TableHandbook[[#This Row],[UDC]],TableMJRPCWRIT[],7,FALSE),"")</f>
        <v/>
      </c>
      <c r="N53" s="118" t="str">
        <f>IFERROR(VLOOKUP(TableHandbook[[#This Row],[UDC]],TableMJRPFINAR[],7,FALSE),"")</f>
        <v/>
      </c>
      <c r="O53" s="118" t="str">
        <f>IFERROR(VLOOKUP(TableHandbook[[#This Row],[UDC]],TableMJRPPWRIT[],7,FALSE),"")</f>
        <v/>
      </c>
      <c r="P53" s="184" t="str">
        <f>IFERROR(VLOOKUP(TableHandbook[[#This Row],[UDC]],TableMJRPSCRAR[],7,FALSE),"")</f>
        <v/>
      </c>
      <c r="Q53" s="183" t="str">
        <f>IFERROR(VLOOKUP(TableHandbook[[#This Row],[UDC]],TableMCMMJRG[],7,FALSE),"")</f>
        <v>Option</v>
      </c>
      <c r="R53" s="118" t="str">
        <f>IFERROR(VLOOKUP(TableHandbook[[#This Row],[UDC]],TableMCMMJRN[],7,FALSE),"")</f>
        <v/>
      </c>
      <c r="S53" s="118" t="str">
        <f>IFERROR(VLOOKUP(TableHandbook[[#This Row],[UDC]],TableGDMMJRN[],7,FALSE),"")</f>
        <v/>
      </c>
      <c r="T53" s="184" t="str">
        <f>IFERROR(VLOOKUP(TableHandbook[[#This Row],[UDC]],TableGCMMJRN[],7,FALSE),"")</f>
        <v/>
      </c>
      <c r="U53" s="183" t="str">
        <f>IFERROR(VLOOKUP(TableHandbook[[#This Row],[UDC]],TableMCHRIGLO[],7,FALSE),"")</f>
        <v>Core</v>
      </c>
      <c r="V53" s="118" t="str">
        <f>IFERROR(VLOOKUP(TableHandbook[[#This Row],[UDC]],TableMCHRIGHT[],7,FALSE),"")</f>
        <v>Core</v>
      </c>
      <c r="W53" s="118" t="str">
        <f>IFERROR(VLOOKUP(TableHandbook[[#This Row],[UDC]],TableGDHRIGHT[],7,FALSE),"")</f>
        <v>Core</v>
      </c>
      <c r="X53" s="184" t="str">
        <f>IFERROR(VLOOKUP(TableHandbook[[#This Row],[UDC]],TableGCHRIGHT[],7,FALSE),"")</f>
        <v>Option</v>
      </c>
      <c r="Y53" s="183" t="str">
        <f>IFERROR(VLOOKUP(TableHandbook[[#This Row],[UDC]],TableMCGLOBL2[],7,FALSE),"")</f>
        <v/>
      </c>
      <c r="Z53" s="118" t="str">
        <f>IFERROR(VLOOKUP(TableHandbook[[#This Row],[UDC]],TableMCGLOBL[],7,FALSE),"")</f>
        <v/>
      </c>
      <c r="AA53" s="297" t="str">
        <f>IFERROR(VLOOKUP(TableHandbook[[#This Row],[UDC]],TableSTRPGLOBL[],7,FALSE),"")</f>
        <v/>
      </c>
      <c r="AB53" s="297" t="str">
        <f>IFERROR(VLOOKUP(TableHandbook[[#This Row],[UDC]],TableSTRPHRIGT[],7,FALSE),"")</f>
        <v>Option</v>
      </c>
      <c r="AC53" s="297" t="str">
        <f>IFERROR(VLOOKUP(TableHandbook[[#This Row],[UDC]],TableSTRPINTRN[],7,FALSE),"")</f>
        <v/>
      </c>
      <c r="AD53" s="184" t="str">
        <f>IFERROR(VLOOKUP(TableHandbook[[#This Row],[UDC]],TableGCGLOBL[],7,FALSE),"")</f>
        <v/>
      </c>
      <c r="AE53" s="183" t="str">
        <f>IFERROR(VLOOKUP(TableHandbook[[#This Row],[UDC]],TableMCNETSCM[],7,FALSE),"")</f>
        <v/>
      </c>
      <c r="AF53" s="118" t="str">
        <f>IFERROR(VLOOKUP(TableHandbook[[#This Row],[UDC]],TableGDNETSCM[],7,FALSE),"")</f>
        <v/>
      </c>
      <c r="AG53" s="184" t="str">
        <f>IFERROR(VLOOKUP(TableHandbook[[#This Row],[UDC]],TableGCNETSCM[],7,FALSE),"")</f>
        <v/>
      </c>
      <c r="AH53" s="183" t="str">
        <f>IFERROR(VLOOKUP(TableHandbook[[#This Row],[UDC]],TableMCINTRNS[],7,FALSE),"")</f>
        <v/>
      </c>
      <c r="AI53" s="118" t="str">
        <f>IFERROR(VLOOKUP(TableHandbook[[#This Row],[UDC]],TableGDINTRNS[],7,FALSE),"")</f>
        <v/>
      </c>
      <c r="AJ53" s="184" t="str">
        <f>IFERROR(VLOOKUP(TableHandbook[[#This Row],[UDC]],TableGCINTRNS[],7,FALSE),"")</f>
        <v/>
      </c>
    </row>
    <row r="54" spans="1:36" x14ac:dyDescent="0.25">
      <c r="A54" s="6" t="s">
        <v>403</v>
      </c>
      <c r="B54" s="7">
        <v>1</v>
      </c>
      <c r="C54" s="6"/>
      <c r="D54" s="6" t="s">
        <v>404</v>
      </c>
      <c r="E54" s="7">
        <v>25</v>
      </c>
      <c r="F54" s="186" t="s">
        <v>368</v>
      </c>
      <c r="G54" s="75" t="str">
        <f>IFERROR(IF(VLOOKUP(TableHandbook[[#This Row],[UDC]],TableAvailabilities[],2,FALSE)&gt;0,"Y",""),"")</f>
        <v/>
      </c>
      <c r="H54" s="116" t="str">
        <f>IFERROR(IF(VLOOKUP(TableHandbook[[#This Row],[UDC]],TableAvailabilities[],3,FALSE)&gt;0,"Y",""),"")</f>
        <v/>
      </c>
      <c r="I54" s="117" t="str">
        <f>IFERROR(IF(VLOOKUP(TableHandbook[[#This Row],[UDC]],TableAvailabilities[],4,FALSE)&gt;0,"Y",""),"")</f>
        <v/>
      </c>
      <c r="J54" s="76" t="str">
        <f>IFERROR(IF(VLOOKUP(TableHandbook[[#This Row],[UDC]],TableAvailabilities[],5,FALSE)&gt;0,"Y",""),"")</f>
        <v/>
      </c>
      <c r="K54" s="289" t="s">
        <v>375</v>
      </c>
      <c r="L54" s="183" t="str">
        <f>IFERROR(VLOOKUP(TableHandbook[[#This Row],[UDC]],TableMCARTS[],7,FALSE),"")</f>
        <v/>
      </c>
      <c r="M54" s="118" t="str">
        <f>IFERROR(VLOOKUP(TableHandbook[[#This Row],[UDC]],TableMJRPCWRIT[],7,FALSE),"")</f>
        <v/>
      </c>
      <c r="N54" s="118" t="str">
        <f>IFERROR(VLOOKUP(TableHandbook[[#This Row],[UDC]],TableMJRPFINAR[],7,FALSE),"")</f>
        <v/>
      </c>
      <c r="O54" s="118" t="str">
        <f>IFERROR(VLOOKUP(TableHandbook[[#This Row],[UDC]],TableMJRPPWRIT[],7,FALSE),"")</f>
        <v/>
      </c>
      <c r="P54" s="184" t="str">
        <f>IFERROR(VLOOKUP(TableHandbook[[#This Row],[UDC]],TableMJRPSCRAR[],7,FALSE),"")</f>
        <v/>
      </c>
      <c r="Q54" s="183" t="str">
        <f>IFERROR(VLOOKUP(TableHandbook[[#This Row],[UDC]],TableMCMMJRG[],7,FALSE),"")</f>
        <v/>
      </c>
      <c r="R54" s="118" t="str">
        <f>IFERROR(VLOOKUP(TableHandbook[[#This Row],[UDC]],TableMCMMJRN[],7,FALSE),"")</f>
        <v/>
      </c>
      <c r="S54" s="118" t="str">
        <f>IFERROR(VLOOKUP(TableHandbook[[#This Row],[UDC]],TableGDMMJRN[],7,FALSE),"")</f>
        <v/>
      </c>
      <c r="T54" s="184" t="str">
        <f>IFERROR(VLOOKUP(TableHandbook[[#This Row],[UDC]],TableGCMMJRN[],7,FALSE),"")</f>
        <v/>
      </c>
      <c r="U54" s="183" t="str">
        <f>IFERROR(VLOOKUP(TableHandbook[[#This Row],[UDC]],TableMCHRIGLO[],7,FALSE),"")</f>
        <v/>
      </c>
      <c r="V54" s="118" t="str">
        <f>IFERROR(VLOOKUP(TableHandbook[[#This Row],[UDC]],TableMCHRIGHT[],7,FALSE),"")</f>
        <v/>
      </c>
      <c r="W54" s="118" t="str">
        <f>IFERROR(VLOOKUP(TableHandbook[[#This Row],[UDC]],TableGDHRIGHT[],7,FALSE),"")</f>
        <v/>
      </c>
      <c r="X54" s="184" t="str">
        <f>IFERROR(VLOOKUP(TableHandbook[[#This Row],[UDC]],TableGCHRIGHT[],7,FALSE),"")</f>
        <v/>
      </c>
      <c r="Y54" s="183" t="str">
        <f>IFERROR(VLOOKUP(TableHandbook[[#This Row],[UDC]],TableMCGLOBL2[],7,FALSE),"")</f>
        <v/>
      </c>
      <c r="Z54" s="118" t="str">
        <f>IFERROR(VLOOKUP(TableHandbook[[#This Row],[UDC]],TableMCGLOBL[],7,FALSE),"")</f>
        <v/>
      </c>
      <c r="AA54" s="297" t="str">
        <f>IFERROR(VLOOKUP(TableHandbook[[#This Row],[UDC]],TableSTRPGLOBL[],7,FALSE),"")</f>
        <v/>
      </c>
      <c r="AB54" s="297" t="str">
        <f>IFERROR(VLOOKUP(TableHandbook[[#This Row],[UDC]],TableSTRPHRIGT[],7,FALSE),"")</f>
        <v/>
      </c>
      <c r="AC54" s="297" t="str">
        <f>IFERROR(VLOOKUP(TableHandbook[[#This Row],[UDC]],TableSTRPINTRN[],7,FALSE),"")</f>
        <v/>
      </c>
      <c r="AD54" s="184" t="str">
        <f>IFERROR(VLOOKUP(TableHandbook[[#This Row],[UDC]],TableGCGLOBL[],7,FALSE),"")</f>
        <v/>
      </c>
      <c r="AE54" s="183" t="str">
        <f>IFERROR(VLOOKUP(TableHandbook[[#This Row],[UDC]],TableMCNETSCM[],7,FALSE),"")</f>
        <v/>
      </c>
      <c r="AF54" s="118" t="str">
        <f>IFERROR(VLOOKUP(TableHandbook[[#This Row],[UDC]],TableGDNETSCM[],7,FALSE),"")</f>
        <v/>
      </c>
      <c r="AG54" s="184" t="str">
        <f>IFERROR(VLOOKUP(TableHandbook[[#This Row],[UDC]],TableGCNETSCM[],7,FALSE),"")</f>
        <v/>
      </c>
      <c r="AH54" s="183" t="str">
        <f>IFERROR(VLOOKUP(TableHandbook[[#This Row],[UDC]],TableMCINTRNS[],7,FALSE),"")</f>
        <v/>
      </c>
      <c r="AI54" s="118" t="str">
        <f>IFERROR(VLOOKUP(TableHandbook[[#This Row],[UDC]],TableGDINTRNS[],7,FALSE),"")</f>
        <v/>
      </c>
      <c r="AJ54" s="184" t="str">
        <f>IFERROR(VLOOKUP(TableHandbook[[#This Row],[UDC]],TableGCINTRNS[],7,FALSE),"")</f>
        <v/>
      </c>
    </row>
    <row r="55" spans="1:36" x14ac:dyDescent="0.25">
      <c r="A55" s="6" t="s">
        <v>232</v>
      </c>
      <c r="B55" s="7">
        <v>2</v>
      </c>
      <c r="C55" s="6"/>
      <c r="D55" s="6" t="s">
        <v>405</v>
      </c>
      <c r="E55" s="7">
        <v>25</v>
      </c>
      <c r="F55" s="186" t="s">
        <v>368</v>
      </c>
      <c r="G55" s="75" t="str">
        <f>IFERROR(IF(VLOOKUP(TableHandbook[[#This Row],[UDC]],TableAvailabilities[],2,FALSE)&gt;0,"Y",""),"")</f>
        <v/>
      </c>
      <c r="H55" s="116" t="str">
        <f>IFERROR(IF(VLOOKUP(TableHandbook[[#This Row],[UDC]],TableAvailabilities[],3,FALSE)&gt;0,"Y",""),"")</f>
        <v/>
      </c>
      <c r="I55" s="117" t="str">
        <f>IFERROR(IF(VLOOKUP(TableHandbook[[#This Row],[UDC]],TableAvailabilities[],4,FALSE)&gt;0,"Y",""),"")</f>
        <v>Y</v>
      </c>
      <c r="J55" s="76" t="str">
        <f>IFERROR(IF(VLOOKUP(TableHandbook[[#This Row],[UDC]],TableAvailabilities[],5,FALSE)&gt;0,"Y",""),"")</f>
        <v>Y</v>
      </c>
      <c r="K55" s="289" t="s">
        <v>371</v>
      </c>
      <c r="L55" s="183" t="str">
        <f>IFERROR(VLOOKUP(TableHandbook[[#This Row],[UDC]],TableMCARTS[],7,FALSE),"")</f>
        <v/>
      </c>
      <c r="M55" s="118" t="str">
        <f>IFERROR(VLOOKUP(TableHandbook[[#This Row],[UDC]],TableMJRPCWRIT[],7,FALSE),"")</f>
        <v/>
      </c>
      <c r="N55" s="118" t="str">
        <f>IFERROR(VLOOKUP(TableHandbook[[#This Row],[UDC]],TableMJRPFINAR[],7,FALSE),"")</f>
        <v/>
      </c>
      <c r="O55" s="118" t="str">
        <f>IFERROR(VLOOKUP(TableHandbook[[#This Row],[UDC]],TableMJRPPWRIT[],7,FALSE),"")</f>
        <v/>
      </c>
      <c r="P55" s="184" t="str">
        <f>IFERROR(VLOOKUP(TableHandbook[[#This Row],[UDC]],TableMJRPSCRAR[],7,FALSE),"")</f>
        <v/>
      </c>
      <c r="Q55" s="183" t="str">
        <f>IFERROR(VLOOKUP(TableHandbook[[#This Row],[UDC]],TableMCMMJRG[],7,FALSE),"")</f>
        <v>Option</v>
      </c>
      <c r="R55" s="118" t="str">
        <f>IFERROR(VLOOKUP(TableHandbook[[#This Row],[UDC]],TableMCMMJRN[],7,FALSE),"")</f>
        <v/>
      </c>
      <c r="S55" s="118" t="str">
        <f>IFERROR(VLOOKUP(TableHandbook[[#This Row],[UDC]],TableGDMMJRN[],7,FALSE),"")</f>
        <v/>
      </c>
      <c r="T55" s="184" t="str">
        <f>IFERROR(VLOOKUP(TableHandbook[[#This Row],[UDC]],TableGCMMJRN[],7,FALSE),"")</f>
        <v/>
      </c>
      <c r="U55" s="183" t="str">
        <f>IFERROR(VLOOKUP(TableHandbook[[#This Row],[UDC]],TableMCHRIGLO[],7,FALSE),"")</f>
        <v>Core</v>
      </c>
      <c r="V55" s="118" t="str">
        <f>IFERROR(VLOOKUP(TableHandbook[[#This Row],[UDC]],TableMCHRIGHT[],7,FALSE),"")</f>
        <v>Core</v>
      </c>
      <c r="W55" s="118" t="str">
        <f>IFERROR(VLOOKUP(TableHandbook[[#This Row],[UDC]],TableGDHRIGHT[],7,FALSE),"")</f>
        <v>Core</v>
      </c>
      <c r="X55" s="184" t="str">
        <f>IFERROR(VLOOKUP(TableHandbook[[#This Row],[UDC]],TableGCHRIGHT[],7,FALSE),"")</f>
        <v>Option</v>
      </c>
      <c r="Y55" s="183" t="str">
        <f>IFERROR(VLOOKUP(TableHandbook[[#This Row],[UDC]],TableMCGLOBL2[],7,FALSE),"")</f>
        <v/>
      </c>
      <c r="Z55" s="118" t="str">
        <f>IFERROR(VLOOKUP(TableHandbook[[#This Row],[UDC]],TableMCGLOBL[],7,FALSE),"")</f>
        <v/>
      </c>
      <c r="AA55" s="297" t="str">
        <f>IFERROR(VLOOKUP(TableHandbook[[#This Row],[UDC]],TableSTRPGLOBL[],7,FALSE),"")</f>
        <v/>
      </c>
      <c r="AB55" s="297" t="str">
        <f>IFERROR(VLOOKUP(TableHandbook[[#This Row],[UDC]],TableSTRPHRIGT[],7,FALSE),"")</f>
        <v>Option</v>
      </c>
      <c r="AC55" s="297" t="str">
        <f>IFERROR(VLOOKUP(TableHandbook[[#This Row],[UDC]],TableSTRPINTRN[],7,FALSE),"")</f>
        <v/>
      </c>
      <c r="AD55" s="184" t="str">
        <f>IFERROR(VLOOKUP(TableHandbook[[#This Row],[UDC]],TableGCGLOBL[],7,FALSE),"")</f>
        <v/>
      </c>
      <c r="AE55" s="183" t="str">
        <f>IFERROR(VLOOKUP(TableHandbook[[#This Row],[UDC]],TableMCNETSCM[],7,FALSE),"")</f>
        <v/>
      </c>
      <c r="AF55" s="118" t="str">
        <f>IFERROR(VLOOKUP(TableHandbook[[#This Row],[UDC]],TableGDNETSCM[],7,FALSE),"")</f>
        <v/>
      </c>
      <c r="AG55" s="184" t="str">
        <f>IFERROR(VLOOKUP(TableHandbook[[#This Row],[UDC]],TableGCNETSCM[],7,FALSE),"")</f>
        <v/>
      </c>
      <c r="AH55" s="183" t="str">
        <f>IFERROR(VLOOKUP(TableHandbook[[#This Row],[UDC]],TableMCINTRNS[],7,FALSE),"")</f>
        <v/>
      </c>
      <c r="AI55" s="118" t="str">
        <f>IFERROR(VLOOKUP(TableHandbook[[#This Row],[UDC]],TableGDINTRNS[],7,FALSE),"")</f>
        <v/>
      </c>
      <c r="AJ55" s="184" t="str">
        <f>IFERROR(VLOOKUP(TableHandbook[[#This Row],[UDC]],TableGCINTRNS[],7,FALSE),"")</f>
        <v/>
      </c>
    </row>
    <row r="56" spans="1:36" x14ac:dyDescent="0.25">
      <c r="A56" s="6" t="s">
        <v>406</v>
      </c>
      <c r="B56" s="7">
        <v>1</v>
      </c>
      <c r="C56" s="6"/>
      <c r="D56" s="6" t="s">
        <v>407</v>
      </c>
      <c r="E56" s="7">
        <v>25</v>
      </c>
      <c r="F56" s="186" t="s">
        <v>368</v>
      </c>
      <c r="G56" s="75" t="str">
        <f>IFERROR(IF(VLOOKUP(TableHandbook[[#This Row],[UDC]],TableAvailabilities[],2,FALSE)&gt;0,"Y",""),"")</f>
        <v/>
      </c>
      <c r="H56" s="116" t="str">
        <f>IFERROR(IF(VLOOKUP(TableHandbook[[#This Row],[UDC]],TableAvailabilities[],3,FALSE)&gt;0,"Y",""),"")</f>
        <v/>
      </c>
      <c r="I56" s="117" t="str">
        <f>IFERROR(IF(VLOOKUP(TableHandbook[[#This Row],[UDC]],TableAvailabilities[],4,FALSE)&gt;0,"Y",""),"")</f>
        <v/>
      </c>
      <c r="J56" s="76" t="str">
        <f>IFERROR(IF(VLOOKUP(TableHandbook[[#This Row],[UDC]],TableAvailabilities[],5,FALSE)&gt;0,"Y",""),"")</f>
        <v/>
      </c>
      <c r="K56" s="289" t="s">
        <v>375</v>
      </c>
      <c r="L56" s="183" t="str">
        <f>IFERROR(VLOOKUP(TableHandbook[[#This Row],[UDC]],TableMCARTS[],7,FALSE),"")</f>
        <v/>
      </c>
      <c r="M56" s="118" t="str">
        <f>IFERROR(VLOOKUP(TableHandbook[[#This Row],[UDC]],TableMJRPCWRIT[],7,FALSE),"")</f>
        <v/>
      </c>
      <c r="N56" s="118" t="str">
        <f>IFERROR(VLOOKUP(TableHandbook[[#This Row],[UDC]],TableMJRPFINAR[],7,FALSE),"")</f>
        <v/>
      </c>
      <c r="O56" s="118" t="str">
        <f>IFERROR(VLOOKUP(TableHandbook[[#This Row],[UDC]],TableMJRPPWRIT[],7,FALSE),"")</f>
        <v/>
      </c>
      <c r="P56" s="184" t="str">
        <f>IFERROR(VLOOKUP(TableHandbook[[#This Row],[UDC]],TableMJRPSCRAR[],7,FALSE),"")</f>
        <v/>
      </c>
      <c r="Q56" s="183" t="str">
        <f>IFERROR(VLOOKUP(TableHandbook[[#This Row],[UDC]],TableMCMMJRG[],7,FALSE),"")</f>
        <v/>
      </c>
      <c r="R56" s="118" t="str">
        <f>IFERROR(VLOOKUP(TableHandbook[[#This Row],[UDC]],TableMCMMJRN[],7,FALSE),"")</f>
        <v/>
      </c>
      <c r="S56" s="118" t="str">
        <f>IFERROR(VLOOKUP(TableHandbook[[#This Row],[UDC]],TableGDMMJRN[],7,FALSE),"")</f>
        <v/>
      </c>
      <c r="T56" s="184" t="str">
        <f>IFERROR(VLOOKUP(TableHandbook[[#This Row],[UDC]],TableGCMMJRN[],7,FALSE),"")</f>
        <v/>
      </c>
      <c r="U56" s="183" t="str">
        <f>IFERROR(VLOOKUP(TableHandbook[[#This Row],[UDC]],TableMCHRIGLO[],7,FALSE),"")</f>
        <v/>
      </c>
      <c r="V56" s="118" t="str">
        <f>IFERROR(VLOOKUP(TableHandbook[[#This Row],[UDC]],TableMCHRIGHT[],7,FALSE),"")</f>
        <v/>
      </c>
      <c r="W56" s="118" t="str">
        <f>IFERROR(VLOOKUP(TableHandbook[[#This Row],[UDC]],TableGDHRIGHT[],7,FALSE),"")</f>
        <v/>
      </c>
      <c r="X56" s="184" t="str">
        <f>IFERROR(VLOOKUP(TableHandbook[[#This Row],[UDC]],TableGCHRIGHT[],7,FALSE),"")</f>
        <v/>
      </c>
      <c r="Y56" s="183" t="str">
        <f>IFERROR(VLOOKUP(TableHandbook[[#This Row],[UDC]],TableMCGLOBL2[],7,FALSE),"")</f>
        <v/>
      </c>
      <c r="Z56" s="118" t="str">
        <f>IFERROR(VLOOKUP(TableHandbook[[#This Row],[UDC]],TableMCGLOBL[],7,FALSE),"")</f>
        <v/>
      </c>
      <c r="AA56" s="297" t="str">
        <f>IFERROR(VLOOKUP(TableHandbook[[#This Row],[UDC]],TableSTRPGLOBL[],7,FALSE),"")</f>
        <v/>
      </c>
      <c r="AB56" s="297" t="str">
        <f>IFERROR(VLOOKUP(TableHandbook[[#This Row],[UDC]],TableSTRPHRIGT[],7,FALSE),"")</f>
        <v/>
      </c>
      <c r="AC56" s="297" t="str">
        <f>IFERROR(VLOOKUP(TableHandbook[[#This Row],[UDC]],TableSTRPINTRN[],7,FALSE),"")</f>
        <v/>
      </c>
      <c r="AD56" s="184" t="str">
        <f>IFERROR(VLOOKUP(TableHandbook[[#This Row],[UDC]],TableGCGLOBL[],7,FALSE),"")</f>
        <v/>
      </c>
      <c r="AE56" s="183" t="str">
        <f>IFERROR(VLOOKUP(TableHandbook[[#This Row],[UDC]],TableMCNETSCM[],7,FALSE),"")</f>
        <v/>
      </c>
      <c r="AF56" s="118" t="str">
        <f>IFERROR(VLOOKUP(TableHandbook[[#This Row],[UDC]],TableGDNETSCM[],7,FALSE),"")</f>
        <v/>
      </c>
      <c r="AG56" s="184" t="str">
        <f>IFERROR(VLOOKUP(TableHandbook[[#This Row],[UDC]],TableGCNETSCM[],7,FALSE),"")</f>
        <v/>
      </c>
      <c r="AH56" s="183" t="str">
        <f>IFERROR(VLOOKUP(TableHandbook[[#This Row],[UDC]],TableMCINTRNS[],7,FALSE),"")</f>
        <v/>
      </c>
      <c r="AI56" s="118" t="str">
        <f>IFERROR(VLOOKUP(TableHandbook[[#This Row],[UDC]],TableGDINTRNS[],7,FALSE),"")</f>
        <v/>
      </c>
      <c r="AJ56" s="184" t="str">
        <f>IFERROR(VLOOKUP(TableHandbook[[#This Row],[UDC]],TableGCINTRNS[],7,FALSE),"")</f>
        <v/>
      </c>
    </row>
    <row r="57" spans="1:36" x14ac:dyDescent="0.25">
      <c r="A57" s="6" t="s">
        <v>246</v>
      </c>
      <c r="B57" s="7">
        <v>3</v>
      </c>
      <c r="C57" s="6"/>
      <c r="D57" s="6" t="s">
        <v>408</v>
      </c>
      <c r="E57" s="7">
        <v>25</v>
      </c>
      <c r="F57" s="186" t="s">
        <v>368</v>
      </c>
      <c r="G57" s="75" t="str">
        <f>IFERROR(IF(VLOOKUP(TableHandbook[[#This Row],[UDC]],TableAvailabilities[],2,FALSE)&gt;0,"Y",""),"")</f>
        <v>Y</v>
      </c>
      <c r="H57" s="116" t="str">
        <f>IFERROR(IF(VLOOKUP(TableHandbook[[#This Row],[UDC]],TableAvailabilities[],3,FALSE)&gt;0,"Y",""),"")</f>
        <v>Y</v>
      </c>
      <c r="I57" s="117" t="str">
        <f>IFERROR(IF(VLOOKUP(TableHandbook[[#This Row],[UDC]],TableAvailabilities[],4,FALSE)&gt;0,"Y",""),"")</f>
        <v/>
      </c>
      <c r="J57" s="76" t="str">
        <f>IFERROR(IF(VLOOKUP(TableHandbook[[#This Row],[UDC]],TableAvailabilities[],5,FALSE)&gt;0,"Y",""),"")</f>
        <v/>
      </c>
      <c r="K57" s="289" t="s">
        <v>371</v>
      </c>
      <c r="L57" s="183" t="str">
        <f>IFERROR(VLOOKUP(TableHandbook[[#This Row],[UDC]],TableMCARTS[],7,FALSE),"")</f>
        <v/>
      </c>
      <c r="M57" s="118" t="str">
        <f>IFERROR(VLOOKUP(TableHandbook[[#This Row],[UDC]],TableMJRPCWRIT[],7,FALSE),"")</f>
        <v/>
      </c>
      <c r="N57" s="118" t="str">
        <f>IFERROR(VLOOKUP(TableHandbook[[#This Row],[UDC]],TableMJRPFINAR[],7,FALSE),"")</f>
        <v/>
      </c>
      <c r="O57" s="118" t="str">
        <f>IFERROR(VLOOKUP(TableHandbook[[#This Row],[UDC]],TableMJRPPWRIT[],7,FALSE),"")</f>
        <v/>
      </c>
      <c r="P57" s="184" t="str">
        <f>IFERROR(VLOOKUP(TableHandbook[[#This Row],[UDC]],TableMJRPSCRAR[],7,FALSE),"")</f>
        <v/>
      </c>
      <c r="Q57" s="183" t="str">
        <f>IFERROR(VLOOKUP(TableHandbook[[#This Row],[UDC]],TableMCMMJRG[],7,FALSE),"")</f>
        <v/>
      </c>
      <c r="R57" s="118" t="str">
        <f>IFERROR(VLOOKUP(TableHandbook[[#This Row],[UDC]],TableMCMMJRN[],7,FALSE),"")</f>
        <v/>
      </c>
      <c r="S57" s="118" t="str">
        <f>IFERROR(VLOOKUP(TableHandbook[[#This Row],[UDC]],TableGDMMJRN[],7,FALSE),"")</f>
        <v/>
      </c>
      <c r="T57" s="184" t="str">
        <f>IFERROR(VLOOKUP(TableHandbook[[#This Row],[UDC]],TableGCMMJRN[],7,FALSE),"")</f>
        <v/>
      </c>
      <c r="U57" s="183" t="str">
        <f>IFERROR(VLOOKUP(TableHandbook[[#This Row],[UDC]],TableMCHRIGLO[],7,FALSE),"")</f>
        <v/>
      </c>
      <c r="V57" s="118" t="str">
        <f>IFERROR(VLOOKUP(TableHandbook[[#This Row],[UDC]],TableMCHRIGHT[],7,FALSE),"")</f>
        <v/>
      </c>
      <c r="W57" s="118" t="str">
        <f>IFERROR(VLOOKUP(TableHandbook[[#This Row],[UDC]],TableGDHRIGHT[],7,FALSE),"")</f>
        <v/>
      </c>
      <c r="X57" s="184" t="str">
        <f>IFERROR(VLOOKUP(TableHandbook[[#This Row],[UDC]],TableGCHRIGHT[],7,FALSE),"")</f>
        <v>Option</v>
      </c>
      <c r="Y57" s="183" t="str">
        <f>IFERROR(VLOOKUP(TableHandbook[[#This Row],[UDC]],TableMCGLOBL2[],7,FALSE),"")</f>
        <v/>
      </c>
      <c r="Z57" s="118" t="str">
        <f>IFERROR(VLOOKUP(TableHandbook[[#This Row],[UDC]],TableMCGLOBL[],7,FALSE),"")</f>
        <v/>
      </c>
      <c r="AA57" s="297" t="str">
        <f>IFERROR(VLOOKUP(TableHandbook[[#This Row],[UDC]],TableSTRPGLOBL[],7,FALSE),"")</f>
        <v/>
      </c>
      <c r="AB57" s="297" t="str">
        <f>IFERROR(VLOOKUP(TableHandbook[[#This Row],[UDC]],TableSTRPHRIGT[],7,FALSE),"")</f>
        <v>Option</v>
      </c>
      <c r="AC57" s="297" t="str">
        <f>IFERROR(VLOOKUP(TableHandbook[[#This Row],[UDC]],TableSTRPINTRN[],7,FALSE),"")</f>
        <v/>
      </c>
      <c r="AD57" s="184" t="str">
        <f>IFERROR(VLOOKUP(TableHandbook[[#This Row],[UDC]],TableGCGLOBL[],7,FALSE),"")</f>
        <v/>
      </c>
      <c r="AE57" s="183" t="str">
        <f>IFERROR(VLOOKUP(TableHandbook[[#This Row],[UDC]],TableMCNETSCM[],7,FALSE),"")</f>
        <v/>
      </c>
      <c r="AF57" s="118" t="str">
        <f>IFERROR(VLOOKUP(TableHandbook[[#This Row],[UDC]],TableGDNETSCM[],7,FALSE),"")</f>
        <v/>
      </c>
      <c r="AG57" s="184" t="str">
        <f>IFERROR(VLOOKUP(TableHandbook[[#This Row],[UDC]],TableGCNETSCM[],7,FALSE),"")</f>
        <v/>
      </c>
      <c r="AH57" s="183" t="str">
        <f>IFERROR(VLOOKUP(TableHandbook[[#This Row],[UDC]],TableMCINTRNS[],7,FALSE),"")</f>
        <v/>
      </c>
      <c r="AI57" s="118" t="str">
        <f>IFERROR(VLOOKUP(TableHandbook[[#This Row],[UDC]],TableGDINTRNS[],7,FALSE),"")</f>
        <v/>
      </c>
      <c r="AJ57" s="184" t="str">
        <f>IFERROR(VLOOKUP(TableHandbook[[#This Row],[UDC]],TableGCINTRNS[],7,FALSE),"")</f>
        <v/>
      </c>
    </row>
    <row r="58" spans="1:36" x14ac:dyDescent="0.25">
      <c r="A58" s="6" t="s">
        <v>409</v>
      </c>
      <c r="B58" s="7">
        <v>2</v>
      </c>
      <c r="C58" s="6"/>
      <c r="D58" s="6" t="s">
        <v>410</v>
      </c>
      <c r="E58" s="7">
        <v>25</v>
      </c>
      <c r="F58" s="186" t="s">
        <v>368</v>
      </c>
      <c r="G58" s="75" t="str">
        <f>IFERROR(IF(VLOOKUP(TableHandbook[[#This Row],[UDC]],TableAvailabilities[],2,FALSE)&gt;0,"Y",""),"")</f>
        <v/>
      </c>
      <c r="H58" s="116" t="str">
        <f>IFERROR(IF(VLOOKUP(TableHandbook[[#This Row],[UDC]],TableAvailabilities[],3,FALSE)&gt;0,"Y",""),"")</f>
        <v/>
      </c>
      <c r="I58" s="117" t="str">
        <f>IFERROR(IF(VLOOKUP(TableHandbook[[#This Row],[UDC]],TableAvailabilities[],4,FALSE)&gt;0,"Y",""),"")</f>
        <v/>
      </c>
      <c r="J58" s="76" t="str">
        <f>IFERROR(IF(VLOOKUP(TableHandbook[[#This Row],[UDC]],TableAvailabilities[],5,FALSE)&gt;0,"Y",""),"")</f>
        <v/>
      </c>
      <c r="K58" s="289" t="s">
        <v>375</v>
      </c>
      <c r="L58" s="183" t="str">
        <f>IFERROR(VLOOKUP(TableHandbook[[#This Row],[UDC]],TableMCARTS[],7,FALSE),"")</f>
        <v/>
      </c>
      <c r="M58" s="118" t="str">
        <f>IFERROR(VLOOKUP(TableHandbook[[#This Row],[UDC]],TableMJRPCWRIT[],7,FALSE),"")</f>
        <v/>
      </c>
      <c r="N58" s="118" t="str">
        <f>IFERROR(VLOOKUP(TableHandbook[[#This Row],[UDC]],TableMJRPFINAR[],7,FALSE),"")</f>
        <v/>
      </c>
      <c r="O58" s="118" t="str">
        <f>IFERROR(VLOOKUP(TableHandbook[[#This Row],[UDC]],TableMJRPPWRIT[],7,FALSE),"")</f>
        <v/>
      </c>
      <c r="P58" s="184" t="str">
        <f>IFERROR(VLOOKUP(TableHandbook[[#This Row],[UDC]],TableMJRPSCRAR[],7,FALSE),"")</f>
        <v/>
      </c>
      <c r="Q58" s="183" t="str">
        <f>IFERROR(VLOOKUP(TableHandbook[[#This Row],[UDC]],TableMCMMJRG[],7,FALSE),"")</f>
        <v/>
      </c>
      <c r="R58" s="118" t="str">
        <f>IFERROR(VLOOKUP(TableHandbook[[#This Row],[UDC]],TableMCMMJRN[],7,FALSE),"")</f>
        <v/>
      </c>
      <c r="S58" s="118" t="str">
        <f>IFERROR(VLOOKUP(TableHandbook[[#This Row],[UDC]],TableGDMMJRN[],7,FALSE),"")</f>
        <v/>
      </c>
      <c r="T58" s="184" t="str">
        <f>IFERROR(VLOOKUP(TableHandbook[[#This Row],[UDC]],TableGCMMJRN[],7,FALSE),"")</f>
        <v/>
      </c>
      <c r="U58" s="183" t="str">
        <f>IFERROR(VLOOKUP(TableHandbook[[#This Row],[UDC]],TableMCHRIGLO[],7,FALSE),"")</f>
        <v/>
      </c>
      <c r="V58" s="118" t="str">
        <f>IFERROR(VLOOKUP(TableHandbook[[#This Row],[UDC]],TableMCHRIGHT[],7,FALSE),"")</f>
        <v/>
      </c>
      <c r="W58" s="118" t="str">
        <f>IFERROR(VLOOKUP(TableHandbook[[#This Row],[UDC]],TableGDHRIGHT[],7,FALSE),"")</f>
        <v/>
      </c>
      <c r="X58" s="184" t="str">
        <f>IFERROR(VLOOKUP(TableHandbook[[#This Row],[UDC]],TableGCHRIGHT[],7,FALSE),"")</f>
        <v/>
      </c>
      <c r="Y58" s="183" t="str">
        <f>IFERROR(VLOOKUP(TableHandbook[[#This Row],[UDC]],TableMCGLOBL2[],7,FALSE),"")</f>
        <v/>
      </c>
      <c r="Z58" s="118" t="str">
        <f>IFERROR(VLOOKUP(TableHandbook[[#This Row],[UDC]],TableMCGLOBL[],7,FALSE),"")</f>
        <v/>
      </c>
      <c r="AA58" s="297" t="str">
        <f>IFERROR(VLOOKUP(TableHandbook[[#This Row],[UDC]],TableSTRPGLOBL[],7,FALSE),"")</f>
        <v/>
      </c>
      <c r="AB58" s="297" t="str">
        <f>IFERROR(VLOOKUP(TableHandbook[[#This Row],[UDC]],TableSTRPHRIGT[],7,FALSE),"")</f>
        <v/>
      </c>
      <c r="AC58" s="297" t="str">
        <f>IFERROR(VLOOKUP(TableHandbook[[#This Row],[UDC]],TableSTRPINTRN[],7,FALSE),"")</f>
        <v/>
      </c>
      <c r="AD58" s="184" t="str">
        <f>IFERROR(VLOOKUP(TableHandbook[[#This Row],[UDC]],TableGCGLOBL[],7,FALSE),"")</f>
        <v/>
      </c>
      <c r="AE58" s="183" t="str">
        <f>IFERROR(VLOOKUP(TableHandbook[[#This Row],[UDC]],TableMCNETSCM[],7,FALSE),"")</f>
        <v/>
      </c>
      <c r="AF58" s="118" t="str">
        <f>IFERROR(VLOOKUP(TableHandbook[[#This Row],[UDC]],TableGDNETSCM[],7,FALSE),"")</f>
        <v/>
      </c>
      <c r="AG58" s="184" t="str">
        <f>IFERROR(VLOOKUP(TableHandbook[[#This Row],[UDC]],TableGCNETSCM[],7,FALSE),"")</f>
        <v/>
      </c>
      <c r="AH58" s="183" t="str">
        <f>IFERROR(VLOOKUP(TableHandbook[[#This Row],[UDC]],TableMCINTRNS[],7,FALSE),"")</f>
        <v/>
      </c>
      <c r="AI58" s="118" t="str">
        <f>IFERROR(VLOOKUP(TableHandbook[[#This Row],[UDC]],TableGDINTRNS[],7,FALSE),"")</f>
        <v/>
      </c>
      <c r="AJ58" s="184" t="str">
        <f>IFERROR(VLOOKUP(TableHandbook[[#This Row],[UDC]],TableGCINTRNS[],7,FALSE),"")</f>
        <v/>
      </c>
    </row>
    <row r="59" spans="1:36" x14ac:dyDescent="0.25">
      <c r="A59" s="6" t="s">
        <v>272</v>
      </c>
      <c r="B59" s="7">
        <v>4</v>
      </c>
      <c r="C59" s="6"/>
      <c r="D59" s="6" t="s">
        <v>411</v>
      </c>
      <c r="E59" s="7">
        <v>25</v>
      </c>
      <c r="F59" s="186" t="s">
        <v>368</v>
      </c>
      <c r="G59" s="75" t="str">
        <f>IFERROR(IF(VLOOKUP(TableHandbook[[#This Row],[UDC]],TableAvailabilities[],2,FALSE)&gt;0,"Y",""),"")</f>
        <v/>
      </c>
      <c r="H59" s="116" t="str">
        <f>IFERROR(IF(VLOOKUP(TableHandbook[[#This Row],[UDC]],TableAvailabilities[],3,FALSE)&gt;0,"Y",""),"")</f>
        <v/>
      </c>
      <c r="I59" s="117" t="str">
        <f>IFERROR(IF(VLOOKUP(TableHandbook[[#This Row],[UDC]],TableAvailabilities[],4,FALSE)&gt;0,"Y",""),"")</f>
        <v>Y</v>
      </c>
      <c r="J59" s="76" t="str">
        <f>IFERROR(IF(VLOOKUP(TableHandbook[[#This Row],[UDC]],TableAvailabilities[],5,FALSE)&gt;0,"Y",""),"")</f>
        <v>Y</v>
      </c>
      <c r="K59" s="289"/>
      <c r="L59" s="183" t="str">
        <f>IFERROR(VLOOKUP(TableHandbook[[#This Row],[UDC]],TableMCARTS[],7,FALSE),"")</f>
        <v/>
      </c>
      <c r="M59" s="118" t="str">
        <f>IFERROR(VLOOKUP(TableHandbook[[#This Row],[UDC]],TableMJRPCWRIT[],7,FALSE),"")</f>
        <v/>
      </c>
      <c r="N59" s="118" t="str">
        <f>IFERROR(VLOOKUP(TableHandbook[[#This Row],[UDC]],TableMJRPFINAR[],7,FALSE),"")</f>
        <v/>
      </c>
      <c r="O59" s="118" t="str">
        <f>IFERROR(VLOOKUP(TableHandbook[[#This Row],[UDC]],TableMJRPPWRIT[],7,FALSE),"")</f>
        <v/>
      </c>
      <c r="P59" s="184" t="str">
        <f>IFERROR(VLOOKUP(TableHandbook[[#This Row],[UDC]],TableMJRPSCRAR[],7,FALSE),"")</f>
        <v/>
      </c>
      <c r="Q59" s="183" t="str">
        <f>IFERROR(VLOOKUP(TableHandbook[[#This Row],[UDC]],TableMCMMJRG[],7,FALSE),"")</f>
        <v>Option</v>
      </c>
      <c r="R59" s="118" t="str">
        <f>IFERROR(VLOOKUP(TableHandbook[[#This Row],[UDC]],TableMCMMJRN[],7,FALSE),"")</f>
        <v/>
      </c>
      <c r="S59" s="118" t="str">
        <f>IFERROR(VLOOKUP(TableHandbook[[#This Row],[UDC]],TableGDMMJRN[],7,FALSE),"")</f>
        <v/>
      </c>
      <c r="T59" s="184" t="str">
        <f>IFERROR(VLOOKUP(TableHandbook[[#This Row],[UDC]],TableGCMMJRN[],7,FALSE),"")</f>
        <v/>
      </c>
      <c r="U59" s="183" t="str">
        <f>IFERROR(VLOOKUP(TableHandbook[[#This Row],[UDC]],TableMCHRIGLO[],7,FALSE),"")</f>
        <v/>
      </c>
      <c r="V59" s="118" t="str">
        <f>IFERROR(VLOOKUP(TableHandbook[[#This Row],[UDC]],TableMCHRIGHT[],7,FALSE),"")</f>
        <v/>
      </c>
      <c r="W59" s="118" t="str">
        <f>IFERROR(VLOOKUP(TableHandbook[[#This Row],[UDC]],TableGDHRIGHT[],7,FALSE),"")</f>
        <v/>
      </c>
      <c r="X59" s="184" t="str">
        <f>IFERROR(VLOOKUP(TableHandbook[[#This Row],[UDC]],TableGCHRIGHT[],7,FALSE),"")</f>
        <v/>
      </c>
      <c r="Y59" s="183" t="str">
        <f>IFERROR(VLOOKUP(TableHandbook[[#This Row],[UDC]],TableMCGLOBL2[],7,FALSE),"")</f>
        <v/>
      </c>
      <c r="Z59" s="118" t="str">
        <f>IFERROR(VLOOKUP(TableHandbook[[#This Row],[UDC]],TableMCGLOBL[],7,FALSE),"")</f>
        <v/>
      </c>
      <c r="AA59" s="297" t="str">
        <f>IFERROR(VLOOKUP(TableHandbook[[#This Row],[UDC]],TableSTRPGLOBL[],7,FALSE),"")</f>
        <v/>
      </c>
      <c r="AB59" s="297" t="str">
        <f>IFERROR(VLOOKUP(TableHandbook[[#This Row],[UDC]],TableSTRPHRIGT[],7,FALSE),"")</f>
        <v/>
      </c>
      <c r="AC59" s="297" t="str">
        <f>IFERROR(VLOOKUP(TableHandbook[[#This Row],[UDC]],TableSTRPINTRN[],7,FALSE),"")</f>
        <v/>
      </c>
      <c r="AD59" s="184" t="str">
        <f>IFERROR(VLOOKUP(TableHandbook[[#This Row],[UDC]],TableGCGLOBL[],7,FALSE),"")</f>
        <v/>
      </c>
      <c r="AE59" s="183" t="str">
        <f>IFERROR(VLOOKUP(TableHandbook[[#This Row],[UDC]],TableMCNETSCM[],7,FALSE),"")</f>
        <v/>
      </c>
      <c r="AF59" s="118" t="str">
        <f>IFERROR(VLOOKUP(TableHandbook[[#This Row],[UDC]],TableGDNETSCM[],7,FALSE),"")</f>
        <v/>
      </c>
      <c r="AG59" s="184" t="str">
        <f>IFERROR(VLOOKUP(TableHandbook[[#This Row],[UDC]],TableGCNETSCM[],7,FALSE),"")</f>
        <v/>
      </c>
      <c r="AH59" s="183" t="str">
        <f>IFERROR(VLOOKUP(TableHandbook[[#This Row],[UDC]],TableMCINTRNS[],7,FALSE),"")</f>
        <v/>
      </c>
      <c r="AI59" s="118" t="str">
        <f>IFERROR(VLOOKUP(TableHandbook[[#This Row],[UDC]],TableGDINTRNS[],7,FALSE),"")</f>
        <v/>
      </c>
      <c r="AJ59" s="184" t="str">
        <f>IFERROR(VLOOKUP(TableHandbook[[#This Row],[UDC]],TableGCINTRNS[],7,FALSE),"")</f>
        <v/>
      </c>
    </row>
    <row r="60" spans="1:36" x14ac:dyDescent="0.25">
      <c r="A60" s="6" t="s">
        <v>228</v>
      </c>
      <c r="B60" s="7">
        <v>2</v>
      </c>
      <c r="C60" s="6"/>
      <c r="D60" s="6" t="s">
        <v>412</v>
      </c>
      <c r="E60" s="7">
        <v>25</v>
      </c>
      <c r="F60" s="186" t="s">
        <v>368</v>
      </c>
      <c r="G60" s="75" t="str">
        <f>IFERROR(IF(VLOOKUP(TableHandbook[[#This Row],[UDC]],TableAvailabilities[],2,FALSE)&gt;0,"Y",""),"")</f>
        <v>Y</v>
      </c>
      <c r="H60" s="116" t="str">
        <f>IFERROR(IF(VLOOKUP(TableHandbook[[#This Row],[UDC]],TableAvailabilities[],3,FALSE)&gt;0,"Y",""),"")</f>
        <v>Y</v>
      </c>
      <c r="I60" s="117" t="str">
        <f>IFERROR(IF(VLOOKUP(TableHandbook[[#This Row],[UDC]],TableAvailabilities[],4,FALSE)&gt;0,"Y",""),"")</f>
        <v/>
      </c>
      <c r="J60" s="76" t="str">
        <f>IFERROR(IF(VLOOKUP(TableHandbook[[#This Row],[UDC]],TableAvailabilities[],5,FALSE)&gt;0,"Y",""),"")</f>
        <v/>
      </c>
      <c r="K60" s="289" t="s">
        <v>371</v>
      </c>
      <c r="L60" s="183" t="str">
        <f>IFERROR(VLOOKUP(TableHandbook[[#This Row],[UDC]],TableMCARTS[],7,FALSE),"")</f>
        <v/>
      </c>
      <c r="M60" s="118" t="str">
        <f>IFERROR(VLOOKUP(TableHandbook[[#This Row],[UDC]],TableMJRPCWRIT[],7,FALSE),"")</f>
        <v/>
      </c>
      <c r="N60" s="118" t="str">
        <f>IFERROR(VLOOKUP(TableHandbook[[#This Row],[UDC]],TableMJRPFINAR[],7,FALSE),"")</f>
        <v/>
      </c>
      <c r="O60" s="118" t="str">
        <f>IFERROR(VLOOKUP(TableHandbook[[#This Row],[UDC]],TableMJRPPWRIT[],7,FALSE),"")</f>
        <v/>
      </c>
      <c r="P60" s="184" t="str">
        <f>IFERROR(VLOOKUP(TableHandbook[[#This Row],[UDC]],TableMJRPSCRAR[],7,FALSE),"")</f>
        <v/>
      </c>
      <c r="Q60" s="183" t="str">
        <f>IFERROR(VLOOKUP(TableHandbook[[#This Row],[UDC]],TableMCMMJRG[],7,FALSE),"")</f>
        <v/>
      </c>
      <c r="R60" s="118" t="str">
        <f>IFERROR(VLOOKUP(TableHandbook[[#This Row],[UDC]],TableMCMMJRN[],7,FALSE),"")</f>
        <v/>
      </c>
      <c r="S60" s="118" t="str">
        <f>IFERROR(VLOOKUP(TableHandbook[[#This Row],[UDC]],TableGDMMJRN[],7,FALSE),"")</f>
        <v/>
      </c>
      <c r="T60" s="184" t="str">
        <f>IFERROR(VLOOKUP(TableHandbook[[#This Row],[UDC]],TableGCMMJRN[],7,FALSE),"")</f>
        <v/>
      </c>
      <c r="U60" s="183" t="str">
        <f>IFERROR(VLOOKUP(TableHandbook[[#This Row],[UDC]],TableMCHRIGLO[],7,FALSE),"")</f>
        <v>Core</v>
      </c>
      <c r="V60" s="118" t="str">
        <f>IFERROR(VLOOKUP(TableHandbook[[#This Row],[UDC]],TableMCHRIGHT[],7,FALSE),"")</f>
        <v>Core</v>
      </c>
      <c r="W60" s="118" t="str">
        <f>IFERROR(VLOOKUP(TableHandbook[[#This Row],[UDC]],TableGDHRIGHT[],7,FALSE),"")</f>
        <v>Core</v>
      </c>
      <c r="X60" s="184" t="str">
        <f>IFERROR(VLOOKUP(TableHandbook[[#This Row],[UDC]],TableGCHRIGHT[],7,FALSE),"")</f>
        <v/>
      </c>
      <c r="Y60" s="183" t="str">
        <f>IFERROR(VLOOKUP(TableHandbook[[#This Row],[UDC]],TableMCGLOBL2[],7,FALSE),"")</f>
        <v/>
      </c>
      <c r="Z60" s="118" t="str">
        <f>IFERROR(VLOOKUP(TableHandbook[[#This Row],[UDC]],TableMCGLOBL[],7,FALSE),"")</f>
        <v/>
      </c>
      <c r="AA60" s="297" t="str">
        <f>IFERROR(VLOOKUP(TableHandbook[[#This Row],[UDC]],TableSTRPGLOBL[],7,FALSE),"")</f>
        <v/>
      </c>
      <c r="AB60" s="297" t="str">
        <f>IFERROR(VLOOKUP(TableHandbook[[#This Row],[UDC]],TableSTRPHRIGT[],7,FALSE),"")</f>
        <v/>
      </c>
      <c r="AC60" s="297" t="str">
        <f>IFERROR(VLOOKUP(TableHandbook[[#This Row],[UDC]],TableSTRPINTRN[],7,FALSE),"")</f>
        <v/>
      </c>
      <c r="AD60" s="184" t="str">
        <f>IFERROR(VLOOKUP(TableHandbook[[#This Row],[UDC]],TableGCGLOBL[],7,FALSE),"")</f>
        <v/>
      </c>
      <c r="AE60" s="183" t="str">
        <f>IFERROR(VLOOKUP(TableHandbook[[#This Row],[UDC]],TableMCNETSCM[],7,FALSE),"")</f>
        <v/>
      </c>
      <c r="AF60" s="118" t="str">
        <f>IFERROR(VLOOKUP(TableHandbook[[#This Row],[UDC]],TableGDNETSCM[],7,FALSE),"")</f>
        <v/>
      </c>
      <c r="AG60" s="184" t="str">
        <f>IFERROR(VLOOKUP(TableHandbook[[#This Row],[UDC]],TableGCNETSCM[],7,FALSE),"")</f>
        <v/>
      </c>
      <c r="AH60" s="183" t="str">
        <f>IFERROR(VLOOKUP(TableHandbook[[#This Row],[UDC]],TableMCINTRNS[],7,FALSE),"")</f>
        <v/>
      </c>
      <c r="AI60" s="118" t="str">
        <f>IFERROR(VLOOKUP(TableHandbook[[#This Row],[UDC]],TableGDINTRNS[],7,FALSE),"")</f>
        <v/>
      </c>
      <c r="AJ60" s="184" t="str">
        <f>IFERROR(VLOOKUP(TableHandbook[[#This Row],[UDC]],TableGCINTRNS[],7,FALSE),"")</f>
        <v/>
      </c>
    </row>
    <row r="61" spans="1:36" x14ac:dyDescent="0.25">
      <c r="A61" s="6" t="s">
        <v>413</v>
      </c>
      <c r="B61" s="7">
        <v>1</v>
      </c>
      <c r="C61" s="6"/>
      <c r="D61" s="6" t="s">
        <v>414</v>
      </c>
      <c r="E61" s="7">
        <v>25</v>
      </c>
      <c r="F61" s="186" t="s">
        <v>368</v>
      </c>
      <c r="G61" s="75" t="str">
        <f>IFERROR(IF(VLOOKUP(TableHandbook[[#This Row],[UDC]],TableAvailabilities[],2,FALSE)&gt;0,"Y",""),"")</f>
        <v/>
      </c>
      <c r="H61" s="116" t="str">
        <f>IFERROR(IF(VLOOKUP(TableHandbook[[#This Row],[UDC]],TableAvailabilities[],3,FALSE)&gt;0,"Y",""),"")</f>
        <v/>
      </c>
      <c r="I61" s="117" t="str">
        <f>IFERROR(IF(VLOOKUP(TableHandbook[[#This Row],[UDC]],TableAvailabilities[],4,FALSE)&gt;0,"Y",""),"")</f>
        <v/>
      </c>
      <c r="J61" s="76" t="str">
        <f>IFERROR(IF(VLOOKUP(TableHandbook[[#This Row],[UDC]],TableAvailabilities[],5,FALSE)&gt;0,"Y",""),"")</f>
        <v/>
      </c>
      <c r="K61" s="289" t="s">
        <v>375</v>
      </c>
      <c r="L61" s="183" t="str">
        <f>IFERROR(VLOOKUP(TableHandbook[[#This Row],[UDC]],TableMCARTS[],7,FALSE),"")</f>
        <v/>
      </c>
      <c r="M61" s="118" t="str">
        <f>IFERROR(VLOOKUP(TableHandbook[[#This Row],[UDC]],TableMJRPCWRIT[],7,FALSE),"")</f>
        <v/>
      </c>
      <c r="N61" s="118" t="str">
        <f>IFERROR(VLOOKUP(TableHandbook[[#This Row],[UDC]],TableMJRPFINAR[],7,FALSE),"")</f>
        <v/>
      </c>
      <c r="O61" s="118" t="str">
        <f>IFERROR(VLOOKUP(TableHandbook[[#This Row],[UDC]],TableMJRPPWRIT[],7,FALSE),"")</f>
        <v/>
      </c>
      <c r="P61" s="184" t="str">
        <f>IFERROR(VLOOKUP(TableHandbook[[#This Row],[UDC]],TableMJRPSCRAR[],7,FALSE),"")</f>
        <v/>
      </c>
      <c r="Q61" s="183" t="str">
        <f>IFERROR(VLOOKUP(TableHandbook[[#This Row],[UDC]],TableMCMMJRG[],7,FALSE),"")</f>
        <v/>
      </c>
      <c r="R61" s="118" t="str">
        <f>IFERROR(VLOOKUP(TableHandbook[[#This Row],[UDC]],TableMCMMJRN[],7,FALSE),"")</f>
        <v/>
      </c>
      <c r="S61" s="118" t="str">
        <f>IFERROR(VLOOKUP(TableHandbook[[#This Row],[UDC]],TableGDMMJRN[],7,FALSE),"")</f>
        <v/>
      </c>
      <c r="T61" s="184" t="str">
        <f>IFERROR(VLOOKUP(TableHandbook[[#This Row],[UDC]],TableGCMMJRN[],7,FALSE),"")</f>
        <v/>
      </c>
      <c r="U61" s="183" t="str">
        <f>IFERROR(VLOOKUP(TableHandbook[[#This Row],[UDC]],TableMCHRIGLO[],7,FALSE),"")</f>
        <v/>
      </c>
      <c r="V61" s="118" t="str">
        <f>IFERROR(VLOOKUP(TableHandbook[[#This Row],[UDC]],TableMCHRIGHT[],7,FALSE),"")</f>
        <v/>
      </c>
      <c r="W61" s="118" t="str">
        <f>IFERROR(VLOOKUP(TableHandbook[[#This Row],[UDC]],TableGDHRIGHT[],7,FALSE),"")</f>
        <v/>
      </c>
      <c r="X61" s="184" t="str">
        <f>IFERROR(VLOOKUP(TableHandbook[[#This Row],[UDC]],TableGCHRIGHT[],7,FALSE),"")</f>
        <v/>
      </c>
      <c r="Y61" s="183" t="str">
        <f>IFERROR(VLOOKUP(TableHandbook[[#This Row],[UDC]],TableMCGLOBL2[],7,FALSE),"")</f>
        <v/>
      </c>
      <c r="Z61" s="118" t="str">
        <f>IFERROR(VLOOKUP(TableHandbook[[#This Row],[UDC]],TableMCGLOBL[],7,FALSE),"")</f>
        <v/>
      </c>
      <c r="AA61" s="297" t="str">
        <f>IFERROR(VLOOKUP(TableHandbook[[#This Row],[UDC]],TableSTRPGLOBL[],7,FALSE),"")</f>
        <v/>
      </c>
      <c r="AB61" s="297" t="str">
        <f>IFERROR(VLOOKUP(TableHandbook[[#This Row],[UDC]],TableSTRPHRIGT[],7,FALSE),"")</f>
        <v/>
      </c>
      <c r="AC61" s="297" t="str">
        <f>IFERROR(VLOOKUP(TableHandbook[[#This Row],[UDC]],TableSTRPINTRN[],7,FALSE),"")</f>
        <v/>
      </c>
      <c r="AD61" s="184" t="str">
        <f>IFERROR(VLOOKUP(TableHandbook[[#This Row],[UDC]],TableGCGLOBL[],7,FALSE),"")</f>
        <v/>
      </c>
      <c r="AE61" s="183" t="str">
        <f>IFERROR(VLOOKUP(TableHandbook[[#This Row],[UDC]],TableMCNETSCM[],7,FALSE),"")</f>
        <v/>
      </c>
      <c r="AF61" s="118" t="str">
        <f>IFERROR(VLOOKUP(TableHandbook[[#This Row],[UDC]],TableGDNETSCM[],7,FALSE),"")</f>
        <v/>
      </c>
      <c r="AG61" s="184" t="str">
        <f>IFERROR(VLOOKUP(TableHandbook[[#This Row],[UDC]],TableGCNETSCM[],7,FALSE),"")</f>
        <v/>
      </c>
      <c r="AH61" s="183" t="str">
        <f>IFERROR(VLOOKUP(TableHandbook[[#This Row],[UDC]],TableMCINTRNS[],7,FALSE),"")</f>
        <v/>
      </c>
      <c r="AI61" s="118" t="str">
        <f>IFERROR(VLOOKUP(TableHandbook[[#This Row],[UDC]],TableGDINTRNS[],7,FALSE),"")</f>
        <v/>
      </c>
      <c r="AJ61" s="184" t="str">
        <f>IFERROR(VLOOKUP(TableHandbook[[#This Row],[UDC]],TableGCINTRNS[],7,FALSE),"")</f>
        <v/>
      </c>
    </row>
    <row r="62" spans="1:36" x14ac:dyDescent="0.25">
      <c r="A62" s="6" t="s">
        <v>229</v>
      </c>
      <c r="B62" s="7">
        <v>2</v>
      </c>
      <c r="C62" s="6"/>
      <c r="D62" s="6" t="s">
        <v>415</v>
      </c>
      <c r="E62" s="7">
        <v>25</v>
      </c>
      <c r="F62" s="186" t="s">
        <v>368</v>
      </c>
      <c r="G62" s="75" t="str">
        <f>IFERROR(IF(VLOOKUP(TableHandbook[[#This Row],[UDC]],TableAvailabilities[],2,FALSE)&gt;0,"Y",""),"")</f>
        <v/>
      </c>
      <c r="H62" s="116" t="str">
        <f>IFERROR(IF(VLOOKUP(TableHandbook[[#This Row],[UDC]],TableAvailabilities[],3,FALSE)&gt;0,"Y",""),"")</f>
        <v/>
      </c>
      <c r="I62" s="117" t="str">
        <f>IFERROR(IF(VLOOKUP(TableHandbook[[#This Row],[UDC]],TableAvailabilities[],4,FALSE)&gt;0,"Y",""),"")</f>
        <v>Y</v>
      </c>
      <c r="J62" s="76" t="str">
        <f>IFERROR(IF(VLOOKUP(TableHandbook[[#This Row],[UDC]],TableAvailabilities[],5,FALSE)&gt;0,"Y",""),"")</f>
        <v>Y</v>
      </c>
      <c r="K62" s="289" t="s">
        <v>371</v>
      </c>
      <c r="L62" s="183" t="str">
        <f>IFERROR(VLOOKUP(TableHandbook[[#This Row],[UDC]],TableMCARTS[],7,FALSE),"")</f>
        <v/>
      </c>
      <c r="M62" s="118" t="str">
        <f>IFERROR(VLOOKUP(TableHandbook[[#This Row],[UDC]],TableMJRPCWRIT[],7,FALSE),"")</f>
        <v/>
      </c>
      <c r="N62" s="118" t="str">
        <f>IFERROR(VLOOKUP(TableHandbook[[#This Row],[UDC]],TableMJRPFINAR[],7,FALSE),"")</f>
        <v/>
      </c>
      <c r="O62" s="118" t="str">
        <f>IFERROR(VLOOKUP(TableHandbook[[#This Row],[UDC]],TableMJRPPWRIT[],7,FALSE),"")</f>
        <v/>
      </c>
      <c r="P62" s="184" t="str">
        <f>IFERROR(VLOOKUP(TableHandbook[[#This Row],[UDC]],TableMJRPSCRAR[],7,FALSE),"")</f>
        <v/>
      </c>
      <c r="Q62" s="183" t="str">
        <f>IFERROR(VLOOKUP(TableHandbook[[#This Row],[UDC]],TableMCMMJRG[],7,FALSE),"")</f>
        <v>Option</v>
      </c>
      <c r="R62" s="118" t="str">
        <f>IFERROR(VLOOKUP(TableHandbook[[#This Row],[UDC]],TableMCMMJRN[],7,FALSE),"")</f>
        <v/>
      </c>
      <c r="S62" s="118" t="str">
        <f>IFERROR(VLOOKUP(TableHandbook[[#This Row],[UDC]],TableGDMMJRN[],7,FALSE),"")</f>
        <v/>
      </c>
      <c r="T62" s="184" t="str">
        <f>IFERROR(VLOOKUP(TableHandbook[[#This Row],[UDC]],TableGCMMJRN[],7,FALSE),"")</f>
        <v/>
      </c>
      <c r="U62" s="183" t="str">
        <f>IFERROR(VLOOKUP(TableHandbook[[#This Row],[UDC]],TableMCHRIGLO[],7,FALSE),"")</f>
        <v>Core</v>
      </c>
      <c r="V62" s="118" t="str">
        <f>IFERROR(VLOOKUP(TableHandbook[[#This Row],[UDC]],TableMCHRIGHT[],7,FALSE),"")</f>
        <v>Core</v>
      </c>
      <c r="W62" s="118" t="str">
        <f>IFERROR(VLOOKUP(TableHandbook[[#This Row],[UDC]],TableGDHRIGHT[],7,FALSE),"")</f>
        <v>Core</v>
      </c>
      <c r="X62" s="184" t="str">
        <f>IFERROR(VLOOKUP(TableHandbook[[#This Row],[UDC]],TableGCHRIGHT[],7,FALSE),"")</f>
        <v>Option</v>
      </c>
      <c r="Y62" s="183" t="str">
        <f>IFERROR(VLOOKUP(TableHandbook[[#This Row],[UDC]],TableMCGLOBL2[],7,FALSE),"")</f>
        <v/>
      </c>
      <c r="Z62" s="118" t="str">
        <f>IFERROR(VLOOKUP(TableHandbook[[#This Row],[UDC]],TableMCGLOBL[],7,FALSE),"")</f>
        <v/>
      </c>
      <c r="AA62" s="297" t="str">
        <f>IFERROR(VLOOKUP(TableHandbook[[#This Row],[UDC]],TableSTRPGLOBL[],7,FALSE),"")</f>
        <v/>
      </c>
      <c r="AB62" s="297" t="str">
        <f>IFERROR(VLOOKUP(TableHandbook[[#This Row],[UDC]],TableSTRPHRIGT[],7,FALSE),"")</f>
        <v>Option</v>
      </c>
      <c r="AC62" s="297" t="str">
        <f>IFERROR(VLOOKUP(TableHandbook[[#This Row],[UDC]],TableSTRPINTRN[],7,FALSE),"")</f>
        <v/>
      </c>
      <c r="AD62" s="184" t="str">
        <f>IFERROR(VLOOKUP(TableHandbook[[#This Row],[UDC]],TableGCGLOBL[],7,FALSE),"")</f>
        <v/>
      </c>
      <c r="AE62" s="183" t="str">
        <f>IFERROR(VLOOKUP(TableHandbook[[#This Row],[UDC]],TableMCNETSCM[],7,FALSE),"")</f>
        <v/>
      </c>
      <c r="AF62" s="118" t="str">
        <f>IFERROR(VLOOKUP(TableHandbook[[#This Row],[UDC]],TableGDNETSCM[],7,FALSE),"")</f>
        <v/>
      </c>
      <c r="AG62" s="184" t="str">
        <f>IFERROR(VLOOKUP(TableHandbook[[#This Row],[UDC]],TableGCNETSCM[],7,FALSE),"")</f>
        <v/>
      </c>
      <c r="AH62" s="183" t="str">
        <f>IFERROR(VLOOKUP(TableHandbook[[#This Row],[UDC]],TableMCINTRNS[],7,FALSE),"")</f>
        <v/>
      </c>
      <c r="AI62" s="118" t="str">
        <f>IFERROR(VLOOKUP(TableHandbook[[#This Row],[UDC]],TableGDINTRNS[],7,FALSE),"")</f>
        <v/>
      </c>
      <c r="AJ62" s="184" t="str">
        <f>IFERROR(VLOOKUP(TableHandbook[[#This Row],[UDC]],TableGCINTRNS[],7,FALSE),"")</f>
        <v/>
      </c>
    </row>
    <row r="63" spans="1:36" x14ac:dyDescent="0.25">
      <c r="A63" s="6" t="s">
        <v>416</v>
      </c>
      <c r="B63" s="7">
        <v>1</v>
      </c>
      <c r="C63" s="6"/>
      <c r="D63" s="6" t="s">
        <v>417</v>
      </c>
      <c r="E63" s="7">
        <v>25</v>
      </c>
      <c r="F63" s="186" t="s">
        <v>368</v>
      </c>
      <c r="G63" s="75" t="str">
        <f>IFERROR(IF(VLOOKUP(TableHandbook[[#This Row],[UDC]],TableAvailabilities[],2,FALSE)&gt;0,"Y",""),"")</f>
        <v/>
      </c>
      <c r="H63" s="116" t="str">
        <f>IFERROR(IF(VLOOKUP(TableHandbook[[#This Row],[UDC]],TableAvailabilities[],3,FALSE)&gt;0,"Y",""),"")</f>
        <v/>
      </c>
      <c r="I63" s="117" t="str">
        <f>IFERROR(IF(VLOOKUP(TableHandbook[[#This Row],[UDC]],TableAvailabilities[],4,FALSE)&gt;0,"Y",""),"")</f>
        <v/>
      </c>
      <c r="J63" s="76" t="str">
        <f>IFERROR(IF(VLOOKUP(TableHandbook[[#This Row],[UDC]],TableAvailabilities[],5,FALSE)&gt;0,"Y",""),"")</f>
        <v/>
      </c>
      <c r="K63" s="289" t="s">
        <v>375</v>
      </c>
      <c r="L63" s="183" t="str">
        <f>IFERROR(VLOOKUP(TableHandbook[[#This Row],[UDC]],TableMCARTS[],7,FALSE),"")</f>
        <v/>
      </c>
      <c r="M63" s="118" t="str">
        <f>IFERROR(VLOOKUP(TableHandbook[[#This Row],[UDC]],TableMJRPCWRIT[],7,FALSE),"")</f>
        <v/>
      </c>
      <c r="N63" s="118" t="str">
        <f>IFERROR(VLOOKUP(TableHandbook[[#This Row],[UDC]],TableMJRPFINAR[],7,FALSE),"")</f>
        <v/>
      </c>
      <c r="O63" s="118" t="str">
        <f>IFERROR(VLOOKUP(TableHandbook[[#This Row],[UDC]],TableMJRPPWRIT[],7,FALSE),"")</f>
        <v/>
      </c>
      <c r="P63" s="184" t="str">
        <f>IFERROR(VLOOKUP(TableHandbook[[#This Row],[UDC]],TableMJRPSCRAR[],7,FALSE),"")</f>
        <v/>
      </c>
      <c r="Q63" s="183" t="str">
        <f>IFERROR(VLOOKUP(TableHandbook[[#This Row],[UDC]],TableMCMMJRG[],7,FALSE),"")</f>
        <v/>
      </c>
      <c r="R63" s="118" t="str">
        <f>IFERROR(VLOOKUP(TableHandbook[[#This Row],[UDC]],TableMCMMJRN[],7,FALSE),"")</f>
        <v/>
      </c>
      <c r="S63" s="118" t="str">
        <f>IFERROR(VLOOKUP(TableHandbook[[#This Row],[UDC]],TableGDMMJRN[],7,FALSE),"")</f>
        <v/>
      </c>
      <c r="T63" s="184" t="str">
        <f>IFERROR(VLOOKUP(TableHandbook[[#This Row],[UDC]],TableGCMMJRN[],7,FALSE),"")</f>
        <v/>
      </c>
      <c r="U63" s="183" t="str">
        <f>IFERROR(VLOOKUP(TableHandbook[[#This Row],[UDC]],TableMCHRIGLO[],7,FALSE),"")</f>
        <v/>
      </c>
      <c r="V63" s="118" t="str">
        <f>IFERROR(VLOOKUP(TableHandbook[[#This Row],[UDC]],TableMCHRIGHT[],7,FALSE),"")</f>
        <v/>
      </c>
      <c r="W63" s="118" t="str">
        <f>IFERROR(VLOOKUP(TableHandbook[[#This Row],[UDC]],TableGDHRIGHT[],7,FALSE),"")</f>
        <v/>
      </c>
      <c r="X63" s="184" t="str">
        <f>IFERROR(VLOOKUP(TableHandbook[[#This Row],[UDC]],TableGCHRIGHT[],7,FALSE),"")</f>
        <v/>
      </c>
      <c r="Y63" s="183" t="str">
        <f>IFERROR(VLOOKUP(TableHandbook[[#This Row],[UDC]],TableMCGLOBL2[],7,FALSE),"")</f>
        <v/>
      </c>
      <c r="Z63" s="118" t="str">
        <f>IFERROR(VLOOKUP(TableHandbook[[#This Row],[UDC]],TableMCGLOBL[],7,FALSE),"")</f>
        <v/>
      </c>
      <c r="AA63" s="297" t="str">
        <f>IFERROR(VLOOKUP(TableHandbook[[#This Row],[UDC]],TableSTRPGLOBL[],7,FALSE),"")</f>
        <v/>
      </c>
      <c r="AB63" s="297" t="str">
        <f>IFERROR(VLOOKUP(TableHandbook[[#This Row],[UDC]],TableSTRPHRIGT[],7,FALSE),"")</f>
        <v/>
      </c>
      <c r="AC63" s="297" t="str">
        <f>IFERROR(VLOOKUP(TableHandbook[[#This Row],[UDC]],TableSTRPINTRN[],7,FALSE),"")</f>
        <v/>
      </c>
      <c r="AD63" s="184" t="str">
        <f>IFERROR(VLOOKUP(TableHandbook[[#This Row],[UDC]],TableGCGLOBL[],7,FALSE),"")</f>
        <v/>
      </c>
      <c r="AE63" s="183" t="str">
        <f>IFERROR(VLOOKUP(TableHandbook[[#This Row],[UDC]],TableMCNETSCM[],7,FALSE),"")</f>
        <v/>
      </c>
      <c r="AF63" s="118" t="str">
        <f>IFERROR(VLOOKUP(TableHandbook[[#This Row],[UDC]],TableGDNETSCM[],7,FALSE),"")</f>
        <v/>
      </c>
      <c r="AG63" s="184" t="str">
        <f>IFERROR(VLOOKUP(TableHandbook[[#This Row],[UDC]],TableGCNETSCM[],7,FALSE),"")</f>
        <v/>
      </c>
      <c r="AH63" s="183" t="str">
        <f>IFERROR(VLOOKUP(TableHandbook[[#This Row],[UDC]],TableMCINTRNS[],7,FALSE),"")</f>
        <v/>
      </c>
      <c r="AI63" s="118" t="str">
        <f>IFERROR(VLOOKUP(TableHandbook[[#This Row],[UDC]],TableGDINTRNS[],7,FALSE),"")</f>
        <v/>
      </c>
      <c r="AJ63" s="184" t="str">
        <f>IFERROR(VLOOKUP(TableHandbook[[#This Row],[UDC]],TableGCINTRNS[],7,FALSE),"")</f>
        <v/>
      </c>
    </row>
    <row r="64" spans="1:36" x14ac:dyDescent="0.25">
      <c r="A64" s="6" t="s">
        <v>418</v>
      </c>
      <c r="B64" s="7">
        <v>1</v>
      </c>
      <c r="C64" s="6"/>
      <c r="D64" s="6" t="s">
        <v>419</v>
      </c>
      <c r="E64" s="7">
        <v>50</v>
      </c>
      <c r="F64" s="186" t="s">
        <v>368</v>
      </c>
      <c r="G64" s="75" t="str">
        <f>IFERROR(IF(VLOOKUP(TableHandbook[[#This Row],[UDC]],TableAvailabilities[],2,FALSE)&gt;0,"Y",""),"")</f>
        <v/>
      </c>
      <c r="H64" s="116" t="str">
        <f>IFERROR(IF(VLOOKUP(TableHandbook[[#This Row],[UDC]],TableAvailabilities[],3,FALSE)&gt;0,"Y",""),"")</f>
        <v/>
      </c>
      <c r="I64" s="117" t="str">
        <f>IFERROR(IF(VLOOKUP(TableHandbook[[#This Row],[UDC]],TableAvailabilities[],4,FALSE)&gt;0,"Y",""),"")</f>
        <v/>
      </c>
      <c r="J64" s="76" t="str">
        <f>IFERROR(IF(VLOOKUP(TableHandbook[[#This Row],[UDC]],TableAvailabilities[],5,FALSE)&gt;0,"Y",""),"")</f>
        <v/>
      </c>
      <c r="K64" s="289" t="s">
        <v>420</v>
      </c>
      <c r="L64" s="183" t="str">
        <f>IFERROR(VLOOKUP(TableHandbook[[#This Row],[UDC]],TableMCARTS[],7,FALSE),"")</f>
        <v/>
      </c>
      <c r="M64" s="118" t="str">
        <f>IFERROR(VLOOKUP(TableHandbook[[#This Row],[UDC]],TableMJRPCWRIT[],7,FALSE),"")</f>
        <v/>
      </c>
      <c r="N64" s="118" t="str">
        <f>IFERROR(VLOOKUP(TableHandbook[[#This Row],[UDC]],TableMJRPFINAR[],7,FALSE),"")</f>
        <v/>
      </c>
      <c r="O64" s="118" t="str">
        <f>IFERROR(VLOOKUP(TableHandbook[[#This Row],[UDC]],TableMJRPPWRIT[],7,FALSE),"")</f>
        <v/>
      </c>
      <c r="P64" s="184" t="str">
        <f>IFERROR(VLOOKUP(TableHandbook[[#This Row],[UDC]],TableMJRPSCRAR[],7,FALSE),"")</f>
        <v/>
      </c>
      <c r="Q64" s="183" t="str">
        <f>IFERROR(VLOOKUP(TableHandbook[[#This Row],[UDC]],TableMCMMJRG[],7,FALSE),"")</f>
        <v/>
      </c>
      <c r="R64" s="118" t="str">
        <f>IFERROR(VLOOKUP(TableHandbook[[#This Row],[UDC]],TableMCMMJRN[],7,FALSE),"")</f>
        <v/>
      </c>
      <c r="S64" s="118" t="str">
        <f>IFERROR(VLOOKUP(TableHandbook[[#This Row],[UDC]],TableGDMMJRN[],7,FALSE),"")</f>
        <v/>
      </c>
      <c r="T64" s="184" t="str">
        <f>IFERROR(VLOOKUP(TableHandbook[[#This Row],[UDC]],TableGCMMJRN[],7,FALSE),"")</f>
        <v/>
      </c>
      <c r="U64" s="183" t="str">
        <f>IFERROR(VLOOKUP(TableHandbook[[#This Row],[UDC]],TableMCHRIGLO[],7,FALSE),"")</f>
        <v/>
      </c>
      <c r="V64" s="118" t="str">
        <f>IFERROR(VLOOKUP(TableHandbook[[#This Row],[UDC]],TableMCHRIGHT[],7,FALSE),"")</f>
        <v/>
      </c>
      <c r="W64" s="118" t="str">
        <f>IFERROR(VLOOKUP(TableHandbook[[#This Row],[UDC]],TableGDHRIGHT[],7,FALSE),"")</f>
        <v/>
      </c>
      <c r="X64" s="184" t="str">
        <f>IFERROR(VLOOKUP(TableHandbook[[#This Row],[UDC]],TableGCHRIGHT[],7,FALSE),"")</f>
        <v/>
      </c>
      <c r="Y64" s="183" t="str">
        <f>IFERROR(VLOOKUP(TableHandbook[[#This Row],[UDC]],TableMCGLOBL2[],7,FALSE),"")</f>
        <v/>
      </c>
      <c r="Z64" s="118" t="str">
        <f>IFERROR(VLOOKUP(TableHandbook[[#This Row],[UDC]],TableMCGLOBL[],7,FALSE),"")</f>
        <v/>
      </c>
      <c r="AA64" s="297" t="str">
        <f>IFERROR(VLOOKUP(TableHandbook[[#This Row],[UDC]],TableSTRPGLOBL[],7,FALSE),"")</f>
        <v/>
      </c>
      <c r="AB64" s="297" t="str">
        <f>IFERROR(VLOOKUP(TableHandbook[[#This Row],[UDC]],TableSTRPHRIGT[],7,FALSE),"")</f>
        <v/>
      </c>
      <c r="AC64" s="297" t="str">
        <f>IFERROR(VLOOKUP(TableHandbook[[#This Row],[UDC]],TableSTRPINTRN[],7,FALSE),"")</f>
        <v/>
      </c>
      <c r="AD64" s="184" t="str">
        <f>IFERROR(VLOOKUP(TableHandbook[[#This Row],[UDC]],TableGCGLOBL[],7,FALSE),"")</f>
        <v/>
      </c>
      <c r="AE64" s="183" t="str">
        <f>IFERROR(VLOOKUP(TableHandbook[[#This Row],[UDC]],TableMCNETSCM[],7,FALSE),"")</f>
        <v/>
      </c>
      <c r="AF64" s="118" t="str">
        <f>IFERROR(VLOOKUP(TableHandbook[[#This Row],[UDC]],TableGDNETSCM[],7,FALSE),"")</f>
        <v/>
      </c>
      <c r="AG64" s="184" t="str">
        <f>IFERROR(VLOOKUP(TableHandbook[[#This Row],[UDC]],TableGCNETSCM[],7,FALSE),"")</f>
        <v/>
      </c>
      <c r="AH64" s="183" t="str">
        <f>IFERROR(VLOOKUP(TableHandbook[[#This Row],[UDC]],TableMCINTRNS[],7,FALSE),"")</f>
        <v/>
      </c>
      <c r="AI64" s="118" t="str">
        <f>IFERROR(VLOOKUP(TableHandbook[[#This Row],[UDC]],TableGDINTRNS[],7,FALSE),"")</f>
        <v/>
      </c>
      <c r="AJ64" s="184" t="str">
        <f>IFERROR(VLOOKUP(TableHandbook[[#This Row],[UDC]],TableGCINTRNS[],7,FALSE),"")</f>
        <v/>
      </c>
    </row>
    <row r="65" spans="1:36" x14ac:dyDescent="0.25">
      <c r="A65" s="6" t="s">
        <v>421</v>
      </c>
      <c r="B65" s="7">
        <v>1</v>
      </c>
      <c r="C65" s="6"/>
      <c r="D65" s="6" t="s">
        <v>422</v>
      </c>
      <c r="E65" s="7">
        <v>50</v>
      </c>
      <c r="F65" s="186" t="s">
        <v>423</v>
      </c>
      <c r="G65" s="75" t="str">
        <f>IFERROR(IF(VLOOKUP(TableHandbook[[#This Row],[UDC]],TableAvailabilities[],2,FALSE)&gt;0,"Y",""),"")</f>
        <v/>
      </c>
      <c r="H65" s="116" t="str">
        <f>IFERROR(IF(VLOOKUP(TableHandbook[[#This Row],[UDC]],TableAvailabilities[],3,FALSE)&gt;0,"Y",""),"")</f>
        <v/>
      </c>
      <c r="I65" s="117" t="str">
        <f>IFERROR(IF(VLOOKUP(TableHandbook[[#This Row],[UDC]],TableAvailabilities[],4,FALSE)&gt;0,"Y",""),"")</f>
        <v/>
      </c>
      <c r="J65" s="76" t="str">
        <f>IFERROR(IF(VLOOKUP(TableHandbook[[#This Row],[UDC]],TableAvailabilities[],5,FALSE)&gt;0,"Y",""),"")</f>
        <v/>
      </c>
      <c r="K65" s="289" t="s">
        <v>420</v>
      </c>
      <c r="L65" s="183" t="str">
        <f>IFERROR(VLOOKUP(TableHandbook[[#This Row],[UDC]],TableMCARTS[],7,FALSE),"")</f>
        <v/>
      </c>
      <c r="M65" s="118" t="str">
        <f>IFERROR(VLOOKUP(TableHandbook[[#This Row],[UDC]],TableMJRPCWRIT[],7,FALSE),"")</f>
        <v/>
      </c>
      <c r="N65" s="118" t="str">
        <f>IFERROR(VLOOKUP(TableHandbook[[#This Row],[UDC]],TableMJRPFINAR[],7,FALSE),"")</f>
        <v/>
      </c>
      <c r="O65" s="118" t="str">
        <f>IFERROR(VLOOKUP(TableHandbook[[#This Row],[UDC]],TableMJRPPWRIT[],7,FALSE),"")</f>
        <v/>
      </c>
      <c r="P65" s="184" t="str">
        <f>IFERROR(VLOOKUP(TableHandbook[[#This Row],[UDC]],TableMJRPSCRAR[],7,FALSE),"")</f>
        <v/>
      </c>
      <c r="Q65" s="183" t="str">
        <f>IFERROR(VLOOKUP(TableHandbook[[#This Row],[UDC]],TableMCMMJRG[],7,FALSE),"")</f>
        <v/>
      </c>
      <c r="R65" s="118" t="str">
        <f>IFERROR(VLOOKUP(TableHandbook[[#This Row],[UDC]],TableMCMMJRN[],7,FALSE),"")</f>
        <v/>
      </c>
      <c r="S65" s="118" t="str">
        <f>IFERROR(VLOOKUP(TableHandbook[[#This Row],[UDC]],TableGDMMJRN[],7,FALSE),"")</f>
        <v/>
      </c>
      <c r="T65" s="184" t="str">
        <f>IFERROR(VLOOKUP(TableHandbook[[#This Row],[UDC]],TableGCMMJRN[],7,FALSE),"")</f>
        <v/>
      </c>
      <c r="U65" s="183" t="str">
        <f>IFERROR(VLOOKUP(TableHandbook[[#This Row],[UDC]],TableMCHRIGLO[],7,FALSE),"")</f>
        <v/>
      </c>
      <c r="V65" s="118" t="str">
        <f>IFERROR(VLOOKUP(TableHandbook[[#This Row],[UDC]],TableMCHRIGHT[],7,FALSE),"")</f>
        <v/>
      </c>
      <c r="W65" s="118" t="str">
        <f>IFERROR(VLOOKUP(TableHandbook[[#This Row],[UDC]],TableGDHRIGHT[],7,FALSE),"")</f>
        <v/>
      </c>
      <c r="X65" s="184" t="str">
        <f>IFERROR(VLOOKUP(TableHandbook[[#This Row],[UDC]],TableGCHRIGHT[],7,FALSE),"")</f>
        <v/>
      </c>
      <c r="Y65" s="183" t="str">
        <f>IFERROR(VLOOKUP(TableHandbook[[#This Row],[UDC]],TableMCGLOBL2[],7,FALSE),"")</f>
        <v/>
      </c>
      <c r="Z65" s="118" t="str">
        <f>IFERROR(VLOOKUP(TableHandbook[[#This Row],[UDC]],TableMCGLOBL[],7,FALSE),"")</f>
        <v/>
      </c>
      <c r="AA65" s="297" t="str">
        <f>IFERROR(VLOOKUP(TableHandbook[[#This Row],[UDC]],TableSTRPGLOBL[],7,FALSE),"")</f>
        <v/>
      </c>
      <c r="AB65" s="297" t="str">
        <f>IFERROR(VLOOKUP(TableHandbook[[#This Row],[UDC]],TableSTRPHRIGT[],7,FALSE),"")</f>
        <v/>
      </c>
      <c r="AC65" s="297" t="str">
        <f>IFERROR(VLOOKUP(TableHandbook[[#This Row],[UDC]],TableSTRPINTRN[],7,FALSE),"")</f>
        <v/>
      </c>
      <c r="AD65" s="184" t="str">
        <f>IFERROR(VLOOKUP(TableHandbook[[#This Row],[UDC]],TableGCGLOBL[],7,FALSE),"")</f>
        <v/>
      </c>
      <c r="AE65" s="183" t="str">
        <f>IFERROR(VLOOKUP(TableHandbook[[#This Row],[UDC]],TableMCNETSCM[],7,FALSE),"")</f>
        <v/>
      </c>
      <c r="AF65" s="118" t="str">
        <f>IFERROR(VLOOKUP(TableHandbook[[#This Row],[UDC]],TableGDNETSCM[],7,FALSE),"")</f>
        <v/>
      </c>
      <c r="AG65" s="184" t="str">
        <f>IFERROR(VLOOKUP(TableHandbook[[#This Row],[UDC]],TableGCNETSCM[],7,FALSE),"")</f>
        <v/>
      </c>
      <c r="AH65" s="183" t="str">
        <f>IFERROR(VLOOKUP(TableHandbook[[#This Row],[UDC]],TableMCINTRNS[],7,FALSE),"")</f>
        <v/>
      </c>
      <c r="AI65" s="118" t="str">
        <f>IFERROR(VLOOKUP(TableHandbook[[#This Row],[UDC]],TableGDINTRNS[],7,FALSE),"")</f>
        <v/>
      </c>
      <c r="AJ65" s="184" t="str">
        <f>IFERROR(VLOOKUP(TableHandbook[[#This Row],[UDC]],TableGCINTRNS[],7,FALSE),"")</f>
        <v/>
      </c>
    </row>
    <row r="66" spans="1:36" x14ac:dyDescent="0.25">
      <c r="A66" s="249" t="s">
        <v>165</v>
      </c>
      <c r="B66" s="7">
        <v>1</v>
      </c>
      <c r="C66" s="6"/>
      <c r="D66" s="6" t="s">
        <v>424</v>
      </c>
      <c r="E66" s="7">
        <v>50</v>
      </c>
      <c r="F66" s="254" t="s">
        <v>370</v>
      </c>
      <c r="G66" s="75" t="str">
        <f>IFERROR(IF(VLOOKUP(TableHandbook[[#This Row],[UDC]],TableAvailabilities[],2,FALSE)&gt;0,"Y",""),"")</f>
        <v>Y</v>
      </c>
      <c r="H66" s="116" t="str">
        <f>IFERROR(IF(VLOOKUP(TableHandbook[[#This Row],[UDC]],TableAvailabilities[],3,FALSE)&gt;0,"Y",""),"")</f>
        <v>Y</v>
      </c>
      <c r="I66" s="117" t="str">
        <f>IFERROR(IF(VLOOKUP(TableHandbook[[#This Row],[UDC]],TableAvailabilities[],4,FALSE)&gt;0,"Y",""),"")</f>
        <v>Y</v>
      </c>
      <c r="J66" s="76" t="str">
        <f>IFERROR(IF(VLOOKUP(TableHandbook[[#This Row],[UDC]],TableAvailabilities[],5,FALSE)&gt;0,"Y",""),"")</f>
        <v>Y</v>
      </c>
      <c r="K66" s="289"/>
      <c r="L66" s="183" t="str">
        <f>IFERROR(VLOOKUP(TableHandbook[[#This Row],[UDC]],TableMCARTS[],7,FALSE),"")</f>
        <v/>
      </c>
      <c r="M66" s="118" t="str">
        <f>IFERROR(VLOOKUP(TableHandbook[[#This Row],[UDC]],TableMJRPCWRIT[],7,FALSE),"")</f>
        <v>Option</v>
      </c>
      <c r="N66" s="118" t="str">
        <f>IFERROR(VLOOKUP(TableHandbook[[#This Row],[UDC]],TableMJRPFINAR[],7,FALSE),"")</f>
        <v>Option</v>
      </c>
      <c r="O66" s="118" t="str">
        <f>IFERROR(VLOOKUP(TableHandbook[[#This Row],[UDC]],TableMJRPPWRIT[],7,FALSE),"")</f>
        <v>Option</v>
      </c>
      <c r="P66" s="184" t="str">
        <f>IFERROR(VLOOKUP(TableHandbook[[#This Row],[UDC]],TableMJRPSCRAR[],7,FALSE),"")</f>
        <v>Option</v>
      </c>
      <c r="Q66" s="183" t="str">
        <f>IFERROR(VLOOKUP(TableHandbook[[#This Row],[UDC]],TableMCMMJRG[],7,FALSE),"")</f>
        <v/>
      </c>
      <c r="R66" s="118" t="str">
        <f>IFERROR(VLOOKUP(TableHandbook[[#This Row],[UDC]],TableMCMMJRN[],7,FALSE),"")</f>
        <v/>
      </c>
      <c r="S66" s="118" t="str">
        <f>IFERROR(VLOOKUP(TableHandbook[[#This Row],[UDC]],TableGDMMJRN[],7,FALSE),"")</f>
        <v/>
      </c>
      <c r="T66" s="184" t="str">
        <f>IFERROR(VLOOKUP(TableHandbook[[#This Row],[UDC]],TableGCMMJRN[],7,FALSE),"")</f>
        <v/>
      </c>
      <c r="U66" s="183" t="str">
        <f>IFERROR(VLOOKUP(TableHandbook[[#This Row],[UDC]],TableMCHRIGLO[],7,FALSE),"")</f>
        <v>AltCore</v>
      </c>
      <c r="V66" s="118" t="str">
        <f>IFERROR(VLOOKUP(TableHandbook[[#This Row],[UDC]],TableMCHRIGHT[],7,FALSE),"")</f>
        <v>AltCore</v>
      </c>
      <c r="W66" s="118" t="str">
        <f>IFERROR(VLOOKUP(TableHandbook[[#This Row],[UDC]],TableGDHRIGHT[],7,FALSE),"")</f>
        <v/>
      </c>
      <c r="X66" s="184" t="str">
        <f>IFERROR(VLOOKUP(TableHandbook[[#This Row],[UDC]],TableGCHRIGHT[],7,FALSE),"")</f>
        <v/>
      </c>
      <c r="Y66" s="183" t="str">
        <f>IFERROR(VLOOKUP(TableHandbook[[#This Row],[UDC]],TableMCGLOBL2[],7,FALSE),"")</f>
        <v>AltCore</v>
      </c>
      <c r="Z66" s="118" t="str">
        <f>IFERROR(VLOOKUP(TableHandbook[[#This Row],[UDC]],TableMCGLOBL[],7,FALSE),"")</f>
        <v>AltCore</v>
      </c>
      <c r="AA66" s="297" t="str">
        <f>IFERROR(VLOOKUP(TableHandbook[[#This Row],[UDC]],TableSTRPGLOBL[],7,FALSE),"")</f>
        <v/>
      </c>
      <c r="AB66" s="297" t="str">
        <f>IFERROR(VLOOKUP(TableHandbook[[#This Row],[UDC]],TableSTRPHRIGT[],7,FALSE),"")</f>
        <v/>
      </c>
      <c r="AC66" s="297" t="str">
        <f>IFERROR(VLOOKUP(TableHandbook[[#This Row],[UDC]],TableSTRPINTRN[],7,FALSE),"")</f>
        <v/>
      </c>
      <c r="AD66" s="184" t="str">
        <f>IFERROR(VLOOKUP(TableHandbook[[#This Row],[UDC]],TableGCGLOBL[],7,FALSE),"")</f>
        <v/>
      </c>
      <c r="AE66" s="183" t="str">
        <f>IFERROR(VLOOKUP(TableHandbook[[#This Row],[UDC]],TableMCNETSCM[],7,FALSE),"")</f>
        <v>Core</v>
      </c>
      <c r="AF66" s="118" t="str">
        <f>IFERROR(VLOOKUP(TableHandbook[[#This Row],[UDC]],TableGDNETSCM[],7,FALSE),"")</f>
        <v/>
      </c>
      <c r="AG66" s="184" t="str">
        <f>IFERROR(VLOOKUP(TableHandbook[[#This Row],[UDC]],TableGCNETSCM[],7,FALSE),"")</f>
        <v/>
      </c>
      <c r="AH66" s="183" t="str">
        <f>IFERROR(VLOOKUP(TableHandbook[[#This Row],[UDC]],TableMCINTRNS[],7,FALSE),"")</f>
        <v>Option</v>
      </c>
      <c r="AI66" s="118" t="str">
        <f>IFERROR(VLOOKUP(TableHandbook[[#This Row],[UDC]],TableGDINTRNS[],7,FALSE),"")</f>
        <v/>
      </c>
      <c r="AJ66" s="184" t="str">
        <f>IFERROR(VLOOKUP(TableHandbook[[#This Row],[UDC]],TableGCINTRNS[],7,FALSE),"")</f>
        <v/>
      </c>
    </row>
    <row r="67" spans="1:36" x14ac:dyDescent="0.25">
      <c r="A67" s="249" t="s">
        <v>144</v>
      </c>
      <c r="B67" s="7">
        <v>1</v>
      </c>
      <c r="C67" s="6"/>
      <c r="D67" s="6" t="s">
        <v>425</v>
      </c>
      <c r="E67" s="7">
        <v>50</v>
      </c>
      <c r="F67" s="254" t="s">
        <v>165</v>
      </c>
      <c r="G67" s="75" t="str">
        <f>IFERROR(IF(VLOOKUP(TableHandbook[[#This Row],[UDC]],TableAvailabilities[],2,FALSE)&gt;0,"Y",""),"")</f>
        <v>Y</v>
      </c>
      <c r="H67" s="116" t="str">
        <f>IFERROR(IF(VLOOKUP(TableHandbook[[#This Row],[UDC]],TableAvailabilities[],3,FALSE)&gt;0,"Y",""),"")</f>
        <v>Y</v>
      </c>
      <c r="I67" s="117" t="str">
        <f>IFERROR(IF(VLOOKUP(TableHandbook[[#This Row],[UDC]],TableAvailabilities[],4,FALSE)&gt;0,"Y",""),"")</f>
        <v>Y</v>
      </c>
      <c r="J67" s="76" t="str">
        <f>IFERROR(IF(VLOOKUP(TableHandbook[[#This Row],[UDC]],TableAvailabilities[],5,FALSE)&gt;0,"Y",""),"")</f>
        <v>Y</v>
      </c>
      <c r="K67" s="289"/>
      <c r="L67" s="183" t="str">
        <f>IFERROR(VLOOKUP(TableHandbook[[#This Row],[UDC]],TableMCARTS[],7,FALSE),"")</f>
        <v/>
      </c>
      <c r="M67" s="118" t="str">
        <f>IFERROR(VLOOKUP(TableHandbook[[#This Row],[UDC]],TableMJRPCWRIT[],7,FALSE),"")</f>
        <v>AltCore</v>
      </c>
      <c r="N67" s="118" t="str">
        <f>IFERROR(VLOOKUP(TableHandbook[[#This Row],[UDC]],TableMJRPFINAR[],7,FALSE),"")</f>
        <v>AltCore</v>
      </c>
      <c r="O67" s="118" t="str">
        <f>IFERROR(VLOOKUP(TableHandbook[[#This Row],[UDC]],TableMJRPPWRIT[],7,FALSE),"")</f>
        <v>AltCore</v>
      </c>
      <c r="P67" s="184" t="str">
        <f>IFERROR(VLOOKUP(TableHandbook[[#This Row],[UDC]],TableMJRPSCRAR[],7,FALSE),"")</f>
        <v>AltCore</v>
      </c>
      <c r="Q67" s="183" t="str">
        <f>IFERROR(VLOOKUP(TableHandbook[[#This Row],[UDC]],TableMCMMJRG[],7,FALSE),"")</f>
        <v/>
      </c>
      <c r="R67" s="118" t="str">
        <f>IFERROR(VLOOKUP(TableHandbook[[#This Row],[UDC]],TableMCMMJRN[],7,FALSE),"")</f>
        <v/>
      </c>
      <c r="S67" s="118" t="str">
        <f>IFERROR(VLOOKUP(TableHandbook[[#This Row],[UDC]],TableGDMMJRN[],7,FALSE),"")</f>
        <v/>
      </c>
      <c r="T67" s="184" t="str">
        <f>IFERROR(VLOOKUP(TableHandbook[[#This Row],[UDC]],TableGCMMJRN[],7,FALSE),"")</f>
        <v/>
      </c>
      <c r="U67" s="183" t="str">
        <f>IFERROR(VLOOKUP(TableHandbook[[#This Row],[UDC]],TableMCHRIGLO[],7,FALSE),"")</f>
        <v>AltCore</v>
      </c>
      <c r="V67" s="118" t="str">
        <f>IFERROR(VLOOKUP(TableHandbook[[#This Row],[UDC]],TableMCHRIGHT[],7,FALSE),"")</f>
        <v>AltCore</v>
      </c>
      <c r="W67" s="118" t="str">
        <f>IFERROR(VLOOKUP(TableHandbook[[#This Row],[UDC]],TableGDHRIGHT[],7,FALSE),"")</f>
        <v/>
      </c>
      <c r="X67" s="184" t="str">
        <f>IFERROR(VLOOKUP(TableHandbook[[#This Row],[UDC]],TableGCHRIGHT[],7,FALSE),"")</f>
        <v/>
      </c>
      <c r="Y67" s="183" t="str">
        <f>IFERROR(VLOOKUP(TableHandbook[[#This Row],[UDC]],TableMCGLOBL2[],7,FALSE),"")</f>
        <v>AltCore</v>
      </c>
      <c r="Z67" s="118" t="str">
        <f>IFERROR(VLOOKUP(TableHandbook[[#This Row],[UDC]],TableMCGLOBL[],7,FALSE),"")</f>
        <v>AltCore</v>
      </c>
      <c r="AA67" s="297" t="str">
        <f>IFERROR(VLOOKUP(TableHandbook[[#This Row],[UDC]],TableSTRPGLOBL[],7,FALSE),"")</f>
        <v/>
      </c>
      <c r="AB67" s="297" t="str">
        <f>IFERROR(VLOOKUP(TableHandbook[[#This Row],[UDC]],TableSTRPHRIGT[],7,FALSE),"")</f>
        <v/>
      </c>
      <c r="AC67" s="297" t="str">
        <f>IFERROR(VLOOKUP(TableHandbook[[#This Row],[UDC]],TableSTRPINTRN[],7,FALSE),"")</f>
        <v/>
      </c>
      <c r="AD67" s="184" t="str">
        <f>IFERROR(VLOOKUP(TableHandbook[[#This Row],[UDC]],TableGCGLOBL[],7,FALSE),"")</f>
        <v/>
      </c>
      <c r="AE67" s="183" t="str">
        <f>IFERROR(VLOOKUP(TableHandbook[[#This Row],[UDC]],TableMCNETSCM[],7,FALSE),"")</f>
        <v>Core</v>
      </c>
      <c r="AF67" s="118" t="str">
        <f>IFERROR(VLOOKUP(TableHandbook[[#This Row],[UDC]],TableGDNETSCM[],7,FALSE),"")</f>
        <v/>
      </c>
      <c r="AG67" s="184" t="str">
        <f>IFERROR(VLOOKUP(TableHandbook[[#This Row],[UDC]],TableGCNETSCM[],7,FALSE),"")</f>
        <v/>
      </c>
      <c r="AH67" s="183" t="str">
        <f>IFERROR(VLOOKUP(TableHandbook[[#This Row],[UDC]],TableMCINTRNS[],7,FALSE),"")</f>
        <v>Option</v>
      </c>
      <c r="AI67" s="118" t="str">
        <f>IFERROR(VLOOKUP(TableHandbook[[#This Row],[UDC]],TableGDINTRNS[],7,FALSE),"")</f>
        <v/>
      </c>
      <c r="AJ67" s="184" t="str">
        <f>IFERROR(VLOOKUP(TableHandbook[[#This Row],[UDC]],TableGCINTRNS[],7,FALSE),"")</f>
        <v/>
      </c>
    </row>
    <row r="68" spans="1:36" x14ac:dyDescent="0.25">
      <c r="A68" s="6" t="s">
        <v>182</v>
      </c>
      <c r="B68" s="7">
        <v>1</v>
      </c>
      <c r="C68" s="6"/>
      <c r="D68" s="6" t="s">
        <v>426</v>
      </c>
      <c r="E68" s="7">
        <v>25</v>
      </c>
      <c r="F68" s="186" t="s">
        <v>368</v>
      </c>
      <c r="G68" s="75" t="str">
        <f>IFERROR(IF(VLOOKUP(TableHandbook[[#This Row],[UDC]],TableAvailabilities[],2,FALSE)&gt;0,"Y",""),"")</f>
        <v/>
      </c>
      <c r="H68" s="116" t="str">
        <f>IFERROR(IF(VLOOKUP(TableHandbook[[#This Row],[UDC]],TableAvailabilities[],3,FALSE)&gt;0,"Y",""),"")</f>
        <v/>
      </c>
      <c r="I68" s="117" t="str">
        <f>IFERROR(IF(VLOOKUP(TableHandbook[[#This Row],[UDC]],TableAvailabilities[],4,FALSE)&gt;0,"Y",""),"")</f>
        <v>Y</v>
      </c>
      <c r="J68" s="76" t="str">
        <f>IFERROR(IF(VLOOKUP(TableHandbook[[#This Row],[UDC]],TableAvailabilities[],5,FALSE)&gt;0,"Y",""),"")</f>
        <v>Y</v>
      </c>
      <c r="K68" s="289"/>
      <c r="L68" s="183" t="str">
        <f>IFERROR(VLOOKUP(TableHandbook[[#This Row],[UDC]],TableMCARTS[],7,FALSE),"")</f>
        <v/>
      </c>
      <c r="M68" s="118" t="str">
        <f>IFERROR(VLOOKUP(TableHandbook[[#This Row],[UDC]],TableMJRPCWRIT[],7,FALSE),"")</f>
        <v>Option</v>
      </c>
      <c r="N68" s="118" t="str">
        <f>IFERROR(VLOOKUP(TableHandbook[[#This Row],[UDC]],TableMJRPFINAR[],7,FALSE),"")</f>
        <v>Option</v>
      </c>
      <c r="O68" s="118" t="str">
        <f>IFERROR(VLOOKUP(TableHandbook[[#This Row],[UDC]],TableMJRPPWRIT[],7,FALSE),"")</f>
        <v>Option</v>
      </c>
      <c r="P68" s="184" t="str">
        <f>IFERROR(VLOOKUP(TableHandbook[[#This Row],[UDC]],TableMJRPSCRAR[],7,FALSE),"")</f>
        <v>Option</v>
      </c>
      <c r="Q68" s="183" t="str">
        <f>IFERROR(VLOOKUP(TableHandbook[[#This Row],[UDC]],TableMCMMJRG[],7,FALSE),"")</f>
        <v/>
      </c>
      <c r="R68" s="118" t="str">
        <f>IFERROR(VLOOKUP(TableHandbook[[#This Row],[UDC]],TableMCMMJRN[],7,FALSE),"")</f>
        <v/>
      </c>
      <c r="S68" s="118" t="str">
        <f>IFERROR(VLOOKUP(TableHandbook[[#This Row],[UDC]],TableGDMMJRN[],7,FALSE),"")</f>
        <v/>
      </c>
      <c r="T68" s="184" t="str">
        <f>IFERROR(VLOOKUP(TableHandbook[[#This Row],[UDC]],TableGCMMJRN[],7,FALSE),"")</f>
        <v/>
      </c>
      <c r="U68" s="183" t="str">
        <f>IFERROR(VLOOKUP(TableHandbook[[#This Row],[UDC]],TableMCHRIGLO[],7,FALSE),"")</f>
        <v/>
      </c>
      <c r="V68" s="118" t="str">
        <f>IFERROR(VLOOKUP(TableHandbook[[#This Row],[UDC]],TableMCHRIGHT[],7,FALSE),"")</f>
        <v/>
      </c>
      <c r="W68" s="118" t="str">
        <f>IFERROR(VLOOKUP(TableHandbook[[#This Row],[UDC]],TableGDHRIGHT[],7,FALSE),"")</f>
        <v/>
      </c>
      <c r="X68" s="184" t="str">
        <f>IFERROR(VLOOKUP(TableHandbook[[#This Row],[UDC]],TableGCHRIGHT[],7,FALSE),"")</f>
        <v/>
      </c>
      <c r="Y68" s="183" t="str">
        <f>IFERROR(VLOOKUP(TableHandbook[[#This Row],[UDC]],TableMCGLOBL2[],7,FALSE),"")</f>
        <v/>
      </c>
      <c r="Z68" s="118" t="str">
        <f>IFERROR(VLOOKUP(TableHandbook[[#This Row],[UDC]],TableMCGLOBL[],7,FALSE),"")</f>
        <v/>
      </c>
      <c r="AA68" s="297" t="str">
        <f>IFERROR(VLOOKUP(TableHandbook[[#This Row],[UDC]],TableSTRPGLOBL[],7,FALSE),"")</f>
        <v/>
      </c>
      <c r="AB68" s="297" t="str">
        <f>IFERROR(VLOOKUP(TableHandbook[[#This Row],[UDC]],TableSTRPHRIGT[],7,FALSE),"")</f>
        <v/>
      </c>
      <c r="AC68" s="297" t="str">
        <f>IFERROR(VLOOKUP(TableHandbook[[#This Row],[UDC]],TableSTRPINTRN[],7,FALSE),"")</f>
        <v/>
      </c>
      <c r="AD68" s="184" t="str">
        <f>IFERROR(VLOOKUP(TableHandbook[[#This Row],[UDC]],TableGCGLOBL[],7,FALSE),"")</f>
        <v/>
      </c>
      <c r="AE68" s="183" t="str">
        <f>IFERROR(VLOOKUP(TableHandbook[[#This Row],[UDC]],TableMCNETSCM[],7,FALSE),"")</f>
        <v/>
      </c>
      <c r="AF68" s="118" t="str">
        <f>IFERROR(VLOOKUP(TableHandbook[[#This Row],[UDC]],TableGDNETSCM[],7,FALSE),"")</f>
        <v/>
      </c>
      <c r="AG68" s="184" t="str">
        <f>IFERROR(VLOOKUP(TableHandbook[[#This Row],[UDC]],TableGCNETSCM[],7,FALSE),"")</f>
        <v/>
      </c>
      <c r="AH68" s="183" t="str">
        <f>IFERROR(VLOOKUP(TableHandbook[[#This Row],[UDC]],TableMCINTRNS[],7,FALSE),"")</f>
        <v/>
      </c>
      <c r="AI68" s="118" t="str">
        <f>IFERROR(VLOOKUP(TableHandbook[[#This Row],[UDC]],TableGDINTRNS[],7,FALSE),"")</f>
        <v/>
      </c>
      <c r="AJ68" s="184" t="str">
        <f>IFERROR(VLOOKUP(TableHandbook[[#This Row],[UDC]],TableGCINTRNS[],7,FALSE),"")</f>
        <v/>
      </c>
    </row>
    <row r="69" spans="1:36" x14ac:dyDescent="0.25">
      <c r="A69" s="6" t="s">
        <v>162</v>
      </c>
      <c r="B69" s="7">
        <v>1</v>
      </c>
      <c r="C69" s="6"/>
      <c r="D69" s="6" t="s">
        <v>427</v>
      </c>
      <c r="E69" s="7">
        <v>25</v>
      </c>
      <c r="F69" s="186" t="s">
        <v>368</v>
      </c>
      <c r="G69" s="75" t="str">
        <f>IFERROR(IF(VLOOKUP(TableHandbook[[#This Row],[UDC]],TableAvailabilities[],2,FALSE)&gt;0,"Y",""),"")</f>
        <v>Y</v>
      </c>
      <c r="H69" s="116" t="str">
        <f>IFERROR(IF(VLOOKUP(TableHandbook[[#This Row],[UDC]],TableAvailabilities[],3,FALSE)&gt;0,"Y",""),"")</f>
        <v>Y</v>
      </c>
      <c r="I69" s="117" t="str">
        <f>IFERROR(IF(VLOOKUP(TableHandbook[[#This Row],[UDC]],TableAvailabilities[],4,FALSE)&gt;0,"Y",""),"")</f>
        <v/>
      </c>
      <c r="J69" s="76" t="str">
        <f>IFERROR(IF(VLOOKUP(TableHandbook[[#This Row],[UDC]],TableAvailabilities[],5,FALSE)&gt;0,"Y",""),"")</f>
        <v/>
      </c>
      <c r="K69" s="289"/>
      <c r="L69" s="183" t="str">
        <f>IFERROR(VLOOKUP(TableHandbook[[#This Row],[UDC]],TableMCARTS[],7,FALSE),"")</f>
        <v/>
      </c>
      <c r="M69" s="118" t="str">
        <f>IFERROR(VLOOKUP(TableHandbook[[#This Row],[UDC]],TableMJRPCWRIT[],7,FALSE),"")</f>
        <v/>
      </c>
      <c r="N69" s="118" t="str">
        <f>IFERROR(VLOOKUP(TableHandbook[[#This Row],[UDC]],TableMJRPFINAR[],7,FALSE),"")</f>
        <v>Option</v>
      </c>
      <c r="O69" s="118" t="str">
        <f>IFERROR(VLOOKUP(TableHandbook[[#This Row],[UDC]],TableMJRPPWRIT[],7,FALSE),"")</f>
        <v/>
      </c>
      <c r="P69" s="184" t="str">
        <f>IFERROR(VLOOKUP(TableHandbook[[#This Row],[UDC]],TableMJRPSCRAR[],7,FALSE),"")</f>
        <v/>
      </c>
      <c r="Q69" s="183" t="str">
        <f>IFERROR(VLOOKUP(TableHandbook[[#This Row],[UDC]],TableMCMMJRG[],7,FALSE),"")</f>
        <v/>
      </c>
      <c r="R69" s="118" t="str">
        <f>IFERROR(VLOOKUP(TableHandbook[[#This Row],[UDC]],TableMCMMJRN[],7,FALSE),"")</f>
        <v/>
      </c>
      <c r="S69" s="118" t="str">
        <f>IFERROR(VLOOKUP(TableHandbook[[#This Row],[UDC]],TableGDMMJRN[],7,FALSE),"")</f>
        <v/>
      </c>
      <c r="T69" s="184" t="str">
        <f>IFERROR(VLOOKUP(TableHandbook[[#This Row],[UDC]],TableGCMMJRN[],7,FALSE),"")</f>
        <v/>
      </c>
      <c r="U69" s="183" t="str">
        <f>IFERROR(VLOOKUP(TableHandbook[[#This Row],[UDC]],TableMCHRIGLO[],7,FALSE),"")</f>
        <v/>
      </c>
      <c r="V69" s="118" t="str">
        <f>IFERROR(VLOOKUP(TableHandbook[[#This Row],[UDC]],TableMCHRIGHT[],7,FALSE),"")</f>
        <v/>
      </c>
      <c r="W69" s="118" t="str">
        <f>IFERROR(VLOOKUP(TableHandbook[[#This Row],[UDC]],TableGDHRIGHT[],7,FALSE),"")</f>
        <v/>
      </c>
      <c r="X69" s="184" t="str">
        <f>IFERROR(VLOOKUP(TableHandbook[[#This Row],[UDC]],TableGCHRIGHT[],7,FALSE),"")</f>
        <v/>
      </c>
      <c r="Y69" s="183" t="str">
        <f>IFERROR(VLOOKUP(TableHandbook[[#This Row],[UDC]],TableMCGLOBL2[],7,FALSE),"")</f>
        <v/>
      </c>
      <c r="Z69" s="118" t="str">
        <f>IFERROR(VLOOKUP(TableHandbook[[#This Row],[UDC]],TableMCGLOBL[],7,FALSE),"")</f>
        <v/>
      </c>
      <c r="AA69" s="297" t="str">
        <f>IFERROR(VLOOKUP(TableHandbook[[#This Row],[UDC]],TableSTRPGLOBL[],7,FALSE),"")</f>
        <v/>
      </c>
      <c r="AB69" s="297" t="str">
        <f>IFERROR(VLOOKUP(TableHandbook[[#This Row],[UDC]],TableSTRPHRIGT[],7,FALSE),"")</f>
        <v/>
      </c>
      <c r="AC69" s="297" t="str">
        <f>IFERROR(VLOOKUP(TableHandbook[[#This Row],[UDC]],TableSTRPINTRN[],7,FALSE),"")</f>
        <v/>
      </c>
      <c r="AD69" s="184" t="str">
        <f>IFERROR(VLOOKUP(TableHandbook[[#This Row],[UDC]],TableGCGLOBL[],7,FALSE),"")</f>
        <v/>
      </c>
      <c r="AE69" s="183" t="str">
        <f>IFERROR(VLOOKUP(TableHandbook[[#This Row],[UDC]],TableMCNETSCM[],7,FALSE),"")</f>
        <v/>
      </c>
      <c r="AF69" s="118" t="str">
        <f>IFERROR(VLOOKUP(TableHandbook[[#This Row],[UDC]],TableGDNETSCM[],7,FALSE),"")</f>
        <v/>
      </c>
      <c r="AG69" s="184" t="str">
        <f>IFERROR(VLOOKUP(TableHandbook[[#This Row],[UDC]],TableGCNETSCM[],7,FALSE),"")</f>
        <v/>
      </c>
      <c r="AH69" s="183" t="str">
        <f>IFERROR(VLOOKUP(TableHandbook[[#This Row],[UDC]],TableMCINTRNS[],7,FALSE),"")</f>
        <v/>
      </c>
      <c r="AI69" s="118" t="str">
        <f>IFERROR(VLOOKUP(TableHandbook[[#This Row],[UDC]],TableGDINTRNS[],7,FALSE),"")</f>
        <v/>
      </c>
      <c r="AJ69" s="184" t="str">
        <f>IFERROR(VLOOKUP(TableHandbook[[#This Row],[UDC]],TableGCINTRNS[],7,FALSE),"")</f>
        <v/>
      </c>
    </row>
    <row r="70" spans="1:36" x14ac:dyDescent="0.25">
      <c r="A70" s="6" t="s">
        <v>428</v>
      </c>
      <c r="B70" s="7">
        <v>1</v>
      </c>
      <c r="C70" s="6"/>
      <c r="D70" s="6" t="s">
        <v>429</v>
      </c>
      <c r="E70" s="7">
        <v>50</v>
      </c>
      <c r="F70" s="186" t="s">
        <v>368</v>
      </c>
      <c r="G70" s="75" t="str">
        <f>IFERROR(IF(VLOOKUP(TableHandbook[[#This Row],[UDC]],TableAvailabilities[],2,FALSE)&gt;0,"Y",""),"")</f>
        <v/>
      </c>
      <c r="H70" s="116" t="str">
        <f>IFERROR(IF(VLOOKUP(TableHandbook[[#This Row],[UDC]],TableAvailabilities[],3,FALSE)&gt;0,"Y",""),"")</f>
        <v/>
      </c>
      <c r="I70" s="117" t="str">
        <f>IFERROR(IF(VLOOKUP(TableHandbook[[#This Row],[UDC]],TableAvailabilities[],4,FALSE)&gt;0,"Y",""),"")</f>
        <v/>
      </c>
      <c r="J70" s="76" t="str">
        <f>IFERROR(IF(VLOOKUP(TableHandbook[[#This Row],[UDC]],TableAvailabilities[],5,FALSE)&gt;0,"Y",""),"")</f>
        <v/>
      </c>
      <c r="K70" s="289" t="s">
        <v>420</v>
      </c>
      <c r="L70" s="183" t="str">
        <f>IFERROR(VLOOKUP(TableHandbook[[#This Row],[UDC]],TableMCARTS[],7,FALSE),"")</f>
        <v/>
      </c>
      <c r="M70" s="118" t="str">
        <f>IFERROR(VLOOKUP(TableHandbook[[#This Row],[UDC]],TableMJRPCWRIT[],7,FALSE),"")</f>
        <v/>
      </c>
      <c r="N70" s="118" t="str">
        <f>IFERROR(VLOOKUP(TableHandbook[[#This Row],[UDC]],TableMJRPFINAR[],7,FALSE),"")</f>
        <v/>
      </c>
      <c r="O70" s="118" t="str">
        <f>IFERROR(VLOOKUP(TableHandbook[[#This Row],[UDC]],TableMJRPPWRIT[],7,FALSE),"")</f>
        <v/>
      </c>
      <c r="P70" s="184" t="str">
        <f>IFERROR(VLOOKUP(TableHandbook[[#This Row],[UDC]],TableMJRPSCRAR[],7,FALSE),"")</f>
        <v/>
      </c>
      <c r="Q70" s="183" t="str">
        <f>IFERROR(VLOOKUP(TableHandbook[[#This Row],[UDC]],TableMCMMJRG[],7,FALSE),"")</f>
        <v/>
      </c>
      <c r="R70" s="118" t="str">
        <f>IFERROR(VLOOKUP(TableHandbook[[#This Row],[UDC]],TableMCMMJRN[],7,FALSE),"")</f>
        <v/>
      </c>
      <c r="S70" s="118" t="str">
        <f>IFERROR(VLOOKUP(TableHandbook[[#This Row],[UDC]],TableGDMMJRN[],7,FALSE),"")</f>
        <v/>
      </c>
      <c r="T70" s="184" t="str">
        <f>IFERROR(VLOOKUP(TableHandbook[[#This Row],[UDC]],TableGCMMJRN[],7,FALSE),"")</f>
        <v/>
      </c>
      <c r="U70" s="183" t="str">
        <f>IFERROR(VLOOKUP(TableHandbook[[#This Row],[UDC]],TableMCHRIGLO[],7,FALSE),"")</f>
        <v/>
      </c>
      <c r="V70" s="118" t="str">
        <f>IFERROR(VLOOKUP(TableHandbook[[#This Row],[UDC]],TableMCHRIGHT[],7,FALSE),"")</f>
        <v/>
      </c>
      <c r="W70" s="118" t="str">
        <f>IFERROR(VLOOKUP(TableHandbook[[#This Row],[UDC]],TableGDHRIGHT[],7,FALSE),"")</f>
        <v/>
      </c>
      <c r="X70" s="184" t="str">
        <f>IFERROR(VLOOKUP(TableHandbook[[#This Row],[UDC]],TableGCHRIGHT[],7,FALSE),"")</f>
        <v/>
      </c>
      <c r="Y70" s="183" t="str">
        <f>IFERROR(VLOOKUP(TableHandbook[[#This Row],[UDC]],TableMCGLOBL2[],7,FALSE),"")</f>
        <v/>
      </c>
      <c r="Z70" s="118" t="str">
        <f>IFERROR(VLOOKUP(TableHandbook[[#This Row],[UDC]],TableMCGLOBL[],7,FALSE),"")</f>
        <v/>
      </c>
      <c r="AA70" s="297" t="str">
        <f>IFERROR(VLOOKUP(TableHandbook[[#This Row],[UDC]],TableSTRPGLOBL[],7,FALSE),"")</f>
        <v/>
      </c>
      <c r="AB70" s="297" t="str">
        <f>IFERROR(VLOOKUP(TableHandbook[[#This Row],[UDC]],TableSTRPHRIGT[],7,FALSE),"")</f>
        <v/>
      </c>
      <c r="AC70" s="297" t="str">
        <f>IFERROR(VLOOKUP(TableHandbook[[#This Row],[UDC]],TableSTRPINTRN[],7,FALSE),"")</f>
        <v/>
      </c>
      <c r="AD70" s="184" t="str">
        <f>IFERROR(VLOOKUP(TableHandbook[[#This Row],[UDC]],TableGCGLOBL[],7,FALSE),"")</f>
        <v/>
      </c>
      <c r="AE70" s="183" t="str">
        <f>IFERROR(VLOOKUP(TableHandbook[[#This Row],[UDC]],TableMCNETSCM[],7,FALSE),"")</f>
        <v/>
      </c>
      <c r="AF70" s="118" t="str">
        <f>IFERROR(VLOOKUP(TableHandbook[[#This Row],[UDC]],TableGDNETSCM[],7,FALSE),"")</f>
        <v/>
      </c>
      <c r="AG70" s="184" t="str">
        <f>IFERROR(VLOOKUP(TableHandbook[[#This Row],[UDC]],TableGCNETSCM[],7,FALSE),"")</f>
        <v/>
      </c>
      <c r="AH70" s="183" t="str">
        <f>IFERROR(VLOOKUP(TableHandbook[[#This Row],[UDC]],TableMCINTRNS[],7,FALSE),"")</f>
        <v/>
      </c>
      <c r="AI70" s="118" t="str">
        <f>IFERROR(VLOOKUP(TableHandbook[[#This Row],[UDC]],TableGDINTRNS[],7,FALSE),"")</f>
        <v/>
      </c>
      <c r="AJ70" s="184" t="str">
        <f>IFERROR(VLOOKUP(TableHandbook[[#This Row],[UDC]],TableGCINTRNS[],7,FALSE),"")</f>
        <v/>
      </c>
    </row>
    <row r="71" spans="1:36" x14ac:dyDescent="0.25">
      <c r="A71" s="190" t="s">
        <v>276</v>
      </c>
      <c r="B71" s="122">
        <v>1</v>
      </c>
      <c r="C71" s="190"/>
      <c r="D71" s="190" t="s">
        <v>430</v>
      </c>
      <c r="E71" s="7">
        <v>25</v>
      </c>
      <c r="F71" s="186" t="s">
        <v>368</v>
      </c>
      <c r="G71" s="75" t="str">
        <f>IFERROR(IF(VLOOKUP(TableHandbook[[#This Row],[UDC]],TableAvailabilities[],2,FALSE)&gt;0,"Y",""),"")</f>
        <v/>
      </c>
      <c r="H71" s="116" t="str">
        <f>IFERROR(IF(VLOOKUP(TableHandbook[[#This Row],[UDC]],TableAvailabilities[],3,FALSE)&gt;0,"Y",""),"")</f>
        <v/>
      </c>
      <c r="I71" s="117" t="str">
        <f>IFERROR(IF(VLOOKUP(TableHandbook[[#This Row],[UDC]],TableAvailabilities[],4,FALSE)&gt;0,"Y",""),"")</f>
        <v/>
      </c>
      <c r="J71" s="76" t="str">
        <f>IFERROR(IF(VLOOKUP(TableHandbook[[#This Row],[UDC]],TableAvailabilities[],5,FALSE)&gt;0,"Y",""),"")</f>
        <v/>
      </c>
      <c r="K71" s="290" t="s">
        <v>431</v>
      </c>
      <c r="L71" s="183" t="str">
        <f>IFERROR(VLOOKUP(TableHandbook[[#This Row],[UDC]],TableMCARTS[],7,FALSE),"")</f>
        <v/>
      </c>
      <c r="M71" s="118" t="str">
        <f>IFERROR(VLOOKUP(TableHandbook[[#This Row],[UDC]],TableMJRPCWRIT[],7,FALSE),"")</f>
        <v/>
      </c>
      <c r="N71" s="118" t="str">
        <f>IFERROR(VLOOKUP(TableHandbook[[#This Row],[UDC]],TableMJRPFINAR[],7,FALSE),"")</f>
        <v/>
      </c>
      <c r="O71" s="118" t="str">
        <f>IFERROR(VLOOKUP(TableHandbook[[#This Row],[UDC]],TableMJRPPWRIT[],7,FALSE),"")</f>
        <v/>
      </c>
      <c r="P71" s="184" t="str">
        <f>IFERROR(VLOOKUP(TableHandbook[[#This Row],[UDC]],TableMJRPSCRAR[],7,FALSE),"")</f>
        <v/>
      </c>
      <c r="Q71" s="183" t="str">
        <f>IFERROR(VLOOKUP(TableHandbook[[#This Row],[UDC]],TableMCMMJRG[],7,FALSE),"")</f>
        <v>Option</v>
      </c>
      <c r="R71" s="118" t="str">
        <f>IFERROR(VLOOKUP(TableHandbook[[#This Row],[UDC]],TableMCMMJRN[],7,FALSE),"")</f>
        <v/>
      </c>
      <c r="S71" s="118" t="str">
        <f>IFERROR(VLOOKUP(TableHandbook[[#This Row],[UDC]],TableGDMMJRN[],7,FALSE),"")</f>
        <v/>
      </c>
      <c r="T71" s="184" t="str">
        <f>IFERROR(VLOOKUP(TableHandbook[[#This Row],[UDC]],TableGCMMJRN[],7,FALSE),"")</f>
        <v/>
      </c>
      <c r="U71" s="183" t="str">
        <f>IFERROR(VLOOKUP(TableHandbook[[#This Row],[UDC]],TableMCHRIGLO[],7,FALSE),"")</f>
        <v/>
      </c>
      <c r="V71" s="118" t="str">
        <f>IFERROR(VLOOKUP(TableHandbook[[#This Row],[UDC]],TableMCHRIGHT[],7,FALSE),"")</f>
        <v/>
      </c>
      <c r="W71" s="118" t="str">
        <f>IFERROR(VLOOKUP(TableHandbook[[#This Row],[UDC]],TableGDHRIGHT[],7,FALSE),"")</f>
        <v/>
      </c>
      <c r="X71" s="184" t="str">
        <f>IFERROR(VLOOKUP(TableHandbook[[#This Row],[UDC]],TableGCHRIGHT[],7,FALSE),"")</f>
        <v/>
      </c>
      <c r="Y71" s="183" t="str">
        <f>IFERROR(VLOOKUP(TableHandbook[[#This Row],[UDC]],TableMCGLOBL2[],7,FALSE),"")</f>
        <v/>
      </c>
      <c r="Z71" s="118" t="str">
        <f>IFERROR(VLOOKUP(TableHandbook[[#This Row],[UDC]],TableMCGLOBL[],7,FALSE),"")</f>
        <v/>
      </c>
      <c r="AA71" s="297" t="str">
        <f>IFERROR(VLOOKUP(TableHandbook[[#This Row],[UDC]],TableSTRPGLOBL[],7,FALSE),"")</f>
        <v/>
      </c>
      <c r="AB71" s="297" t="str">
        <f>IFERROR(VLOOKUP(TableHandbook[[#This Row],[UDC]],TableSTRPHRIGT[],7,FALSE),"")</f>
        <v/>
      </c>
      <c r="AC71" s="297" t="str">
        <f>IFERROR(VLOOKUP(TableHandbook[[#This Row],[UDC]],TableSTRPINTRN[],7,FALSE),"")</f>
        <v>AltCore</v>
      </c>
      <c r="AD71" s="184" t="str">
        <f>IFERROR(VLOOKUP(TableHandbook[[#This Row],[UDC]],TableGCGLOBL[],7,FALSE),"")</f>
        <v/>
      </c>
      <c r="AE71" s="183" t="str">
        <f>IFERROR(VLOOKUP(TableHandbook[[#This Row],[UDC]],TableMCNETSCM[],7,FALSE),"")</f>
        <v/>
      </c>
      <c r="AF71" s="118" t="str">
        <f>IFERROR(VLOOKUP(TableHandbook[[#This Row],[UDC]],TableGDNETSCM[],7,FALSE),"")</f>
        <v/>
      </c>
      <c r="AG71" s="184" t="str">
        <f>IFERROR(VLOOKUP(TableHandbook[[#This Row],[UDC]],TableGCNETSCM[],7,FALSE),"")</f>
        <v/>
      </c>
      <c r="AH71" s="183" t="str">
        <f>IFERROR(VLOOKUP(TableHandbook[[#This Row],[UDC]],TableMCINTRNS[],7,FALSE),"")</f>
        <v>AltCore</v>
      </c>
      <c r="AI71" s="118" t="str">
        <f>IFERROR(VLOOKUP(TableHandbook[[#This Row],[UDC]],TableGDINTRNS[],7,FALSE),"")</f>
        <v>AltCore</v>
      </c>
      <c r="AJ71" s="184" t="str">
        <f>IFERROR(VLOOKUP(TableHandbook[[#This Row],[UDC]],TableGCINTRNS[],7,FALSE),"")</f>
        <v>AltCore</v>
      </c>
    </row>
    <row r="72" spans="1:36" x14ac:dyDescent="0.25">
      <c r="A72" s="6" t="s">
        <v>273</v>
      </c>
      <c r="B72" s="7">
        <v>1</v>
      </c>
      <c r="C72" s="6"/>
      <c r="D72" s="6" t="s">
        <v>432</v>
      </c>
      <c r="E72" s="7">
        <v>25</v>
      </c>
      <c r="F72" s="186" t="s">
        <v>368</v>
      </c>
      <c r="G72" s="75" t="str">
        <f>IFERROR(IF(VLOOKUP(TableHandbook[[#This Row],[UDC]],TableAvailabilities[],2,FALSE)&gt;0,"Y",""),"")</f>
        <v/>
      </c>
      <c r="H72" s="116" t="str">
        <f>IFERROR(IF(VLOOKUP(TableHandbook[[#This Row],[UDC]],TableAvailabilities[],3,FALSE)&gt;0,"Y",""),"")</f>
        <v/>
      </c>
      <c r="I72" s="117" t="str">
        <f>IFERROR(IF(VLOOKUP(TableHandbook[[#This Row],[UDC]],TableAvailabilities[],4,FALSE)&gt;0,"Y",""),"")</f>
        <v/>
      </c>
      <c r="J72" s="76" t="str">
        <f>IFERROR(IF(VLOOKUP(TableHandbook[[#This Row],[UDC]],TableAvailabilities[],5,FALSE)&gt;0,"Y",""),"")</f>
        <v>Y</v>
      </c>
      <c r="K72" s="289"/>
      <c r="L72" s="183" t="str">
        <f>IFERROR(VLOOKUP(TableHandbook[[#This Row],[UDC]],TableMCARTS[],7,FALSE),"")</f>
        <v/>
      </c>
      <c r="M72" s="118" t="str">
        <f>IFERROR(VLOOKUP(TableHandbook[[#This Row],[UDC]],TableMJRPCWRIT[],7,FALSE),"")</f>
        <v/>
      </c>
      <c r="N72" s="118" t="str">
        <f>IFERROR(VLOOKUP(TableHandbook[[#This Row],[UDC]],TableMJRPFINAR[],7,FALSE),"")</f>
        <v/>
      </c>
      <c r="O72" s="118" t="str">
        <f>IFERROR(VLOOKUP(TableHandbook[[#This Row],[UDC]],TableMJRPPWRIT[],7,FALSE),"")</f>
        <v/>
      </c>
      <c r="P72" s="184" t="str">
        <f>IFERROR(VLOOKUP(TableHandbook[[#This Row],[UDC]],TableMJRPSCRAR[],7,FALSE),"")</f>
        <v/>
      </c>
      <c r="Q72" s="183" t="str">
        <f>IFERROR(VLOOKUP(TableHandbook[[#This Row],[UDC]],TableMCMMJRG[],7,FALSE),"")</f>
        <v>Option</v>
      </c>
      <c r="R72" s="118" t="str">
        <f>IFERROR(VLOOKUP(TableHandbook[[#This Row],[UDC]],TableMCMMJRN[],7,FALSE),"")</f>
        <v/>
      </c>
      <c r="S72" s="118" t="str">
        <f>IFERROR(VLOOKUP(TableHandbook[[#This Row],[UDC]],TableGDMMJRN[],7,FALSE),"")</f>
        <v/>
      </c>
      <c r="T72" s="184" t="str">
        <f>IFERROR(VLOOKUP(TableHandbook[[#This Row],[UDC]],TableGCMMJRN[],7,FALSE),"")</f>
        <v/>
      </c>
      <c r="U72" s="183" t="str">
        <f>IFERROR(VLOOKUP(TableHandbook[[#This Row],[UDC]],TableMCHRIGLO[],7,FALSE),"")</f>
        <v/>
      </c>
      <c r="V72" s="118" t="str">
        <f>IFERROR(VLOOKUP(TableHandbook[[#This Row],[UDC]],TableMCHRIGHT[],7,FALSE),"")</f>
        <v/>
      </c>
      <c r="W72" s="118" t="str">
        <f>IFERROR(VLOOKUP(TableHandbook[[#This Row],[UDC]],TableGDHRIGHT[],7,FALSE),"")</f>
        <v/>
      </c>
      <c r="X72" s="184" t="str">
        <f>IFERROR(VLOOKUP(TableHandbook[[#This Row],[UDC]],TableGCHRIGHT[],7,FALSE),"")</f>
        <v/>
      </c>
      <c r="Y72" s="183" t="str">
        <f>IFERROR(VLOOKUP(TableHandbook[[#This Row],[UDC]],TableMCGLOBL2[],7,FALSE),"")</f>
        <v/>
      </c>
      <c r="Z72" s="118" t="str">
        <f>IFERROR(VLOOKUP(TableHandbook[[#This Row],[UDC]],TableMCGLOBL[],7,FALSE),"")</f>
        <v/>
      </c>
      <c r="AA72" s="297" t="str">
        <f>IFERROR(VLOOKUP(TableHandbook[[#This Row],[UDC]],TableSTRPGLOBL[],7,FALSE),"")</f>
        <v/>
      </c>
      <c r="AB72" s="297" t="str">
        <f>IFERROR(VLOOKUP(TableHandbook[[#This Row],[UDC]],TableSTRPHRIGT[],7,FALSE),"")</f>
        <v/>
      </c>
      <c r="AC72" s="297" t="str">
        <f>IFERROR(VLOOKUP(TableHandbook[[#This Row],[UDC]],TableSTRPINTRN[],7,FALSE),"")</f>
        <v>Option</v>
      </c>
      <c r="AD72" s="184" t="str">
        <f>IFERROR(VLOOKUP(TableHandbook[[#This Row],[UDC]],TableGCGLOBL[],7,FALSE),"")</f>
        <v/>
      </c>
      <c r="AE72" s="183" t="str">
        <f>IFERROR(VLOOKUP(TableHandbook[[#This Row],[UDC]],TableMCNETSCM[],7,FALSE),"")</f>
        <v/>
      </c>
      <c r="AF72" s="118" t="str">
        <f>IFERROR(VLOOKUP(TableHandbook[[#This Row],[UDC]],TableGDNETSCM[],7,FALSE),"")</f>
        <v/>
      </c>
      <c r="AG72" s="184" t="str">
        <f>IFERROR(VLOOKUP(TableHandbook[[#This Row],[UDC]],TableGCNETSCM[],7,FALSE),"")</f>
        <v/>
      </c>
      <c r="AH72" s="183" t="str">
        <f>IFERROR(VLOOKUP(TableHandbook[[#This Row],[UDC]],TableMCINTRNS[],7,FALSE),"")</f>
        <v>Option</v>
      </c>
      <c r="AI72" s="118" t="str">
        <f>IFERROR(VLOOKUP(TableHandbook[[#This Row],[UDC]],TableGDINTRNS[],7,FALSE),"")</f>
        <v>Option</v>
      </c>
      <c r="AJ72" s="184" t="str">
        <f>IFERROR(VLOOKUP(TableHandbook[[#This Row],[UDC]],TableGCINTRNS[],7,FALSE),"")</f>
        <v>Option</v>
      </c>
    </row>
    <row r="73" spans="1:36" x14ac:dyDescent="0.25">
      <c r="A73" s="6" t="s">
        <v>313</v>
      </c>
      <c r="B73" s="7">
        <v>1</v>
      </c>
      <c r="C73" s="6"/>
      <c r="D73" s="6" t="s">
        <v>433</v>
      </c>
      <c r="E73" s="7">
        <v>25</v>
      </c>
      <c r="F73" s="186" t="s">
        <v>368</v>
      </c>
      <c r="G73" s="75" t="str">
        <f>IFERROR(IF(VLOOKUP(TableHandbook[[#This Row],[UDC]],TableAvailabilities[],2,FALSE)&gt;0,"Y",""),"")</f>
        <v/>
      </c>
      <c r="H73" s="116" t="str">
        <f>IFERROR(IF(VLOOKUP(TableHandbook[[#This Row],[UDC]],TableAvailabilities[],3,FALSE)&gt;0,"Y",""),"")</f>
        <v/>
      </c>
      <c r="I73" s="117" t="str">
        <f>IFERROR(IF(VLOOKUP(TableHandbook[[#This Row],[UDC]],TableAvailabilities[],4,FALSE)&gt;0,"Y",""),"")</f>
        <v>Y</v>
      </c>
      <c r="J73" s="76" t="str">
        <f>IFERROR(IF(VLOOKUP(TableHandbook[[#This Row],[UDC]],TableAvailabilities[],5,FALSE)&gt;0,"Y",""),"")</f>
        <v>Y</v>
      </c>
      <c r="K73" s="289"/>
      <c r="L73" s="183" t="str">
        <f>IFERROR(VLOOKUP(TableHandbook[[#This Row],[UDC]],TableMCARTS[],7,FALSE),"")</f>
        <v/>
      </c>
      <c r="M73" s="118" t="str">
        <f>IFERROR(VLOOKUP(TableHandbook[[#This Row],[UDC]],TableMJRPCWRIT[],7,FALSE),"")</f>
        <v/>
      </c>
      <c r="N73" s="118" t="str">
        <f>IFERROR(VLOOKUP(TableHandbook[[#This Row],[UDC]],TableMJRPFINAR[],7,FALSE),"")</f>
        <v/>
      </c>
      <c r="O73" s="118" t="str">
        <f>IFERROR(VLOOKUP(TableHandbook[[#This Row],[UDC]],TableMJRPPWRIT[],7,FALSE),"")</f>
        <v/>
      </c>
      <c r="P73" s="184" t="str">
        <f>IFERROR(VLOOKUP(TableHandbook[[#This Row],[UDC]],TableMJRPSCRAR[],7,FALSE),"")</f>
        <v/>
      </c>
      <c r="Q73" s="183" t="str">
        <f>IFERROR(VLOOKUP(TableHandbook[[#This Row],[UDC]],TableMCMMJRG[],7,FALSE),"")</f>
        <v/>
      </c>
      <c r="R73" s="118" t="str">
        <f>IFERROR(VLOOKUP(TableHandbook[[#This Row],[UDC]],TableMCMMJRN[],7,FALSE),"")</f>
        <v/>
      </c>
      <c r="S73" s="118" t="str">
        <f>IFERROR(VLOOKUP(TableHandbook[[#This Row],[UDC]],TableGDMMJRN[],7,FALSE),"")</f>
        <v/>
      </c>
      <c r="T73" s="184" t="str">
        <f>IFERROR(VLOOKUP(TableHandbook[[#This Row],[UDC]],TableGCMMJRN[],7,FALSE),"")</f>
        <v/>
      </c>
      <c r="U73" s="183" t="str">
        <f>IFERROR(VLOOKUP(TableHandbook[[#This Row],[UDC]],TableMCHRIGLO[],7,FALSE),"")</f>
        <v/>
      </c>
      <c r="V73" s="118" t="str">
        <f>IFERROR(VLOOKUP(TableHandbook[[#This Row],[UDC]],TableMCHRIGHT[],7,FALSE),"")</f>
        <v/>
      </c>
      <c r="W73" s="118" t="str">
        <f>IFERROR(VLOOKUP(TableHandbook[[#This Row],[UDC]],TableGDHRIGHT[],7,FALSE),"")</f>
        <v/>
      </c>
      <c r="X73" s="184" t="str">
        <f>IFERROR(VLOOKUP(TableHandbook[[#This Row],[UDC]],TableGCHRIGHT[],7,FALSE),"")</f>
        <v/>
      </c>
      <c r="Y73" s="183" t="str">
        <f>IFERROR(VLOOKUP(TableHandbook[[#This Row],[UDC]],TableMCGLOBL2[],7,FALSE),"")</f>
        <v/>
      </c>
      <c r="Z73" s="118" t="str">
        <f>IFERROR(VLOOKUP(TableHandbook[[#This Row],[UDC]],TableMCGLOBL[],7,FALSE),"")</f>
        <v/>
      </c>
      <c r="AA73" s="297" t="str">
        <f>IFERROR(VLOOKUP(TableHandbook[[#This Row],[UDC]],TableSTRPGLOBL[],7,FALSE),"")</f>
        <v/>
      </c>
      <c r="AB73" s="297" t="str">
        <f>IFERROR(VLOOKUP(TableHandbook[[#This Row],[UDC]],TableSTRPHRIGT[],7,FALSE),"")</f>
        <v/>
      </c>
      <c r="AC73" s="297" t="str">
        <f>IFERROR(VLOOKUP(TableHandbook[[#This Row],[UDC]],TableSTRPINTRN[],7,FALSE),"")</f>
        <v>Option</v>
      </c>
      <c r="AD73" s="184" t="str">
        <f>IFERROR(VLOOKUP(TableHandbook[[#This Row],[UDC]],TableGCGLOBL[],7,FALSE),"")</f>
        <v/>
      </c>
      <c r="AE73" s="183" t="str">
        <f>IFERROR(VLOOKUP(TableHandbook[[#This Row],[UDC]],TableMCNETSCM[],7,FALSE),"")</f>
        <v/>
      </c>
      <c r="AF73" s="118" t="str">
        <f>IFERROR(VLOOKUP(TableHandbook[[#This Row],[UDC]],TableGDNETSCM[],7,FALSE),"")</f>
        <v/>
      </c>
      <c r="AG73" s="184" t="str">
        <f>IFERROR(VLOOKUP(TableHandbook[[#This Row],[UDC]],TableGCNETSCM[],7,FALSE),"")</f>
        <v/>
      </c>
      <c r="AH73" s="183" t="str">
        <f>IFERROR(VLOOKUP(TableHandbook[[#This Row],[UDC]],TableMCINTRNS[],7,FALSE),"")</f>
        <v>Option</v>
      </c>
      <c r="AI73" s="118" t="str">
        <f>IFERROR(VLOOKUP(TableHandbook[[#This Row],[UDC]],TableGDINTRNS[],7,FALSE),"")</f>
        <v>Option</v>
      </c>
      <c r="AJ73" s="184" t="str">
        <f>IFERROR(VLOOKUP(TableHandbook[[#This Row],[UDC]],TableGCINTRNS[],7,FALSE),"")</f>
        <v>Option</v>
      </c>
    </row>
    <row r="74" spans="1:36" x14ac:dyDescent="0.25">
      <c r="A74" s="6" t="s">
        <v>314</v>
      </c>
      <c r="B74" s="7">
        <v>1</v>
      </c>
      <c r="C74" s="6"/>
      <c r="D74" s="6" t="s">
        <v>434</v>
      </c>
      <c r="E74" s="7">
        <v>25</v>
      </c>
      <c r="F74" s="186" t="s">
        <v>368</v>
      </c>
      <c r="G74" s="75" t="str">
        <f>IFERROR(IF(VLOOKUP(TableHandbook[[#This Row],[UDC]],TableAvailabilities[],2,FALSE)&gt;0,"Y",""),"")</f>
        <v>Y</v>
      </c>
      <c r="H74" s="116" t="str">
        <f>IFERROR(IF(VLOOKUP(TableHandbook[[#This Row],[UDC]],TableAvailabilities[],3,FALSE)&gt;0,"Y",""),"")</f>
        <v>Y</v>
      </c>
      <c r="I74" s="117" t="str">
        <f>IFERROR(IF(VLOOKUP(TableHandbook[[#This Row],[UDC]],TableAvailabilities[],4,FALSE)&gt;0,"Y",""),"")</f>
        <v/>
      </c>
      <c r="J74" s="76" t="str">
        <f>IFERROR(IF(VLOOKUP(TableHandbook[[#This Row],[UDC]],TableAvailabilities[],5,FALSE)&gt;0,"Y",""),"")</f>
        <v/>
      </c>
      <c r="K74" s="289"/>
      <c r="L74" s="183" t="str">
        <f>IFERROR(VLOOKUP(TableHandbook[[#This Row],[UDC]],TableMCARTS[],7,FALSE),"")</f>
        <v/>
      </c>
      <c r="M74" s="118" t="str">
        <f>IFERROR(VLOOKUP(TableHandbook[[#This Row],[UDC]],TableMJRPCWRIT[],7,FALSE),"")</f>
        <v/>
      </c>
      <c r="N74" s="118" t="str">
        <f>IFERROR(VLOOKUP(TableHandbook[[#This Row],[UDC]],TableMJRPFINAR[],7,FALSE),"")</f>
        <v/>
      </c>
      <c r="O74" s="118" t="str">
        <f>IFERROR(VLOOKUP(TableHandbook[[#This Row],[UDC]],TableMJRPPWRIT[],7,FALSE),"")</f>
        <v/>
      </c>
      <c r="P74" s="184" t="str">
        <f>IFERROR(VLOOKUP(TableHandbook[[#This Row],[UDC]],TableMJRPSCRAR[],7,FALSE),"")</f>
        <v/>
      </c>
      <c r="Q74" s="183" t="str">
        <f>IFERROR(VLOOKUP(TableHandbook[[#This Row],[UDC]],TableMCMMJRG[],7,FALSE),"")</f>
        <v/>
      </c>
      <c r="R74" s="118" t="str">
        <f>IFERROR(VLOOKUP(TableHandbook[[#This Row],[UDC]],TableMCMMJRN[],7,FALSE),"")</f>
        <v/>
      </c>
      <c r="S74" s="118" t="str">
        <f>IFERROR(VLOOKUP(TableHandbook[[#This Row],[UDC]],TableGDMMJRN[],7,FALSE),"")</f>
        <v/>
      </c>
      <c r="T74" s="184" t="str">
        <f>IFERROR(VLOOKUP(TableHandbook[[#This Row],[UDC]],TableGCMMJRN[],7,FALSE),"")</f>
        <v/>
      </c>
      <c r="U74" s="183" t="str">
        <f>IFERROR(VLOOKUP(TableHandbook[[#This Row],[UDC]],TableMCHRIGLO[],7,FALSE),"")</f>
        <v/>
      </c>
      <c r="V74" s="118" t="str">
        <f>IFERROR(VLOOKUP(TableHandbook[[#This Row],[UDC]],TableMCHRIGHT[],7,FALSE),"")</f>
        <v/>
      </c>
      <c r="W74" s="118" t="str">
        <f>IFERROR(VLOOKUP(TableHandbook[[#This Row],[UDC]],TableGDHRIGHT[],7,FALSE),"")</f>
        <v/>
      </c>
      <c r="X74" s="184" t="str">
        <f>IFERROR(VLOOKUP(TableHandbook[[#This Row],[UDC]],TableGCHRIGHT[],7,FALSE),"")</f>
        <v/>
      </c>
      <c r="Y74" s="183" t="str">
        <f>IFERROR(VLOOKUP(TableHandbook[[#This Row],[UDC]],TableMCGLOBL2[],7,FALSE),"")</f>
        <v/>
      </c>
      <c r="Z74" s="118" t="str">
        <f>IFERROR(VLOOKUP(TableHandbook[[#This Row],[UDC]],TableMCGLOBL[],7,FALSE),"")</f>
        <v/>
      </c>
      <c r="AA74" s="297" t="str">
        <f>IFERROR(VLOOKUP(TableHandbook[[#This Row],[UDC]],TableSTRPGLOBL[],7,FALSE),"")</f>
        <v/>
      </c>
      <c r="AB74" s="297" t="str">
        <f>IFERROR(VLOOKUP(TableHandbook[[#This Row],[UDC]],TableSTRPHRIGT[],7,FALSE),"")</f>
        <v/>
      </c>
      <c r="AC74" s="297" t="str">
        <f>IFERROR(VLOOKUP(TableHandbook[[#This Row],[UDC]],TableSTRPINTRN[],7,FALSE),"")</f>
        <v>Option</v>
      </c>
      <c r="AD74" s="184" t="str">
        <f>IFERROR(VLOOKUP(TableHandbook[[#This Row],[UDC]],TableGCGLOBL[],7,FALSE),"")</f>
        <v/>
      </c>
      <c r="AE74" s="183" t="str">
        <f>IFERROR(VLOOKUP(TableHandbook[[#This Row],[UDC]],TableMCNETSCM[],7,FALSE),"")</f>
        <v/>
      </c>
      <c r="AF74" s="118" t="str">
        <f>IFERROR(VLOOKUP(TableHandbook[[#This Row],[UDC]],TableGDNETSCM[],7,FALSE),"")</f>
        <v/>
      </c>
      <c r="AG74" s="184" t="str">
        <f>IFERROR(VLOOKUP(TableHandbook[[#This Row],[UDC]],TableGCNETSCM[],7,FALSE),"")</f>
        <v/>
      </c>
      <c r="AH74" s="183" t="str">
        <f>IFERROR(VLOOKUP(TableHandbook[[#This Row],[UDC]],TableMCINTRNS[],7,FALSE),"")</f>
        <v>Option</v>
      </c>
      <c r="AI74" s="118" t="str">
        <f>IFERROR(VLOOKUP(TableHandbook[[#This Row],[UDC]],TableGDINTRNS[],7,FALSE),"")</f>
        <v>Option</v>
      </c>
      <c r="AJ74" s="184" t="str">
        <f>IFERROR(VLOOKUP(TableHandbook[[#This Row],[UDC]],TableGCINTRNS[],7,FALSE),"")</f>
        <v>Option</v>
      </c>
    </row>
    <row r="75" spans="1:36" x14ac:dyDescent="0.25">
      <c r="A75" s="6" t="s">
        <v>315</v>
      </c>
      <c r="B75" s="7">
        <v>1</v>
      </c>
      <c r="C75" s="6"/>
      <c r="D75" s="6" t="s">
        <v>435</v>
      </c>
      <c r="E75" s="7">
        <v>25</v>
      </c>
      <c r="F75" s="186" t="s">
        <v>368</v>
      </c>
      <c r="G75" s="75" t="str">
        <f>IFERROR(IF(VLOOKUP(TableHandbook[[#This Row],[UDC]],TableAvailabilities[],2,FALSE)&gt;0,"Y",""),"")</f>
        <v>Y</v>
      </c>
      <c r="H75" s="116" t="str">
        <f>IFERROR(IF(VLOOKUP(TableHandbook[[#This Row],[UDC]],TableAvailabilities[],3,FALSE)&gt;0,"Y",""),"")</f>
        <v>Y</v>
      </c>
      <c r="I75" s="117" t="str">
        <f>IFERROR(IF(VLOOKUP(TableHandbook[[#This Row],[UDC]],TableAvailabilities[],4,FALSE)&gt;0,"Y",""),"")</f>
        <v/>
      </c>
      <c r="J75" s="76" t="str">
        <f>IFERROR(IF(VLOOKUP(TableHandbook[[#This Row],[UDC]],TableAvailabilities[],5,FALSE)&gt;0,"Y",""),"")</f>
        <v/>
      </c>
      <c r="K75" s="289"/>
      <c r="L75" s="183" t="str">
        <f>IFERROR(VLOOKUP(TableHandbook[[#This Row],[UDC]],TableMCARTS[],7,FALSE),"")</f>
        <v/>
      </c>
      <c r="M75" s="118" t="str">
        <f>IFERROR(VLOOKUP(TableHandbook[[#This Row],[UDC]],TableMJRPCWRIT[],7,FALSE),"")</f>
        <v/>
      </c>
      <c r="N75" s="118" t="str">
        <f>IFERROR(VLOOKUP(TableHandbook[[#This Row],[UDC]],TableMJRPFINAR[],7,FALSE),"")</f>
        <v/>
      </c>
      <c r="O75" s="118" t="str">
        <f>IFERROR(VLOOKUP(TableHandbook[[#This Row],[UDC]],TableMJRPPWRIT[],7,FALSE),"")</f>
        <v/>
      </c>
      <c r="P75" s="184" t="str">
        <f>IFERROR(VLOOKUP(TableHandbook[[#This Row],[UDC]],TableMJRPSCRAR[],7,FALSE),"")</f>
        <v/>
      </c>
      <c r="Q75" s="183" t="str">
        <f>IFERROR(VLOOKUP(TableHandbook[[#This Row],[UDC]],TableMCMMJRG[],7,FALSE),"")</f>
        <v/>
      </c>
      <c r="R75" s="118" t="str">
        <f>IFERROR(VLOOKUP(TableHandbook[[#This Row],[UDC]],TableMCMMJRN[],7,FALSE),"")</f>
        <v/>
      </c>
      <c r="S75" s="118" t="str">
        <f>IFERROR(VLOOKUP(TableHandbook[[#This Row],[UDC]],TableGDMMJRN[],7,FALSE),"")</f>
        <v/>
      </c>
      <c r="T75" s="184" t="str">
        <f>IFERROR(VLOOKUP(TableHandbook[[#This Row],[UDC]],TableGCMMJRN[],7,FALSE),"")</f>
        <v/>
      </c>
      <c r="U75" s="183" t="str">
        <f>IFERROR(VLOOKUP(TableHandbook[[#This Row],[UDC]],TableMCHRIGLO[],7,FALSE),"")</f>
        <v/>
      </c>
      <c r="V75" s="118" t="str">
        <f>IFERROR(VLOOKUP(TableHandbook[[#This Row],[UDC]],TableMCHRIGHT[],7,FALSE),"")</f>
        <v/>
      </c>
      <c r="W75" s="118" t="str">
        <f>IFERROR(VLOOKUP(TableHandbook[[#This Row],[UDC]],TableGDHRIGHT[],7,FALSE),"")</f>
        <v/>
      </c>
      <c r="X75" s="184" t="str">
        <f>IFERROR(VLOOKUP(TableHandbook[[#This Row],[UDC]],TableGCHRIGHT[],7,FALSE),"")</f>
        <v/>
      </c>
      <c r="Y75" s="183" t="str">
        <f>IFERROR(VLOOKUP(TableHandbook[[#This Row],[UDC]],TableMCGLOBL2[],7,FALSE),"")</f>
        <v/>
      </c>
      <c r="Z75" s="118" t="str">
        <f>IFERROR(VLOOKUP(TableHandbook[[#This Row],[UDC]],TableMCGLOBL[],7,FALSE),"")</f>
        <v/>
      </c>
      <c r="AA75" s="297" t="str">
        <f>IFERROR(VLOOKUP(TableHandbook[[#This Row],[UDC]],TableSTRPGLOBL[],7,FALSE),"")</f>
        <v/>
      </c>
      <c r="AB75" s="297" t="str">
        <f>IFERROR(VLOOKUP(TableHandbook[[#This Row],[UDC]],TableSTRPHRIGT[],7,FALSE),"")</f>
        <v/>
      </c>
      <c r="AC75" s="297" t="str">
        <f>IFERROR(VLOOKUP(TableHandbook[[#This Row],[UDC]],TableSTRPINTRN[],7,FALSE),"")</f>
        <v>Option</v>
      </c>
      <c r="AD75" s="184" t="str">
        <f>IFERROR(VLOOKUP(TableHandbook[[#This Row],[UDC]],TableGCGLOBL[],7,FALSE),"")</f>
        <v/>
      </c>
      <c r="AE75" s="183" t="str">
        <f>IFERROR(VLOOKUP(TableHandbook[[#This Row],[UDC]],TableMCNETSCM[],7,FALSE),"")</f>
        <v/>
      </c>
      <c r="AF75" s="118" t="str">
        <f>IFERROR(VLOOKUP(TableHandbook[[#This Row],[UDC]],TableGDNETSCM[],7,FALSE),"")</f>
        <v/>
      </c>
      <c r="AG75" s="184" t="str">
        <f>IFERROR(VLOOKUP(TableHandbook[[#This Row],[UDC]],TableGCNETSCM[],7,FALSE),"")</f>
        <v/>
      </c>
      <c r="AH75" s="183" t="str">
        <f>IFERROR(VLOOKUP(TableHandbook[[#This Row],[UDC]],TableMCINTRNS[],7,FALSE),"")</f>
        <v>Option</v>
      </c>
      <c r="AI75" s="118" t="str">
        <f>IFERROR(VLOOKUP(TableHandbook[[#This Row],[UDC]],TableGDINTRNS[],7,FALSE),"")</f>
        <v>Option</v>
      </c>
      <c r="AJ75" s="184" t="str">
        <f>IFERROR(VLOOKUP(TableHandbook[[#This Row],[UDC]],TableGCINTRNS[],7,FALSE),"")</f>
        <v>Option</v>
      </c>
    </row>
    <row r="76" spans="1:36" x14ac:dyDescent="0.25">
      <c r="A76" s="6" t="s">
        <v>275</v>
      </c>
      <c r="B76" s="7">
        <v>1</v>
      </c>
      <c r="C76" s="6"/>
      <c r="D76" s="6" t="s">
        <v>436</v>
      </c>
      <c r="E76" s="7">
        <v>25</v>
      </c>
      <c r="F76" s="186" t="s">
        <v>368</v>
      </c>
      <c r="G76" s="75" t="str">
        <f>IFERROR(IF(VLOOKUP(TableHandbook[[#This Row],[UDC]],TableAvailabilities[],2,FALSE)&gt;0,"Y",""),"")</f>
        <v/>
      </c>
      <c r="H76" s="116" t="str">
        <f>IFERROR(IF(VLOOKUP(TableHandbook[[#This Row],[UDC]],TableAvailabilities[],3,FALSE)&gt;0,"Y",""),"")</f>
        <v/>
      </c>
      <c r="I76" s="117" t="str">
        <f>IFERROR(IF(VLOOKUP(TableHandbook[[#This Row],[UDC]],TableAvailabilities[],4,FALSE)&gt;0,"Y",""),"")</f>
        <v>Y</v>
      </c>
      <c r="J76" s="76" t="str">
        <f>IFERROR(IF(VLOOKUP(TableHandbook[[#This Row],[UDC]],TableAvailabilities[],5,FALSE)&gt;0,"Y",""),"")</f>
        <v>Y</v>
      </c>
      <c r="K76" s="289"/>
      <c r="L76" s="183" t="str">
        <f>IFERROR(VLOOKUP(TableHandbook[[#This Row],[UDC]],TableMCARTS[],7,FALSE),"")</f>
        <v/>
      </c>
      <c r="M76" s="118" t="str">
        <f>IFERROR(VLOOKUP(TableHandbook[[#This Row],[UDC]],TableMJRPCWRIT[],7,FALSE),"")</f>
        <v/>
      </c>
      <c r="N76" s="118" t="str">
        <f>IFERROR(VLOOKUP(TableHandbook[[#This Row],[UDC]],TableMJRPFINAR[],7,FALSE),"")</f>
        <v/>
      </c>
      <c r="O76" s="118" t="str">
        <f>IFERROR(VLOOKUP(TableHandbook[[#This Row],[UDC]],TableMJRPPWRIT[],7,FALSE),"")</f>
        <v/>
      </c>
      <c r="P76" s="184" t="str">
        <f>IFERROR(VLOOKUP(TableHandbook[[#This Row],[UDC]],TableMJRPSCRAR[],7,FALSE),"")</f>
        <v/>
      </c>
      <c r="Q76" s="183" t="str">
        <f>IFERROR(VLOOKUP(TableHandbook[[#This Row],[UDC]],TableMCMMJRG[],7,FALSE),"")</f>
        <v>Option</v>
      </c>
      <c r="R76" s="118" t="str">
        <f>IFERROR(VLOOKUP(TableHandbook[[#This Row],[UDC]],TableMCMMJRN[],7,FALSE),"")</f>
        <v/>
      </c>
      <c r="S76" s="118" t="str">
        <f>IFERROR(VLOOKUP(TableHandbook[[#This Row],[UDC]],TableGDMMJRN[],7,FALSE),"")</f>
        <v/>
      </c>
      <c r="T76" s="184" t="str">
        <f>IFERROR(VLOOKUP(TableHandbook[[#This Row],[UDC]],TableGCMMJRN[],7,FALSE),"")</f>
        <v/>
      </c>
      <c r="U76" s="183" t="str">
        <f>IFERROR(VLOOKUP(TableHandbook[[#This Row],[UDC]],TableMCHRIGLO[],7,FALSE),"")</f>
        <v/>
      </c>
      <c r="V76" s="118" t="str">
        <f>IFERROR(VLOOKUP(TableHandbook[[#This Row],[UDC]],TableMCHRIGHT[],7,FALSE),"")</f>
        <v/>
      </c>
      <c r="W76" s="118" t="str">
        <f>IFERROR(VLOOKUP(TableHandbook[[#This Row],[UDC]],TableGDHRIGHT[],7,FALSE),"")</f>
        <v/>
      </c>
      <c r="X76" s="184" t="str">
        <f>IFERROR(VLOOKUP(TableHandbook[[#This Row],[UDC]],TableGCHRIGHT[],7,FALSE),"")</f>
        <v/>
      </c>
      <c r="Y76" s="183" t="str">
        <f>IFERROR(VLOOKUP(TableHandbook[[#This Row],[UDC]],TableMCGLOBL2[],7,FALSE),"")</f>
        <v/>
      </c>
      <c r="Z76" s="118" t="str">
        <f>IFERROR(VLOOKUP(TableHandbook[[#This Row],[UDC]],TableMCGLOBL[],7,FALSE),"")</f>
        <v/>
      </c>
      <c r="AA76" s="297" t="str">
        <f>IFERROR(VLOOKUP(TableHandbook[[#This Row],[UDC]],TableSTRPGLOBL[],7,FALSE),"")</f>
        <v/>
      </c>
      <c r="AB76" s="297" t="str">
        <f>IFERROR(VLOOKUP(TableHandbook[[#This Row],[UDC]],TableSTRPHRIGT[],7,FALSE),"")</f>
        <v/>
      </c>
      <c r="AC76" s="297" t="str">
        <f>IFERROR(VLOOKUP(TableHandbook[[#This Row],[UDC]],TableSTRPINTRN[],7,FALSE),"")</f>
        <v>Option</v>
      </c>
      <c r="AD76" s="184" t="str">
        <f>IFERROR(VLOOKUP(TableHandbook[[#This Row],[UDC]],TableGCGLOBL[],7,FALSE),"")</f>
        <v/>
      </c>
      <c r="AE76" s="183" t="str">
        <f>IFERROR(VLOOKUP(TableHandbook[[#This Row],[UDC]],TableMCNETSCM[],7,FALSE),"")</f>
        <v/>
      </c>
      <c r="AF76" s="118" t="str">
        <f>IFERROR(VLOOKUP(TableHandbook[[#This Row],[UDC]],TableGDNETSCM[],7,FALSE),"")</f>
        <v/>
      </c>
      <c r="AG76" s="184" t="str">
        <f>IFERROR(VLOOKUP(TableHandbook[[#This Row],[UDC]],TableGCNETSCM[],7,FALSE),"")</f>
        <v/>
      </c>
      <c r="AH76" s="183" t="str">
        <f>IFERROR(VLOOKUP(TableHandbook[[#This Row],[UDC]],TableMCINTRNS[],7,FALSE),"")</f>
        <v>Option</v>
      </c>
      <c r="AI76" s="118" t="str">
        <f>IFERROR(VLOOKUP(TableHandbook[[#This Row],[UDC]],TableGDINTRNS[],7,FALSE),"")</f>
        <v>Option</v>
      </c>
      <c r="AJ76" s="184" t="str">
        <f>IFERROR(VLOOKUP(TableHandbook[[#This Row],[UDC]],TableGCINTRNS[],7,FALSE),"")</f>
        <v>Option</v>
      </c>
    </row>
    <row r="77" spans="1:36" x14ac:dyDescent="0.25">
      <c r="A77" s="6" t="s">
        <v>317</v>
      </c>
      <c r="B77" s="7">
        <v>2</v>
      </c>
      <c r="C77" s="6"/>
      <c r="D77" s="6" t="s">
        <v>437</v>
      </c>
      <c r="E77" s="7">
        <v>25</v>
      </c>
      <c r="F77" s="186" t="s">
        <v>368</v>
      </c>
      <c r="G77" s="75" t="str">
        <f>IFERROR(IF(VLOOKUP(TableHandbook[[#This Row],[UDC]],TableAvailabilities[],2,FALSE)&gt;0,"Y",""),"")</f>
        <v>Y</v>
      </c>
      <c r="H77" s="116" t="str">
        <f>IFERROR(IF(VLOOKUP(TableHandbook[[#This Row],[UDC]],TableAvailabilities[],3,FALSE)&gt;0,"Y",""),"")</f>
        <v>Y</v>
      </c>
      <c r="I77" s="117" t="str">
        <f>IFERROR(IF(VLOOKUP(TableHandbook[[#This Row],[UDC]],TableAvailabilities[],4,FALSE)&gt;0,"Y",""),"")</f>
        <v/>
      </c>
      <c r="J77" s="76" t="str">
        <f>IFERROR(IF(VLOOKUP(TableHandbook[[#This Row],[UDC]],TableAvailabilities[],5,FALSE)&gt;0,"Y",""),"")</f>
        <v/>
      </c>
      <c r="K77" s="289"/>
      <c r="L77" s="183" t="str">
        <f>IFERROR(VLOOKUP(TableHandbook[[#This Row],[UDC]],TableMCARTS[],7,FALSE),"")</f>
        <v/>
      </c>
      <c r="M77" s="118" t="str">
        <f>IFERROR(VLOOKUP(TableHandbook[[#This Row],[UDC]],TableMJRPCWRIT[],7,FALSE),"")</f>
        <v/>
      </c>
      <c r="N77" s="118" t="str">
        <f>IFERROR(VLOOKUP(TableHandbook[[#This Row],[UDC]],TableMJRPFINAR[],7,FALSE),"")</f>
        <v/>
      </c>
      <c r="O77" s="118" t="str">
        <f>IFERROR(VLOOKUP(TableHandbook[[#This Row],[UDC]],TableMJRPPWRIT[],7,FALSE),"")</f>
        <v/>
      </c>
      <c r="P77" s="184" t="str">
        <f>IFERROR(VLOOKUP(TableHandbook[[#This Row],[UDC]],TableMJRPSCRAR[],7,FALSE),"")</f>
        <v/>
      </c>
      <c r="Q77" s="183" t="str">
        <f>IFERROR(VLOOKUP(TableHandbook[[#This Row],[UDC]],TableMCMMJRG[],7,FALSE),"")</f>
        <v/>
      </c>
      <c r="R77" s="118" t="str">
        <f>IFERROR(VLOOKUP(TableHandbook[[#This Row],[UDC]],TableMCMMJRN[],7,FALSE),"")</f>
        <v/>
      </c>
      <c r="S77" s="118" t="str">
        <f>IFERROR(VLOOKUP(TableHandbook[[#This Row],[UDC]],TableGDMMJRN[],7,FALSE),"")</f>
        <v/>
      </c>
      <c r="T77" s="184" t="str">
        <f>IFERROR(VLOOKUP(TableHandbook[[#This Row],[UDC]],TableGCMMJRN[],7,FALSE),"")</f>
        <v/>
      </c>
      <c r="U77" s="183" t="str">
        <f>IFERROR(VLOOKUP(TableHandbook[[#This Row],[UDC]],TableMCHRIGLO[],7,FALSE),"")</f>
        <v/>
      </c>
      <c r="V77" s="118" t="str">
        <f>IFERROR(VLOOKUP(TableHandbook[[#This Row],[UDC]],TableMCHRIGHT[],7,FALSE),"")</f>
        <v/>
      </c>
      <c r="W77" s="118" t="str">
        <f>IFERROR(VLOOKUP(TableHandbook[[#This Row],[UDC]],TableGDHRIGHT[],7,FALSE),"")</f>
        <v/>
      </c>
      <c r="X77" s="184" t="str">
        <f>IFERROR(VLOOKUP(TableHandbook[[#This Row],[UDC]],TableGCHRIGHT[],7,FALSE),"")</f>
        <v/>
      </c>
      <c r="Y77" s="183" t="str">
        <f>IFERROR(VLOOKUP(TableHandbook[[#This Row],[UDC]],TableMCGLOBL2[],7,FALSE),"")</f>
        <v/>
      </c>
      <c r="Z77" s="118" t="str">
        <f>IFERROR(VLOOKUP(TableHandbook[[#This Row],[UDC]],TableMCGLOBL[],7,FALSE),"")</f>
        <v/>
      </c>
      <c r="AA77" s="297" t="str">
        <f>IFERROR(VLOOKUP(TableHandbook[[#This Row],[UDC]],TableSTRPGLOBL[],7,FALSE),"")</f>
        <v/>
      </c>
      <c r="AB77" s="297" t="str">
        <f>IFERROR(VLOOKUP(TableHandbook[[#This Row],[UDC]],TableSTRPHRIGT[],7,FALSE),"")</f>
        <v/>
      </c>
      <c r="AC77" s="297" t="str">
        <f>IFERROR(VLOOKUP(TableHandbook[[#This Row],[UDC]],TableSTRPINTRN[],7,FALSE),"")</f>
        <v>Option</v>
      </c>
      <c r="AD77" s="184" t="str">
        <f>IFERROR(VLOOKUP(TableHandbook[[#This Row],[UDC]],TableGCGLOBL[],7,FALSE),"")</f>
        <v/>
      </c>
      <c r="AE77" s="183" t="str">
        <f>IFERROR(VLOOKUP(TableHandbook[[#This Row],[UDC]],TableMCNETSCM[],7,FALSE),"")</f>
        <v/>
      </c>
      <c r="AF77" s="118" t="str">
        <f>IFERROR(VLOOKUP(TableHandbook[[#This Row],[UDC]],TableGDNETSCM[],7,FALSE),"")</f>
        <v/>
      </c>
      <c r="AG77" s="184" t="str">
        <f>IFERROR(VLOOKUP(TableHandbook[[#This Row],[UDC]],TableGCNETSCM[],7,FALSE),"")</f>
        <v/>
      </c>
      <c r="AH77" s="183" t="str">
        <f>IFERROR(VLOOKUP(TableHandbook[[#This Row],[UDC]],TableMCINTRNS[],7,FALSE),"")</f>
        <v>Option</v>
      </c>
      <c r="AI77" s="118" t="str">
        <f>IFERROR(VLOOKUP(TableHandbook[[#This Row],[UDC]],TableGDINTRNS[],7,FALSE),"")</f>
        <v>Option</v>
      </c>
      <c r="AJ77" s="184" t="str">
        <f>IFERROR(VLOOKUP(TableHandbook[[#This Row],[UDC]],TableGCINTRNS[],7,FALSE),"")</f>
        <v>Option</v>
      </c>
    </row>
    <row r="78" spans="1:36" x14ac:dyDescent="0.25">
      <c r="A78" s="6" t="s">
        <v>318</v>
      </c>
      <c r="B78" s="7">
        <v>1</v>
      </c>
      <c r="C78" s="6"/>
      <c r="D78" s="6" t="s">
        <v>438</v>
      </c>
      <c r="E78" s="7">
        <v>25</v>
      </c>
      <c r="F78" s="186" t="s">
        <v>368</v>
      </c>
      <c r="G78" s="75" t="str">
        <f>IFERROR(IF(VLOOKUP(TableHandbook[[#This Row],[UDC]],TableAvailabilities[],2,FALSE)&gt;0,"Y",""),"")</f>
        <v>Y</v>
      </c>
      <c r="H78" s="116" t="str">
        <f>IFERROR(IF(VLOOKUP(TableHandbook[[#This Row],[UDC]],TableAvailabilities[],3,FALSE)&gt;0,"Y",""),"")</f>
        <v>Y</v>
      </c>
      <c r="I78" s="117" t="str">
        <f>IFERROR(IF(VLOOKUP(TableHandbook[[#This Row],[UDC]],TableAvailabilities[],4,FALSE)&gt;0,"Y",""),"")</f>
        <v/>
      </c>
      <c r="J78" s="76" t="str">
        <f>IFERROR(IF(VLOOKUP(TableHandbook[[#This Row],[UDC]],TableAvailabilities[],5,FALSE)&gt;0,"Y",""),"")</f>
        <v/>
      </c>
      <c r="K78" s="289"/>
      <c r="L78" s="183" t="str">
        <f>IFERROR(VLOOKUP(TableHandbook[[#This Row],[UDC]],TableMCARTS[],7,FALSE),"")</f>
        <v/>
      </c>
      <c r="M78" s="118" t="str">
        <f>IFERROR(VLOOKUP(TableHandbook[[#This Row],[UDC]],TableMJRPCWRIT[],7,FALSE),"")</f>
        <v/>
      </c>
      <c r="N78" s="118" t="str">
        <f>IFERROR(VLOOKUP(TableHandbook[[#This Row],[UDC]],TableMJRPFINAR[],7,FALSE),"")</f>
        <v/>
      </c>
      <c r="O78" s="118" t="str">
        <f>IFERROR(VLOOKUP(TableHandbook[[#This Row],[UDC]],TableMJRPPWRIT[],7,FALSE),"")</f>
        <v/>
      </c>
      <c r="P78" s="184" t="str">
        <f>IFERROR(VLOOKUP(TableHandbook[[#This Row],[UDC]],TableMJRPSCRAR[],7,FALSE),"")</f>
        <v/>
      </c>
      <c r="Q78" s="183" t="str">
        <f>IFERROR(VLOOKUP(TableHandbook[[#This Row],[UDC]],TableMCMMJRG[],7,FALSE),"")</f>
        <v/>
      </c>
      <c r="R78" s="118" t="str">
        <f>IFERROR(VLOOKUP(TableHandbook[[#This Row],[UDC]],TableMCMMJRN[],7,FALSE),"")</f>
        <v/>
      </c>
      <c r="S78" s="118" t="str">
        <f>IFERROR(VLOOKUP(TableHandbook[[#This Row],[UDC]],TableGDMMJRN[],7,FALSE),"")</f>
        <v/>
      </c>
      <c r="T78" s="184" t="str">
        <f>IFERROR(VLOOKUP(TableHandbook[[#This Row],[UDC]],TableGCMMJRN[],7,FALSE),"")</f>
        <v/>
      </c>
      <c r="U78" s="183" t="str">
        <f>IFERROR(VLOOKUP(TableHandbook[[#This Row],[UDC]],TableMCHRIGLO[],7,FALSE),"")</f>
        <v/>
      </c>
      <c r="V78" s="118" t="str">
        <f>IFERROR(VLOOKUP(TableHandbook[[#This Row],[UDC]],TableMCHRIGHT[],7,FALSE),"")</f>
        <v/>
      </c>
      <c r="W78" s="118" t="str">
        <f>IFERROR(VLOOKUP(TableHandbook[[#This Row],[UDC]],TableGDHRIGHT[],7,FALSE),"")</f>
        <v/>
      </c>
      <c r="X78" s="184" t="str">
        <f>IFERROR(VLOOKUP(TableHandbook[[#This Row],[UDC]],TableGCHRIGHT[],7,FALSE),"")</f>
        <v/>
      </c>
      <c r="Y78" s="183" t="str">
        <f>IFERROR(VLOOKUP(TableHandbook[[#This Row],[UDC]],TableMCGLOBL2[],7,FALSE),"")</f>
        <v/>
      </c>
      <c r="Z78" s="118" t="str">
        <f>IFERROR(VLOOKUP(TableHandbook[[#This Row],[UDC]],TableMCGLOBL[],7,FALSE),"")</f>
        <v/>
      </c>
      <c r="AA78" s="297" t="str">
        <f>IFERROR(VLOOKUP(TableHandbook[[#This Row],[UDC]],TableSTRPGLOBL[],7,FALSE),"")</f>
        <v/>
      </c>
      <c r="AB78" s="297" t="str">
        <f>IFERROR(VLOOKUP(TableHandbook[[#This Row],[UDC]],TableSTRPHRIGT[],7,FALSE),"")</f>
        <v/>
      </c>
      <c r="AC78" s="297" t="str">
        <f>IFERROR(VLOOKUP(TableHandbook[[#This Row],[UDC]],TableSTRPINTRN[],7,FALSE),"")</f>
        <v>Option</v>
      </c>
      <c r="AD78" s="184" t="str">
        <f>IFERROR(VLOOKUP(TableHandbook[[#This Row],[UDC]],TableGCGLOBL[],7,FALSE),"")</f>
        <v/>
      </c>
      <c r="AE78" s="183" t="str">
        <f>IFERROR(VLOOKUP(TableHandbook[[#This Row],[UDC]],TableMCNETSCM[],7,FALSE),"")</f>
        <v/>
      </c>
      <c r="AF78" s="118" t="str">
        <f>IFERROR(VLOOKUP(TableHandbook[[#This Row],[UDC]],TableGDNETSCM[],7,FALSE),"")</f>
        <v/>
      </c>
      <c r="AG78" s="184" t="str">
        <f>IFERROR(VLOOKUP(TableHandbook[[#This Row],[UDC]],TableGCNETSCM[],7,FALSE),"")</f>
        <v/>
      </c>
      <c r="AH78" s="183" t="str">
        <f>IFERROR(VLOOKUP(TableHandbook[[#This Row],[UDC]],TableMCINTRNS[],7,FALSE),"")</f>
        <v>Option</v>
      </c>
      <c r="AI78" s="118" t="str">
        <f>IFERROR(VLOOKUP(TableHandbook[[#This Row],[UDC]],TableGDINTRNS[],7,FALSE),"")</f>
        <v>Option</v>
      </c>
      <c r="AJ78" s="184" t="str">
        <f>IFERROR(VLOOKUP(TableHandbook[[#This Row],[UDC]],TableGCINTRNS[],7,FALSE),"")</f>
        <v>Option</v>
      </c>
    </row>
    <row r="79" spans="1:36" x14ac:dyDescent="0.25">
      <c r="A79" s="6" t="s">
        <v>439</v>
      </c>
      <c r="B79" s="7">
        <v>1</v>
      </c>
      <c r="C79" s="6"/>
      <c r="D79" s="6" t="s">
        <v>440</v>
      </c>
      <c r="E79" s="7">
        <v>50</v>
      </c>
      <c r="F79" s="186" t="s">
        <v>441</v>
      </c>
      <c r="G79" s="75" t="str">
        <f>IFERROR(IF(VLOOKUP(TableHandbook[[#This Row],[UDC]],TableAvailabilities[],2,FALSE)&gt;0,"Y",""),"")</f>
        <v/>
      </c>
      <c r="H79" s="116" t="str">
        <f>IFERROR(IF(VLOOKUP(TableHandbook[[#This Row],[UDC]],TableAvailabilities[],3,FALSE)&gt;0,"Y",""),"")</f>
        <v/>
      </c>
      <c r="I79" s="117" t="str">
        <f>IFERROR(IF(VLOOKUP(TableHandbook[[#This Row],[UDC]],TableAvailabilities[],4,FALSE)&gt;0,"Y",""),"")</f>
        <v/>
      </c>
      <c r="J79" s="76" t="str">
        <f>IFERROR(IF(VLOOKUP(TableHandbook[[#This Row],[UDC]],TableAvailabilities[],5,FALSE)&gt;0,"Y",""),"")</f>
        <v/>
      </c>
      <c r="K79" s="289" t="s">
        <v>420</v>
      </c>
      <c r="L79" s="183" t="str">
        <f>IFERROR(VLOOKUP(TableHandbook[[#This Row],[UDC]],TableMCARTS[],7,FALSE),"")</f>
        <v/>
      </c>
      <c r="M79" s="118" t="str">
        <f>IFERROR(VLOOKUP(TableHandbook[[#This Row],[UDC]],TableMJRPCWRIT[],7,FALSE),"")</f>
        <v/>
      </c>
      <c r="N79" s="118" t="str">
        <f>IFERROR(VLOOKUP(TableHandbook[[#This Row],[UDC]],TableMJRPFINAR[],7,FALSE),"")</f>
        <v/>
      </c>
      <c r="O79" s="118" t="str">
        <f>IFERROR(VLOOKUP(TableHandbook[[#This Row],[UDC]],TableMJRPPWRIT[],7,FALSE),"")</f>
        <v/>
      </c>
      <c r="P79" s="184" t="str">
        <f>IFERROR(VLOOKUP(TableHandbook[[#This Row],[UDC]],TableMJRPSCRAR[],7,FALSE),"")</f>
        <v/>
      </c>
      <c r="Q79" s="183" t="str">
        <f>IFERROR(VLOOKUP(TableHandbook[[#This Row],[UDC]],TableMCMMJRG[],7,FALSE),"")</f>
        <v/>
      </c>
      <c r="R79" s="118" t="str">
        <f>IFERROR(VLOOKUP(TableHandbook[[#This Row],[UDC]],TableMCMMJRN[],7,FALSE),"")</f>
        <v/>
      </c>
      <c r="S79" s="118" t="str">
        <f>IFERROR(VLOOKUP(TableHandbook[[#This Row],[UDC]],TableGDMMJRN[],7,FALSE),"")</f>
        <v/>
      </c>
      <c r="T79" s="184" t="str">
        <f>IFERROR(VLOOKUP(TableHandbook[[#This Row],[UDC]],TableGCMMJRN[],7,FALSE),"")</f>
        <v/>
      </c>
      <c r="U79" s="183" t="str">
        <f>IFERROR(VLOOKUP(TableHandbook[[#This Row],[UDC]],TableMCHRIGLO[],7,FALSE),"")</f>
        <v/>
      </c>
      <c r="V79" s="118" t="str">
        <f>IFERROR(VLOOKUP(TableHandbook[[#This Row],[UDC]],TableMCHRIGHT[],7,FALSE),"")</f>
        <v/>
      </c>
      <c r="W79" s="118" t="str">
        <f>IFERROR(VLOOKUP(TableHandbook[[#This Row],[UDC]],TableGDHRIGHT[],7,FALSE),"")</f>
        <v/>
      </c>
      <c r="X79" s="184" t="str">
        <f>IFERROR(VLOOKUP(TableHandbook[[#This Row],[UDC]],TableGCHRIGHT[],7,FALSE),"")</f>
        <v/>
      </c>
      <c r="Y79" s="183" t="str">
        <f>IFERROR(VLOOKUP(TableHandbook[[#This Row],[UDC]],TableMCGLOBL2[],7,FALSE),"")</f>
        <v/>
      </c>
      <c r="Z79" s="118" t="str">
        <f>IFERROR(VLOOKUP(TableHandbook[[#This Row],[UDC]],TableMCGLOBL[],7,FALSE),"")</f>
        <v/>
      </c>
      <c r="AA79" s="297" t="str">
        <f>IFERROR(VLOOKUP(TableHandbook[[#This Row],[UDC]],TableSTRPGLOBL[],7,FALSE),"")</f>
        <v/>
      </c>
      <c r="AB79" s="297" t="str">
        <f>IFERROR(VLOOKUP(TableHandbook[[#This Row],[UDC]],TableSTRPHRIGT[],7,FALSE),"")</f>
        <v/>
      </c>
      <c r="AC79" s="297" t="str">
        <f>IFERROR(VLOOKUP(TableHandbook[[#This Row],[UDC]],TableSTRPINTRN[],7,FALSE),"")</f>
        <v/>
      </c>
      <c r="AD79" s="184" t="str">
        <f>IFERROR(VLOOKUP(TableHandbook[[#This Row],[UDC]],TableGCGLOBL[],7,FALSE),"")</f>
        <v/>
      </c>
      <c r="AE79" s="183" t="str">
        <f>IFERROR(VLOOKUP(TableHandbook[[#This Row],[UDC]],TableMCNETSCM[],7,FALSE),"")</f>
        <v/>
      </c>
      <c r="AF79" s="118" t="str">
        <f>IFERROR(VLOOKUP(TableHandbook[[#This Row],[UDC]],TableGDNETSCM[],7,FALSE),"")</f>
        <v/>
      </c>
      <c r="AG79" s="184" t="str">
        <f>IFERROR(VLOOKUP(TableHandbook[[#This Row],[UDC]],TableGCNETSCM[],7,FALSE),"")</f>
        <v/>
      </c>
      <c r="AH79" s="183" t="str">
        <f>IFERROR(VLOOKUP(TableHandbook[[#This Row],[UDC]],TableMCINTRNS[],7,FALSE),"")</f>
        <v/>
      </c>
      <c r="AI79" s="118" t="str">
        <f>IFERROR(VLOOKUP(TableHandbook[[#This Row],[UDC]],TableGDINTRNS[],7,FALSE),"")</f>
        <v/>
      </c>
      <c r="AJ79" s="184" t="str">
        <f>IFERROR(VLOOKUP(TableHandbook[[#This Row],[UDC]],TableGCINTRNS[],7,FALSE),"")</f>
        <v/>
      </c>
    </row>
    <row r="80" spans="1:36" x14ac:dyDescent="0.25">
      <c r="A80" s="6" t="s">
        <v>442</v>
      </c>
      <c r="B80" s="7">
        <v>1</v>
      </c>
      <c r="C80" s="6"/>
      <c r="D80" s="6" t="s">
        <v>443</v>
      </c>
      <c r="E80" s="7">
        <v>50</v>
      </c>
      <c r="F80" s="186" t="s">
        <v>444</v>
      </c>
      <c r="G80" s="75" t="str">
        <f>IFERROR(IF(VLOOKUP(TableHandbook[[#This Row],[UDC]],TableAvailabilities[],2,FALSE)&gt;0,"Y",""),"")</f>
        <v/>
      </c>
      <c r="H80" s="116" t="str">
        <f>IFERROR(IF(VLOOKUP(TableHandbook[[#This Row],[UDC]],TableAvailabilities[],3,FALSE)&gt;0,"Y",""),"")</f>
        <v/>
      </c>
      <c r="I80" s="117" t="str">
        <f>IFERROR(IF(VLOOKUP(TableHandbook[[#This Row],[UDC]],TableAvailabilities[],4,FALSE)&gt;0,"Y",""),"")</f>
        <v/>
      </c>
      <c r="J80" s="76" t="str">
        <f>IFERROR(IF(VLOOKUP(TableHandbook[[#This Row],[UDC]],TableAvailabilities[],5,FALSE)&gt;0,"Y",""),"")</f>
        <v/>
      </c>
      <c r="K80" s="289" t="s">
        <v>420</v>
      </c>
      <c r="L80" s="183" t="str">
        <f>IFERROR(VLOOKUP(TableHandbook[[#This Row],[UDC]],TableMCARTS[],7,FALSE),"")</f>
        <v/>
      </c>
      <c r="M80" s="118" t="str">
        <f>IFERROR(VLOOKUP(TableHandbook[[#This Row],[UDC]],TableMJRPCWRIT[],7,FALSE),"")</f>
        <v/>
      </c>
      <c r="N80" s="118" t="str">
        <f>IFERROR(VLOOKUP(TableHandbook[[#This Row],[UDC]],TableMJRPFINAR[],7,FALSE),"")</f>
        <v/>
      </c>
      <c r="O80" s="118" t="str">
        <f>IFERROR(VLOOKUP(TableHandbook[[#This Row],[UDC]],TableMJRPPWRIT[],7,FALSE),"")</f>
        <v/>
      </c>
      <c r="P80" s="184" t="str">
        <f>IFERROR(VLOOKUP(TableHandbook[[#This Row],[UDC]],TableMJRPSCRAR[],7,FALSE),"")</f>
        <v/>
      </c>
      <c r="Q80" s="183" t="str">
        <f>IFERROR(VLOOKUP(TableHandbook[[#This Row],[UDC]],TableMCMMJRG[],7,FALSE),"")</f>
        <v/>
      </c>
      <c r="R80" s="118" t="str">
        <f>IFERROR(VLOOKUP(TableHandbook[[#This Row],[UDC]],TableMCMMJRN[],7,FALSE),"")</f>
        <v/>
      </c>
      <c r="S80" s="118" t="str">
        <f>IFERROR(VLOOKUP(TableHandbook[[#This Row],[UDC]],TableGDMMJRN[],7,FALSE),"")</f>
        <v/>
      </c>
      <c r="T80" s="184" t="str">
        <f>IFERROR(VLOOKUP(TableHandbook[[#This Row],[UDC]],TableGCMMJRN[],7,FALSE),"")</f>
        <v/>
      </c>
      <c r="U80" s="183" t="str">
        <f>IFERROR(VLOOKUP(TableHandbook[[#This Row],[UDC]],TableMCHRIGLO[],7,FALSE),"")</f>
        <v/>
      </c>
      <c r="V80" s="118" t="str">
        <f>IFERROR(VLOOKUP(TableHandbook[[#This Row],[UDC]],TableMCHRIGHT[],7,FALSE),"")</f>
        <v/>
      </c>
      <c r="W80" s="118" t="str">
        <f>IFERROR(VLOOKUP(TableHandbook[[#This Row],[UDC]],TableGDHRIGHT[],7,FALSE),"")</f>
        <v/>
      </c>
      <c r="X80" s="184" t="str">
        <f>IFERROR(VLOOKUP(TableHandbook[[#This Row],[UDC]],TableGCHRIGHT[],7,FALSE),"")</f>
        <v/>
      </c>
      <c r="Y80" s="183" t="str">
        <f>IFERROR(VLOOKUP(TableHandbook[[#This Row],[UDC]],TableMCGLOBL2[],7,FALSE),"")</f>
        <v/>
      </c>
      <c r="Z80" s="118" t="str">
        <f>IFERROR(VLOOKUP(TableHandbook[[#This Row],[UDC]],TableMCGLOBL[],7,FALSE),"")</f>
        <v/>
      </c>
      <c r="AA80" s="297" t="str">
        <f>IFERROR(VLOOKUP(TableHandbook[[#This Row],[UDC]],TableSTRPGLOBL[],7,FALSE),"")</f>
        <v/>
      </c>
      <c r="AB80" s="297" t="str">
        <f>IFERROR(VLOOKUP(TableHandbook[[#This Row],[UDC]],TableSTRPHRIGT[],7,FALSE),"")</f>
        <v/>
      </c>
      <c r="AC80" s="297" t="str">
        <f>IFERROR(VLOOKUP(TableHandbook[[#This Row],[UDC]],TableSTRPINTRN[],7,FALSE),"")</f>
        <v/>
      </c>
      <c r="AD80" s="184" t="str">
        <f>IFERROR(VLOOKUP(TableHandbook[[#This Row],[UDC]],TableGCGLOBL[],7,FALSE),"")</f>
        <v/>
      </c>
      <c r="AE80" s="183" t="str">
        <f>IFERROR(VLOOKUP(TableHandbook[[#This Row],[UDC]],TableMCNETSCM[],7,FALSE),"")</f>
        <v/>
      </c>
      <c r="AF80" s="118" t="str">
        <f>IFERROR(VLOOKUP(TableHandbook[[#This Row],[UDC]],TableGDNETSCM[],7,FALSE),"")</f>
        <v/>
      </c>
      <c r="AG80" s="184" t="str">
        <f>IFERROR(VLOOKUP(TableHandbook[[#This Row],[UDC]],TableGCNETSCM[],7,FALSE),"")</f>
        <v/>
      </c>
      <c r="AH80" s="183" t="str">
        <f>IFERROR(VLOOKUP(TableHandbook[[#This Row],[UDC]],TableMCINTRNS[],7,FALSE),"")</f>
        <v/>
      </c>
      <c r="AI80" s="118" t="str">
        <f>IFERROR(VLOOKUP(TableHandbook[[#This Row],[UDC]],TableGDINTRNS[],7,FALSE),"")</f>
        <v/>
      </c>
      <c r="AJ80" s="184" t="str">
        <f>IFERROR(VLOOKUP(TableHandbook[[#This Row],[UDC]],TableGCINTRNS[],7,FALSE),"")</f>
        <v/>
      </c>
    </row>
    <row r="81" spans="1:36" x14ac:dyDescent="0.25">
      <c r="A81" s="6" t="s">
        <v>189</v>
      </c>
      <c r="B81" s="7">
        <v>1</v>
      </c>
      <c r="C81" s="6"/>
      <c r="D81" s="6" t="s">
        <v>445</v>
      </c>
      <c r="E81" s="7">
        <v>25</v>
      </c>
      <c r="F81" s="186" t="s">
        <v>368</v>
      </c>
      <c r="G81" s="75" t="str">
        <f>IFERROR(IF(VLOOKUP(TableHandbook[[#This Row],[UDC]],TableAvailabilities[],2,FALSE)&gt;0,"Y",""),"")</f>
        <v>Y</v>
      </c>
      <c r="H81" s="116" t="str">
        <f>IFERROR(IF(VLOOKUP(TableHandbook[[#This Row],[UDC]],TableAvailabilities[],3,FALSE)&gt;0,"Y",""),"")</f>
        <v>Y</v>
      </c>
      <c r="I81" s="117" t="str">
        <f>IFERROR(IF(VLOOKUP(TableHandbook[[#This Row],[UDC]],TableAvailabilities[],4,FALSE)&gt;0,"Y",""),"")</f>
        <v>Y</v>
      </c>
      <c r="J81" s="76" t="str">
        <f>IFERROR(IF(VLOOKUP(TableHandbook[[#This Row],[UDC]],TableAvailabilities[],5,FALSE)&gt;0,"Y",""),"")</f>
        <v>Y</v>
      </c>
      <c r="K81" s="289"/>
      <c r="L81" s="183" t="str">
        <f>IFERROR(VLOOKUP(TableHandbook[[#This Row],[UDC]],TableMCARTS[],7,FALSE),"")</f>
        <v/>
      </c>
      <c r="M81" s="118" t="str">
        <f>IFERROR(VLOOKUP(TableHandbook[[#This Row],[UDC]],TableMJRPCWRIT[],7,FALSE),"")</f>
        <v/>
      </c>
      <c r="N81" s="118" t="str">
        <f>IFERROR(VLOOKUP(TableHandbook[[#This Row],[UDC]],TableMJRPFINAR[],7,FALSE),"")</f>
        <v>Option</v>
      </c>
      <c r="O81" s="118" t="str">
        <f>IFERROR(VLOOKUP(TableHandbook[[#This Row],[UDC]],TableMJRPPWRIT[],7,FALSE),"")</f>
        <v>Option</v>
      </c>
      <c r="P81" s="184" t="str">
        <f>IFERROR(VLOOKUP(TableHandbook[[#This Row],[UDC]],TableMJRPSCRAR[],7,FALSE),"")</f>
        <v>Option</v>
      </c>
      <c r="Q81" s="183" t="str">
        <f>IFERROR(VLOOKUP(TableHandbook[[#This Row],[UDC]],TableMCMMJRG[],7,FALSE),"")</f>
        <v/>
      </c>
      <c r="R81" s="118" t="str">
        <f>IFERROR(VLOOKUP(TableHandbook[[#This Row],[UDC]],TableMCMMJRN[],7,FALSE),"")</f>
        <v/>
      </c>
      <c r="S81" s="118" t="str">
        <f>IFERROR(VLOOKUP(TableHandbook[[#This Row],[UDC]],TableGDMMJRN[],7,FALSE),"")</f>
        <v/>
      </c>
      <c r="T81" s="184" t="str">
        <f>IFERROR(VLOOKUP(TableHandbook[[#This Row],[UDC]],TableGCMMJRN[],7,FALSE),"")</f>
        <v/>
      </c>
      <c r="U81" s="183" t="str">
        <f>IFERROR(VLOOKUP(TableHandbook[[#This Row],[UDC]],TableMCHRIGLO[],7,FALSE),"")</f>
        <v/>
      </c>
      <c r="V81" s="118" t="str">
        <f>IFERROR(VLOOKUP(TableHandbook[[#This Row],[UDC]],TableMCHRIGHT[],7,FALSE),"")</f>
        <v/>
      </c>
      <c r="W81" s="118" t="str">
        <f>IFERROR(VLOOKUP(TableHandbook[[#This Row],[UDC]],TableGDHRIGHT[],7,FALSE),"")</f>
        <v/>
      </c>
      <c r="X81" s="184" t="str">
        <f>IFERROR(VLOOKUP(TableHandbook[[#This Row],[UDC]],TableGCHRIGHT[],7,FALSE),"")</f>
        <v/>
      </c>
      <c r="Y81" s="183" t="str">
        <f>IFERROR(VLOOKUP(TableHandbook[[#This Row],[UDC]],TableMCGLOBL2[],7,FALSE),"")</f>
        <v/>
      </c>
      <c r="Z81" s="118" t="str">
        <f>IFERROR(VLOOKUP(TableHandbook[[#This Row],[UDC]],TableMCGLOBL[],7,FALSE),"")</f>
        <v/>
      </c>
      <c r="AA81" s="297" t="str">
        <f>IFERROR(VLOOKUP(TableHandbook[[#This Row],[UDC]],TableSTRPGLOBL[],7,FALSE),"")</f>
        <v/>
      </c>
      <c r="AB81" s="297" t="str">
        <f>IFERROR(VLOOKUP(TableHandbook[[#This Row],[UDC]],TableSTRPHRIGT[],7,FALSE),"")</f>
        <v/>
      </c>
      <c r="AC81" s="297" t="str">
        <f>IFERROR(VLOOKUP(TableHandbook[[#This Row],[UDC]],TableSTRPINTRN[],7,FALSE),"")</f>
        <v/>
      </c>
      <c r="AD81" s="184" t="str">
        <f>IFERROR(VLOOKUP(TableHandbook[[#This Row],[UDC]],TableGCGLOBL[],7,FALSE),"")</f>
        <v/>
      </c>
      <c r="AE81" s="183" t="str">
        <f>IFERROR(VLOOKUP(TableHandbook[[#This Row],[UDC]],TableMCNETSCM[],7,FALSE),"")</f>
        <v/>
      </c>
      <c r="AF81" s="118" t="str">
        <f>IFERROR(VLOOKUP(TableHandbook[[#This Row],[UDC]],TableGDNETSCM[],7,FALSE),"")</f>
        <v/>
      </c>
      <c r="AG81" s="184" t="str">
        <f>IFERROR(VLOOKUP(TableHandbook[[#This Row],[UDC]],TableGCNETSCM[],7,FALSE),"")</f>
        <v/>
      </c>
      <c r="AH81" s="183" t="str">
        <f>IFERROR(VLOOKUP(TableHandbook[[#This Row],[UDC]],TableMCINTRNS[],7,FALSE),"")</f>
        <v/>
      </c>
      <c r="AI81" s="118" t="str">
        <f>IFERROR(VLOOKUP(TableHandbook[[#This Row],[UDC]],TableGDINTRNS[],7,FALSE),"")</f>
        <v/>
      </c>
      <c r="AJ81" s="184" t="str">
        <f>IFERROR(VLOOKUP(TableHandbook[[#This Row],[UDC]],TableGCINTRNS[],7,FALSE),"")</f>
        <v/>
      </c>
    </row>
    <row r="82" spans="1:36" x14ac:dyDescent="0.25">
      <c r="A82" s="6" t="s">
        <v>259</v>
      </c>
      <c r="B82" s="7">
        <v>3</v>
      </c>
      <c r="C82" s="6"/>
      <c r="D82" s="6" t="s">
        <v>446</v>
      </c>
      <c r="E82" s="7">
        <v>25</v>
      </c>
      <c r="F82" s="186" t="s">
        <v>368</v>
      </c>
      <c r="G82" s="75" t="str">
        <f>IFERROR(IF(VLOOKUP(TableHandbook[[#This Row],[UDC]],TableAvailabilities[],2,FALSE)&gt;0,"Y",""),"")</f>
        <v/>
      </c>
      <c r="H82" s="116" t="str">
        <f>IFERROR(IF(VLOOKUP(TableHandbook[[#This Row],[UDC]],TableAvailabilities[],3,FALSE)&gt;0,"Y",""),"")</f>
        <v/>
      </c>
      <c r="I82" s="117" t="str">
        <f>IFERROR(IF(VLOOKUP(TableHandbook[[#This Row],[UDC]],TableAvailabilities[],4,FALSE)&gt;0,"Y",""),"")</f>
        <v>Y</v>
      </c>
      <c r="J82" s="76" t="str">
        <f>IFERROR(IF(VLOOKUP(TableHandbook[[#This Row],[UDC]],TableAvailabilities[],5,FALSE)&gt;0,"Y",""),"")</f>
        <v/>
      </c>
      <c r="K82" s="289" t="s">
        <v>371</v>
      </c>
      <c r="L82" s="183" t="str">
        <f>IFERROR(VLOOKUP(TableHandbook[[#This Row],[UDC]],TableMCARTS[],7,FALSE),"")</f>
        <v/>
      </c>
      <c r="M82" s="118" t="str">
        <f>IFERROR(VLOOKUP(TableHandbook[[#This Row],[UDC]],TableMJRPCWRIT[],7,FALSE),"")</f>
        <v/>
      </c>
      <c r="N82" s="118" t="str">
        <f>IFERROR(VLOOKUP(TableHandbook[[#This Row],[UDC]],TableMJRPFINAR[],7,FALSE),"")</f>
        <v/>
      </c>
      <c r="O82" s="118" t="str">
        <f>IFERROR(VLOOKUP(TableHandbook[[#This Row],[UDC]],TableMJRPPWRIT[],7,FALSE),"")</f>
        <v/>
      </c>
      <c r="P82" s="184" t="str">
        <f>IFERROR(VLOOKUP(TableHandbook[[#This Row],[UDC]],TableMJRPSCRAR[],7,FALSE),"")</f>
        <v/>
      </c>
      <c r="Q82" s="183" t="str">
        <f>IFERROR(VLOOKUP(TableHandbook[[#This Row],[UDC]],TableMCMMJRG[],7,FALSE),"")</f>
        <v>Core</v>
      </c>
      <c r="R82" s="118" t="str">
        <f>IFERROR(VLOOKUP(TableHandbook[[#This Row],[UDC]],TableMCMMJRN[],7,FALSE),"")</f>
        <v>Core</v>
      </c>
      <c r="S82" s="118" t="str">
        <f>IFERROR(VLOOKUP(TableHandbook[[#This Row],[UDC]],TableGDMMJRN[],7,FALSE),"")</f>
        <v>Core</v>
      </c>
      <c r="T82" s="184" t="str">
        <f>IFERROR(VLOOKUP(TableHandbook[[#This Row],[UDC]],TableGCMMJRN[],7,FALSE),"")</f>
        <v/>
      </c>
      <c r="U82" s="183" t="str">
        <f>IFERROR(VLOOKUP(TableHandbook[[#This Row],[UDC]],TableMCHRIGLO[],7,FALSE),"")</f>
        <v/>
      </c>
      <c r="V82" s="118" t="str">
        <f>IFERROR(VLOOKUP(TableHandbook[[#This Row],[UDC]],TableMCHRIGHT[],7,FALSE),"")</f>
        <v/>
      </c>
      <c r="W82" s="118" t="str">
        <f>IFERROR(VLOOKUP(TableHandbook[[#This Row],[UDC]],TableGDHRIGHT[],7,FALSE),"")</f>
        <v/>
      </c>
      <c r="X82" s="184" t="str">
        <f>IFERROR(VLOOKUP(TableHandbook[[#This Row],[UDC]],TableGCHRIGHT[],7,FALSE),"")</f>
        <v/>
      </c>
      <c r="Y82" s="183" t="str">
        <f>IFERROR(VLOOKUP(TableHandbook[[#This Row],[UDC]],TableMCGLOBL2[],7,FALSE),"")</f>
        <v/>
      </c>
      <c r="Z82" s="118" t="str">
        <f>IFERROR(VLOOKUP(TableHandbook[[#This Row],[UDC]],TableMCGLOBL[],7,FALSE),"")</f>
        <v/>
      </c>
      <c r="AA82" s="297" t="str">
        <f>IFERROR(VLOOKUP(TableHandbook[[#This Row],[UDC]],TableSTRPGLOBL[],7,FALSE),"")</f>
        <v/>
      </c>
      <c r="AB82" s="297" t="str">
        <f>IFERROR(VLOOKUP(TableHandbook[[#This Row],[UDC]],TableSTRPHRIGT[],7,FALSE),"")</f>
        <v/>
      </c>
      <c r="AC82" s="297" t="str">
        <f>IFERROR(VLOOKUP(TableHandbook[[#This Row],[UDC]],TableSTRPINTRN[],7,FALSE),"")</f>
        <v/>
      </c>
      <c r="AD82" s="184" t="str">
        <f>IFERROR(VLOOKUP(TableHandbook[[#This Row],[UDC]],TableGCGLOBL[],7,FALSE),"")</f>
        <v/>
      </c>
      <c r="AE82" s="183" t="str">
        <f>IFERROR(VLOOKUP(TableHandbook[[#This Row],[UDC]],TableMCNETSCM[],7,FALSE),"")</f>
        <v/>
      </c>
      <c r="AF82" s="118" t="str">
        <f>IFERROR(VLOOKUP(TableHandbook[[#This Row],[UDC]],TableGDNETSCM[],7,FALSE),"")</f>
        <v/>
      </c>
      <c r="AG82" s="184" t="str">
        <f>IFERROR(VLOOKUP(TableHandbook[[#This Row],[UDC]],TableGCNETSCM[],7,FALSE),"")</f>
        <v/>
      </c>
      <c r="AH82" s="183" t="str">
        <f>IFERROR(VLOOKUP(TableHandbook[[#This Row],[UDC]],TableMCINTRNS[],7,FALSE),"")</f>
        <v/>
      </c>
      <c r="AI82" s="118" t="str">
        <f>IFERROR(VLOOKUP(TableHandbook[[#This Row],[UDC]],TableGDINTRNS[],7,FALSE),"")</f>
        <v/>
      </c>
      <c r="AJ82" s="184" t="str">
        <f>IFERROR(VLOOKUP(TableHandbook[[#This Row],[UDC]],TableGCINTRNS[],7,FALSE),"")</f>
        <v/>
      </c>
    </row>
    <row r="83" spans="1:36" x14ac:dyDescent="0.25">
      <c r="A83" s="6" t="s">
        <v>447</v>
      </c>
      <c r="B83" s="7">
        <v>2</v>
      </c>
      <c r="C83" s="6"/>
      <c r="D83" s="6" t="s">
        <v>448</v>
      </c>
      <c r="E83" s="7">
        <v>25</v>
      </c>
      <c r="F83" s="186" t="s">
        <v>368</v>
      </c>
      <c r="G83" s="75" t="str">
        <f>IFERROR(IF(VLOOKUP(TableHandbook[[#This Row],[UDC]],TableAvailabilities[],2,FALSE)&gt;0,"Y",""),"")</f>
        <v/>
      </c>
      <c r="H83" s="116" t="str">
        <f>IFERROR(IF(VLOOKUP(TableHandbook[[#This Row],[UDC]],TableAvailabilities[],3,FALSE)&gt;0,"Y",""),"")</f>
        <v/>
      </c>
      <c r="I83" s="117" t="str">
        <f>IFERROR(IF(VLOOKUP(TableHandbook[[#This Row],[UDC]],TableAvailabilities[],4,FALSE)&gt;0,"Y",""),"")</f>
        <v/>
      </c>
      <c r="J83" s="76" t="str">
        <f>IFERROR(IF(VLOOKUP(TableHandbook[[#This Row],[UDC]],TableAvailabilities[],5,FALSE)&gt;0,"Y",""),"")</f>
        <v/>
      </c>
      <c r="K83" s="289" t="s">
        <v>375</v>
      </c>
      <c r="L83" s="183" t="str">
        <f>IFERROR(VLOOKUP(TableHandbook[[#This Row],[UDC]],TableMCARTS[],7,FALSE),"")</f>
        <v/>
      </c>
      <c r="M83" s="118" t="str">
        <f>IFERROR(VLOOKUP(TableHandbook[[#This Row],[UDC]],TableMJRPCWRIT[],7,FALSE),"")</f>
        <v/>
      </c>
      <c r="N83" s="118" t="str">
        <f>IFERROR(VLOOKUP(TableHandbook[[#This Row],[UDC]],TableMJRPFINAR[],7,FALSE),"")</f>
        <v/>
      </c>
      <c r="O83" s="118" t="str">
        <f>IFERROR(VLOOKUP(TableHandbook[[#This Row],[UDC]],TableMJRPPWRIT[],7,FALSE),"")</f>
        <v/>
      </c>
      <c r="P83" s="184" t="str">
        <f>IFERROR(VLOOKUP(TableHandbook[[#This Row],[UDC]],TableMJRPSCRAR[],7,FALSE),"")</f>
        <v/>
      </c>
      <c r="Q83" s="183" t="str">
        <f>IFERROR(VLOOKUP(TableHandbook[[#This Row],[UDC]],TableMCMMJRG[],7,FALSE),"")</f>
        <v/>
      </c>
      <c r="R83" s="118" t="str">
        <f>IFERROR(VLOOKUP(TableHandbook[[#This Row],[UDC]],TableMCMMJRN[],7,FALSE),"")</f>
        <v/>
      </c>
      <c r="S83" s="118" t="str">
        <f>IFERROR(VLOOKUP(TableHandbook[[#This Row],[UDC]],TableGDMMJRN[],7,FALSE),"")</f>
        <v/>
      </c>
      <c r="T83" s="184" t="str">
        <f>IFERROR(VLOOKUP(TableHandbook[[#This Row],[UDC]],TableGCMMJRN[],7,FALSE),"")</f>
        <v/>
      </c>
      <c r="U83" s="183" t="str">
        <f>IFERROR(VLOOKUP(TableHandbook[[#This Row],[UDC]],TableMCHRIGLO[],7,FALSE),"")</f>
        <v/>
      </c>
      <c r="V83" s="118" t="str">
        <f>IFERROR(VLOOKUP(TableHandbook[[#This Row],[UDC]],TableMCHRIGHT[],7,FALSE),"")</f>
        <v/>
      </c>
      <c r="W83" s="118" t="str">
        <f>IFERROR(VLOOKUP(TableHandbook[[#This Row],[UDC]],TableGDHRIGHT[],7,FALSE),"")</f>
        <v/>
      </c>
      <c r="X83" s="184" t="str">
        <f>IFERROR(VLOOKUP(TableHandbook[[#This Row],[UDC]],TableGCHRIGHT[],7,FALSE),"")</f>
        <v/>
      </c>
      <c r="Y83" s="183" t="str">
        <f>IFERROR(VLOOKUP(TableHandbook[[#This Row],[UDC]],TableMCGLOBL2[],7,FALSE),"")</f>
        <v/>
      </c>
      <c r="Z83" s="118" t="str">
        <f>IFERROR(VLOOKUP(TableHandbook[[#This Row],[UDC]],TableMCGLOBL[],7,FALSE),"")</f>
        <v/>
      </c>
      <c r="AA83" s="297" t="str">
        <f>IFERROR(VLOOKUP(TableHandbook[[#This Row],[UDC]],TableSTRPGLOBL[],7,FALSE),"")</f>
        <v/>
      </c>
      <c r="AB83" s="297" t="str">
        <f>IFERROR(VLOOKUP(TableHandbook[[#This Row],[UDC]],TableSTRPHRIGT[],7,FALSE),"")</f>
        <v/>
      </c>
      <c r="AC83" s="297" t="str">
        <f>IFERROR(VLOOKUP(TableHandbook[[#This Row],[UDC]],TableSTRPINTRN[],7,FALSE),"")</f>
        <v/>
      </c>
      <c r="AD83" s="184" t="str">
        <f>IFERROR(VLOOKUP(TableHandbook[[#This Row],[UDC]],TableGCGLOBL[],7,FALSE),"")</f>
        <v/>
      </c>
      <c r="AE83" s="183" t="str">
        <f>IFERROR(VLOOKUP(TableHandbook[[#This Row],[UDC]],TableMCNETSCM[],7,FALSE),"")</f>
        <v/>
      </c>
      <c r="AF83" s="118" t="str">
        <f>IFERROR(VLOOKUP(TableHandbook[[#This Row],[UDC]],TableGDNETSCM[],7,FALSE),"")</f>
        <v/>
      </c>
      <c r="AG83" s="184" t="str">
        <f>IFERROR(VLOOKUP(TableHandbook[[#This Row],[UDC]],TableGCNETSCM[],7,FALSE),"")</f>
        <v/>
      </c>
      <c r="AH83" s="183" t="str">
        <f>IFERROR(VLOOKUP(TableHandbook[[#This Row],[UDC]],TableMCINTRNS[],7,FALSE),"")</f>
        <v/>
      </c>
      <c r="AI83" s="118" t="str">
        <f>IFERROR(VLOOKUP(TableHandbook[[#This Row],[UDC]],TableGDINTRNS[],7,FALSE),"")</f>
        <v/>
      </c>
      <c r="AJ83" s="184" t="str">
        <f>IFERROR(VLOOKUP(TableHandbook[[#This Row],[UDC]],TableGCINTRNS[],7,FALSE),"")</f>
        <v/>
      </c>
    </row>
    <row r="84" spans="1:36" x14ac:dyDescent="0.25">
      <c r="A84" s="6" t="s">
        <v>258</v>
      </c>
      <c r="B84" s="7">
        <v>3</v>
      </c>
      <c r="C84" s="6"/>
      <c r="D84" s="6" t="s">
        <v>449</v>
      </c>
      <c r="E84" s="7">
        <v>25</v>
      </c>
      <c r="F84" s="186" t="s">
        <v>368</v>
      </c>
      <c r="G84" s="75" t="str">
        <f>IFERROR(IF(VLOOKUP(TableHandbook[[#This Row],[UDC]],TableAvailabilities[],2,FALSE)&gt;0,"Y",""),"")</f>
        <v>Y</v>
      </c>
      <c r="H84" s="116" t="str">
        <f>IFERROR(IF(VLOOKUP(TableHandbook[[#This Row],[UDC]],TableAvailabilities[],3,FALSE)&gt;0,"Y",""),"")</f>
        <v/>
      </c>
      <c r="I84" s="117" t="str">
        <f>IFERROR(IF(VLOOKUP(TableHandbook[[#This Row],[UDC]],TableAvailabilities[],4,FALSE)&gt;0,"Y",""),"")</f>
        <v/>
      </c>
      <c r="J84" s="76" t="str">
        <f>IFERROR(IF(VLOOKUP(TableHandbook[[#This Row],[UDC]],TableAvailabilities[],5,FALSE)&gt;0,"Y",""),"")</f>
        <v/>
      </c>
      <c r="K84" s="289" t="s">
        <v>371</v>
      </c>
      <c r="L84" s="183" t="str">
        <f>IFERROR(VLOOKUP(TableHandbook[[#This Row],[UDC]],TableMCARTS[],7,FALSE),"")</f>
        <v/>
      </c>
      <c r="M84" s="118" t="str">
        <f>IFERROR(VLOOKUP(TableHandbook[[#This Row],[UDC]],TableMJRPCWRIT[],7,FALSE),"")</f>
        <v/>
      </c>
      <c r="N84" s="118" t="str">
        <f>IFERROR(VLOOKUP(TableHandbook[[#This Row],[UDC]],TableMJRPFINAR[],7,FALSE),"")</f>
        <v/>
      </c>
      <c r="O84" s="118" t="str">
        <f>IFERROR(VLOOKUP(TableHandbook[[#This Row],[UDC]],TableMJRPPWRIT[],7,FALSE),"")</f>
        <v/>
      </c>
      <c r="P84" s="184" t="str">
        <f>IFERROR(VLOOKUP(TableHandbook[[#This Row],[UDC]],TableMJRPSCRAR[],7,FALSE),"")</f>
        <v/>
      </c>
      <c r="Q84" s="183" t="str">
        <f>IFERROR(VLOOKUP(TableHandbook[[#This Row],[UDC]],TableMCMMJRG[],7,FALSE),"")</f>
        <v>Core</v>
      </c>
      <c r="R84" s="118" t="str">
        <f>IFERROR(VLOOKUP(TableHandbook[[#This Row],[UDC]],TableMCMMJRN[],7,FALSE),"")</f>
        <v>Core</v>
      </c>
      <c r="S84" s="118" t="str">
        <f>IFERROR(VLOOKUP(TableHandbook[[#This Row],[UDC]],TableGDMMJRN[],7,FALSE),"")</f>
        <v>Core</v>
      </c>
      <c r="T84" s="184" t="str">
        <f>IFERROR(VLOOKUP(TableHandbook[[#This Row],[UDC]],TableGCMMJRN[],7,FALSE),"")</f>
        <v>Core</v>
      </c>
      <c r="U84" s="183" t="str">
        <f>IFERROR(VLOOKUP(TableHandbook[[#This Row],[UDC]],TableMCHRIGLO[],7,FALSE),"")</f>
        <v/>
      </c>
      <c r="V84" s="118" t="str">
        <f>IFERROR(VLOOKUP(TableHandbook[[#This Row],[UDC]],TableMCHRIGHT[],7,FALSE),"")</f>
        <v/>
      </c>
      <c r="W84" s="118" t="str">
        <f>IFERROR(VLOOKUP(TableHandbook[[#This Row],[UDC]],TableGDHRIGHT[],7,FALSE),"")</f>
        <v/>
      </c>
      <c r="X84" s="184" t="str">
        <f>IFERROR(VLOOKUP(TableHandbook[[#This Row],[UDC]],TableGCHRIGHT[],7,FALSE),"")</f>
        <v/>
      </c>
      <c r="Y84" s="183" t="str">
        <f>IFERROR(VLOOKUP(TableHandbook[[#This Row],[UDC]],TableMCGLOBL2[],7,FALSE),"")</f>
        <v/>
      </c>
      <c r="Z84" s="118" t="str">
        <f>IFERROR(VLOOKUP(TableHandbook[[#This Row],[UDC]],TableMCGLOBL[],7,FALSE),"")</f>
        <v/>
      </c>
      <c r="AA84" s="297" t="str">
        <f>IFERROR(VLOOKUP(TableHandbook[[#This Row],[UDC]],TableSTRPGLOBL[],7,FALSE),"")</f>
        <v/>
      </c>
      <c r="AB84" s="297" t="str">
        <f>IFERROR(VLOOKUP(TableHandbook[[#This Row],[UDC]],TableSTRPHRIGT[],7,FALSE),"")</f>
        <v/>
      </c>
      <c r="AC84" s="297" t="str">
        <f>IFERROR(VLOOKUP(TableHandbook[[#This Row],[UDC]],TableSTRPINTRN[],7,FALSE),"")</f>
        <v/>
      </c>
      <c r="AD84" s="184" t="str">
        <f>IFERROR(VLOOKUP(TableHandbook[[#This Row],[UDC]],TableGCGLOBL[],7,FALSE),"")</f>
        <v/>
      </c>
      <c r="AE84" s="183" t="str">
        <f>IFERROR(VLOOKUP(TableHandbook[[#This Row],[UDC]],TableMCNETSCM[],7,FALSE),"")</f>
        <v/>
      </c>
      <c r="AF84" s="118" t="str">
        <f>IFERROR(VLOOKUP(TableHandbook[[#This Row],[UDC]],TableGDNETSCM[],7,FALSE),"")</f>
        <v/>
      </c>
      <c r="AG84" s="184" t="str">
        <f>IFERROR(VLOOKUP(TableHandbook[[#This Row],[UDC]],TableGCNETSCM[],7,FALSE),"")</f>
        <v/>
      </c>
      <c r="AH84" s="183" t="str">
        <f>IFERROR(VLOOKUP(TableHandbook[[#This Row],[UDC]],TableMCINTRNS[],7,FALSE),"")</f>
        <v/>
      </c>
      <c r="AI84" s="118" t="str">
        <f>IFERROR(VLOOKUP(TableHandbook[[#This Row],[UDC]],TableGDINTRNS[],7,FALSE),"")</f>
        <v/>
      </c>
      <c r="AJ84" s="184" t="str">
        <f>IFERROR(VLOOKUP(TableHandbook[[#This Row],[UDC]],TableGCINTRNS[],7,FALSE),"")</f>
        <v/>
      </c>
    </row>
    <row r="85" spans="1:36" x14ac:dyDescent="0.25">
      <c r="A85" s="6" t="s">
        <v>450</v>
      </c>
      <c r="B85" s="7">
        <v>2</v>
      </c>
      <c r="C85" s="6"/>
      <c r="D85" s="6" t="s">
        <v>451</v>
      </c>
      <c r="E85" s="7">
        <v>25</v>
      </c>
      <c r="F85" s="186" t="s">
        <v>368</v>
      </c>
      <c r="G85" s="75" t="str">
        <f>IFERROR(IF(VLOOKUP(TableHandbook[[#This Row],[UDC]],TableAvailabilities[],2,FALSE)&gt;0,"Y",""),"")</f>
        <v/>
      </c>
      <c r="H85" s="116" t="str">
        <f>IFERROR(IF(VLOOKUP(TableHandbook[[#This Row],[UDC]],TableAvailabilities[],3,FALSE)&gt;0,"Y",""),"")</f>
        <v/>
      </c>
      <c r="I85" s="117" t="str">
        <f>IFERROR(IF(VLOOKUP(TableHandbook[[#This Row],[UDC]],TableAvailabilities[],4,FALSE)&gt;0,"Y",""),"")</f>
        <v/>
      </c>
      <c r="J85" s="76" t="str">
        <f>IFERROR(IF(VLOOKUP(TableHandbook[[#This Row],[UDC]],TableAvailabilities[],5,FALSE)&gt;0,"Y",""),"")</f>
        <v/>
      </c>
      <c r="K85" s="289" t="s">
        <v>375</v>
      </c>
      <c r="L85" s="183" t="str">
        <f>IFERROR(VLOOKUP(TableHandbook[[#This Row],[UDC]],TableMCARTS[],7,FALSE),"")</f>
        <v/>
      </c>
      <c r="M85" s="118" t="str">
        <f>IFERROR(VLOOKUP(TableHandbook[[#This Row],[UDC]],TableMJRPCWRIT[],7,FALSE),"")</f>
        <v/>
      </c>
      <c r="N85" s="118" t="str">
        <f>IFERROR(VLOOKUP(TableHandbook[[#This Row],[UDC]],TableMJRPFINAR[],7,FALSE),"")</f>
        <v/>
      </c>
      <c r="O85" s="118" t="str">
        <f>IFERROR(VLOOKUP(TableHandbook[[#This Row],[UDC]],TableMJRPPWRIT[],7,FALSE),"")</f>
        <v/>
      </c>
      <c r="P85" s="184" t="str">
        <f>IFERROR(VLOOKUP(TableHandbook[[#This Row],[UDC]],TableMJRPSCRAR[],7,FALSE),"")</f>
        <v/>
      </c>
      <c r="Q85" s="183" t="str">
        <f>IFERROR(VLOOKUP(TableHandbook[[#This Row],[UDC]],TableMCMMJRG[],7,FALSE),"")</f>
        <v/>
      </c>
      <c r="R85" s="118" t="str">
        <f>IFERROR(VLOOKUP(TableHandbook[[#This Row],[UDC]],TableMCMMJRN[],7,FALSE),"")</f>
        <v/>
      </c>
      <c r="S85" s="118" t="str">
        <f>IFERROR(VLOOKUP(TableHandbook[[#This Row],[UDC]],TableGDMMJRN[],7,FALSE),"")</f>
        <v/>
      </c>
      <c r="T85" s="184" t="str">
        <f>IFERROR(VLOOKUP(TableHandbook[[#This Row],[UDC]],TableGCMMJRN[],7,FALSE),"")</f>
        <v/>
      </c>
      <c r="U85" s="183" t="str">
        <f>IFERROR(VLOOKUP(TableHandbook[[#This Row],[UDC]],TableMCHRIGLO[],7,FALSE),"")</f>
        <v/>
      </c>
      <c r="V85" s="118" t="str">
        <f>IFERROR(VLOOKUP(TableHandbook[[#This Row],[UDC]],TableMCHRIGHT[],7,FALSE),"")</f>
        <v/>
      </c>
      <c r="W85" s="118" t="str">
        <f>IFERROR(VLOOKUP(TableHandbook[[#This Row],[UDC]],TableGDHRIGHT[],7,FALSE),"")</f>
        <v/>
      </c>
      <c r="X85" s="184" t="str">
        <f>IFERROR(VLOOKUP(TableHandbook[[#This Row],[UDC]],TableGCHRIGHT[],7,FALSE),"")</f>
        <v/>
      </c>
      <c r="Y85" s="183" t="str">
        <f>IFERROR(VLOOKUP(TableHandbook[[#This Row],[UDC]],TableMCGLOBL2[],7,FALSE),"")</f>
        <v/>
      </c>
      <c r="Z85" s="118" t="str">
        <f>IFERROR(VLOOKUP(TableHandbook[[#This Row],[UDC]],TableMCGLOBL[],7,FALSE),"")</f>
        <v/>
      </c>
      <c r="AA85" s="297" t="str">
        <f>IFERROR(VLOOKUP(TableHandbook[[#This Row],[UDC]],TableSTRPGLOBL[],7,FALSE),"")</f>
        <v/>
      </c>
      <c r="AB85" s="297" t="str">
        <f>IFERROR(VLOOKUP(TableHandbook[[#This Row],[UDC]],TableSTRPHRIGT[],7,FALSE),"")</f>
        <v/>
      </c>
      <c r="AC85" s="297" t="str">
        <f>IFERROR(VLOOKUP(TableHandbook[[#This Row],[UDC]],TableSTRPINTRN[],7,FALSE),"")</f>
        <v/>
      </c>
      <c r="AD85" s="184" t="str">
        <f>IFERROR(VLOOKUP(TableHandbook[[#This Row],[UDC]],TableGCGLOBL[],7,FALSE),"")</f>
        <v/>
      </c>
      <c r="AE85" s="183" t="str">
        <f>IFERROR(VLOOKUP(TableHandbook[[#This Row],[UDC]],TableMCNETSCM[],7,FALSE),"")</f>
        <v/>
      </c>
      <c r="AF85" s="118" t="str">
        <f>IFERROR(VLOOKUP(TableHandbook[[#This Row],[UDC]],TableGDNETSCM[],7,FALSE),"")</f>
        <v/>
      </c>
      <c r="AG85" s="184" t="str">
        <f>IFERROR(VLOOKUP(TableHandbook[[#This Row],[UDC]],TableGCNETSCM[],7,FALSE),"")</f>
        <v/>
      </c>
      <c r="AH85" s="183" t="str">
        <f>IFERROR(VLOOKUP(TableHandbook[[#This Row],[UDC]],TableMCINTRNS[],7,FALSE),"")</f>
        <v/>
      </c>
      <c r="AI85" s="118" t="str">
        <f>IFERROR(VLOOKUP(TableHandbook[[#This Row],[UDC]],TableGDINTRNS[],7,FALSE),"")</f>
        <v/>
      </c>
      <c r="AJ85" s="184" t="str">
        <f>IFERROR(VLOOKUP(TableHandbook[[#This Row],[UDC]],TableGCINTRNS[],7,FALSE),"")</f>
        <v/>
      </c>
    </row>
    <row r="86" spans="1:36" x14ac:dyDescent="0.25">
      <c r="A86" s="6" t="s">
        <v>257</v>
      </c>
      <c r="B86" s="7">
        <v>3</v>
      </c>
      <c r="C86" s="6"/>
      <c r="D86" s="6" t="s">
        <v>452</v>
      </c>
      <c r="E86" s="7">
        <v>25</v>
      </c>
      <c r="F86" s="186" t="s">
        <v>368</v>
      </c>
      <c r="G86" s="75" t="str">
        <f>IFERROR(IF(VLOOKUP(TableHandbook[[#This Row],[UDC]],TableAvailabilities[],2,FALSE)&gt;0,"Y",""),"")</f>
        <v>Y</v>
      </c>
      <c r="H86" s="116" t="str">
        <f>IFERROR(IF(VLOOKUP(TableHandbook[[#This Row],[UDC]],TableAvailabilities[],3,FALSE)&gt;0,"Y",""),"")</f>
        <v/>
      </c>
      <c r="I86" s="117" t="str">
        <f>IFERROR(IF(VLOOKUP(TableHandbook[[#This Row],[UDC]],TableAvailabilities[],4,FALSE)&gt;0,"Y",""),"")</f>
        <v/>
      </c>
      <c r="J86" s="76" t="str">
        <f>IFERROR(IF(VLOOKUP(TableHandbook[[#This Row],[UDC]],TableAvailabilities[],5,FALSE)&gt;0,"Y",""),"")</f>
        <v/>
      </c>
      <c r="K86" s="289" t="s">
        <v>371</v>
      </c>
      <c r="L86" s="183" t="str">
        <f>IFERROR(VLOOKUP(TableHandbook[[#This Row],[UDC]],TableMCARTS[],7,FALSE),"")</f>
        <v/>
      </c>
      <c r="M86" s="118" t="str">
        <f>IFERROR(VLOOKUP(TableHandbook[[#This Row],[UDC]],TableMJRPCWRIT[],7,FALSE),"")</f>
        <v/>
      </c>
      <c r="N86" s="118" t="str">
        <f>IFERROR(VLOOKUP(TableHandbook[[#This Row],[UDC]],TableMJRPFINAR[],7,FALSE),"")</f>
        <v/>
      </c>
      <c r="O86" s="118" t="str">
        <f>IFERROR(VLOOKUP(TableHandbook[[#This Row],[UDC]],TableMJRPPWRIT[],7,FALSE),"")</f>
        <v/>
      </c>
      <c r="P86" s="184" t="str">
        <f>IFERROR(VLOOKUP(TableHandbook[[#This Row],[UDC]],TableMJRPSCRAR[],7,FALSE),"")</f>
        <v/>
      </c>
      <c r="Q86" s="183" t="str">
        <f>IFERROR(VLOOKUP(TableHandbook[[#This Row],[UDC]],TableMCMMJRG[],7,FALSE),"")</f>
        <v>Core</v>
      </c>
      <c r="R86" s="118" t="str">
        <f>IFERROR(VLOOKUP(TableHandbook[[#This Row],[UDC]],TableMCMMJRN[],7,FALSE),"")</f>
        <v>Core</v>
      </c>
      <c r="S86" s="118" t="str">
        <f>IFERROR(VLOOKUP(TableHandbook[[#This Row],[UDC]],TableGDMMJRN[],7,FALSE),"")</f>
        <v>Core</v>
      </c>
      <c r="T86" s="184" t="str">
        <f>IFERROR(VLOOKUP(TableHandbook[[#This Row],[UDC]],TableGCMMJRN[],7,FALSE),"")</f>
        <v>Core</v>
      </c>
      <c r="U86" s="183" t="str">
        <f>IFERROR(VLOOKUP(TableHandbook[[#This Row],[UDC]],TableMCHRIGLO[],7,FALSE),"")</f>
        <v/>
      </c>
      <c r="V86" s="118" t="str">
        <f>IFERROR(VLOOKUP(TableHandbook[[#This Row],[UDC]],TableMCHRIGHT[],7,FALSE),"")</f>
        <v/>
      </c>
      <c r="W86" s="118" t="str">
        <f>IFERROR(VLOOKUP(TableHandbook[[#This Row],[UDC]],TableGDHRIGHT[],7,FALSE),"")</f>
        <v/>
      </c>
      <c r="X86" s="184" t="str">
        <f>IFERROR(VLOOKUP(TableHandbook[[#This Row],[UDC]],TableGCHRIGHT[],7,FALSE),"")</f>
        <v/>
      </c>
      <c r="Y86" s="183" t="str">
        <f>IFERROR(VLOOKUP(TableHandbook[[#This Row],[UDC]],TableMCGLOBL2[],7,FALSE),"")</f>
        <v/>
      </c>
      <c r="Z86" s="118" t="str">
        <f>IFERROR(VLOOKUP(TableHandbook[[#This Row],[UDC]],TableMCGLOBL[],7,FALSE),"")</f>
        <v/>
      </c>
      <c r="AA86" s="297" t="str">
        <f>IFERROR(VLOOKUP(TableHandbook[[#This Row],[UDC]],TableSTRPGLOBL[],7,FALSE),"")</f>
        <v/>
      </c>
      <c r="AB86" s="297" t="str">
        <f>IFERROR(VLOOKUP(TableHandbook[[#This Row],[UDC]],TableSTRPHRIGT[],7,FALSE),"")</f>
        <v/>
      </c>
      <c r="AC86" s="297" t="str">
        <f>IFERROR(VLOOKUP(TableHandbook[[#This Row],[UDC]],TableSTRPINTRN[],7,FALSE),"")</f>
        <v/>
      </c>
      <c r="AD86" s="184" t="str">
        <f>IFERROR(VLOOKUP(TableHandbook[[#This Row],[UDC]],TableGCGLOBL[],7,FALSE),"")</f>
        <v/>
      </c>
      <c r="AE86" s="183" t="str">
        <f>IFERROR(VLOOKUP(TableHandbook[[#This Row],[UDC]],TableMCNETSCM[],7,FALSE),"")</f>
        <v/>
      </c>
      <c r="AF86" s="118" t="str">
        <f>IFERROR(VLOOKUP(TableHandbook[[#This Row],[UDC]],TableGDNETSCM[],7,FALSE),"")</f>
        <v/>
      </c>
      <c r="AG86" s="184" t="str">
        <f>IFERROR(VLOOKUP(TableHandbook[[#This Row],[UDC]],TableGCNETSCM[],7,FALSE),"")</f>
        <v/>
      </c>
      <c r="AH86" s="183" t="str">
        <f>IFERROR(VLOOKUP(TableHandbook[[#This Row],[UDC]],TableMCINTRNS[],7,FALSE),"")</f>
        <v/>
      </c>
      <c r="AI86" s="118" t="str">
        <f>IFERROR(VLOOKUP(TableHandbook[[#This Row],[UDC]],TableGDINTRNS[],7,FALSE),"")</f>
        <v/>
      </c>
      <c r="AJ86" s="184" t="str">
        <f>IFERROR(VLOOKUP(TableHandbook[[#This Row],[UDC]],TableGCINTRNS[],7,FALSE),"")</f>
        <v/>
      </c>
    </row>
    <row r="87" spans="1:36" x14ac:dyDescent="0.25">
      <c r="A87" s="6" t="s">
        <v>453</v>
      </c>
      <c r="B87" s="7">
        <v>2</v>
      </c>
      <c r="C87" s="6"/>
      <c r="D87" s="6" t="s">
        <v>454</v>
      </c>
      <c r="E87" s="7">
        <v>25</v>
      </c>
      <c r="F87" s="186" t="s">
        <v>368</v>
      </c>
      <c r="G87" s="75" t="str">
        <f>IFERROR(IF(VLOOKUP(TableHandbook[[#This Row],[UDC]],TableAvailabilities[],2,FALSE)&gt;0,"Y",""),"")</f>
        <v/>
      </c>
      <c r="H87" s="116" t="str">
        <f>IFERROR(IF(VLOOKUP(TableHandbook[[#This Row],[UDC]],TableAvailabilities[],3,FALSE)&gt;0,"Y",""),"")</f>
        <v/>
      </c>
      <c r="I87" s="117" t="str">
        <f>IFERROR(IF(VLOOKUP(TableHandbook[[#This Row],[UDC]],TableAvailabilities[],4,FALSE)&gt;0,"Y",""),"")</f>
        <v/>
      </c>
      <c r="J87" s="76" t="str">
        <f>IFERROR(IF(VLOOKUP(TableHandbook[[#This Row],[UDC]],TableAvailabilities[],5,FALSE)&gt;0,"Y",""),"")</f>
        <v/>
      </c>
      <c r="K87" s="289" t="s">
        <v>375</v>
      </c>
      <c r="L87" s="183" t="str">
        <f>IFERROR(VLOOKUP(TableHandbook[[#This Row],[UDC]],TableMCARTS[],7,FALSE),"")</f>
        <v/>
      </c>
      <c r="M87" s="118" t="str">
        <f>IFERROR(VLOOKUP(TableHandbook[[#This Row],[UDC]],TableMJRPCWRIT[],7,FALSE),"")</f>
        <v/>
      </c>
      <c r="N87" s="118" t="str">
        <f>IFERROR(VLOOKUP(TableHandbook[[#This Row],[UDC]],TableMJRPFINAR[],7,FALSE),"")</f>
        <v/>
      </c>
      <c r="O87" s="118" t="str">
        <f>IFERROR(VLOOKUP(TableHandbook[[#This Row],[UDC]],TableMJRPPWRIT[],7,FALSE),"")</f>
        <v/>
      </c>
      <c r="P87" s="184" t="str">
        <f>IFERROR(VLOOKUP(TableHandbook[[#This Row],[UDC]],TableMJRPSCRAR[],7,FALSE),"")</f>
        <v/>
      </c>
      <c r="Q87" s="183" t="str">
        <f>IFERROR(VLOOKUP(TableHandbook[[#This Row],[UDC]],TableMCMMJRG[],7,FALSE),"")</f>
        <v/>
      </c>
      <c r="R87" s="118" t="str">
        <f>IFERROR(VLOOKUP(TableHandbook[[#This Row],[UDC]],TableMCMMJRN[],7,FALSE),"")</f>
        <v/>
      </c>
      <c r="S87" s="118" t="str">
        <f>IFERROR(VLOOKUP(TableHandbook[[#This Row],[UDC]],TableGDMMJRN[],7,FALSE),"")</f>
        <v/>
      </c>
      <c r="T87" s="184" t="str">
        <f>IFERROR(VLOOKUP(TableHandbook[[#This Row],[UDC]],TableGCMMJRN[],7,FALSE),"")</f>
        <v/>
      </c>
      <c r="U87" s="183" t="str">
        <f>IFERROR(VLOOKUP(TableHandbook[[#This Row],[UDC]],TableMCHRIGLO[],7,FALSE),"")</f>
        <v/>
      </c>
      <c r="V87" s="118" t="str">
        <f>IFERROR(VLOOKUP(TableHandbook[[#This Row],[UDC]],TableMCHRIGHT[],7,FALSE),"")</f>
        <v/>
      </c>
      <c r="W87" s="118" t="str">
        <f>IFERROR(VLOOKUP(TableHandbook[[#This Row],[UDC]],TableGDHRIGHT[],7,FALSE),"")</f>
        <v/>
      </c>
      <c r="X87" s="184" t="str">
        <f>IFERROR(VLOOKUP(TableHandbook[[#This Row],[UDC]],TableGCHRIGHT[],7,FALSE),"")</f>
        <v/>
      </c>
      <c r="Y87" s="183" t="str">
        <f>IFERROR(VLOOKUP(TableHandbook[[#This Row],[UDC]],TableMCGLOBL2[],7,FALSE),"")</f>
        <v/>
      </c>
      <c r="Z87" s="118" t="str">
        <f>IFERROR(VLOOKUP(TableHandbook[[#This Row],[UDC]],TableMCGLOBL[],7,FALSE),"")</f>
        <v/>
      </c>
      <c r="AA87" s="297" t="str">
        <f>IFERROR(VLOOKUP(TableHandbook[[#This Row],[UDC]],TableSTRPGLOBL[],7,FALSE),"")</f>
        <v/>
      </c>
      <c r="AB87" s="297" t="str">
        <f>IFERROR(VLOOKUP(TableHandbook[[#This Row],[UDC]],TableSTRPHRIGT[],7,FALSE),"")</f>
        <v/>
      </c>
      <c r="AC87" s="297" t="str">
        <f>IFERROR(VLOOKUP(TableHandbook[[#This Row],[UDC]],TableSTRPINTRN[],7,FALSE),"")</f>
        <v/>
      </c>
      <c r="AD87" s="184" t="str">
        <f>IFERROR(VLOOKUP(TableHandbook[[#This Row],[UDC]],TableGCGLOBL[],7,FALSE),"")</f>
        <v/>
      </c>
      <c r="AE87" s="183" t="str">
        <f>IFERROR(VLOOKUP(TableHandbook[[#This Row],[UDC]],TableMCNETSCM[],7,FALSE),"")</f>
        <v/>
      </c>
      <c r="AF87" s="118" t="str">
        <f>IFERROR(VLOOKUP(TableHandbook[[#This Row],[UDC]],TableGDNETSCM[],7,FALSE),"")</f>
        <v/>
      </c>
      <c r="AG87" s="184" t="str">
        <f>IFERROR(VLOOKUP(TableHandbook[[#This Row],[UDC]],TableGCNETSCM[],7,FALSE),"")</f>
        <v/>
      </c>
      <c r="AH87" s="183" t="str">
        <f>IFERROR(VLOOKUP(TableHandbook[[#This Row],[UDC]],TableMCINTRNS[],7,FALSE),"")</f>
        <v/>
      </c>
      <c r="AI87" s="118" t="str">
        <f>IFERROR(VLOOKUP(TableHandbook[[#This Row],[UDC]],TableGDINTRNS[],7,FALSE),"")</f>
        <v/>
      </c>
      <c r="AJ87" s="184" t="str">
        <f>IFERROR(VLOOKUP(TableHandbook[[#This Row],[UDC]],TableGCINTRNS[],7,FALSE),"")</f>
        <v/>
      </c>
    </row>
    <row r="88" spans="1:36" ht="38.25" x14ac:dyDescent="0.25">
      <c r="A88" s="190" t="s">
        <v>260</v>
      </c>
      <c r="B88" s="122">
        <v>2</v>
      </c>
      <c r="C88" s="190"/>
      <c r="D88" s="190" t="s">
        <v>455</v>
      </c>
      <c r="E88" s="7">
        <v>25</v>
      </c>
      <c r="F88" s="189" t="s">
        <v>368</v>
      </c>
      <c r="G88" s="75" t="str">
        <f>IFERROR(IF(VLOOKUP(TableHandbook[[#This Row],[UDC]],TableAvailabilities[],2,FALSE)&gt;0,"Y",""),"")</f>
        <v/>
      </c>
      <c r="H88" s="116" t="str">
        <f>IFERROR(IF(VLOOKUP(TableHandbook[[#This Row],[UDC]],TableAvailabilities[],3,FALSE)&gt;0,"Y",""),"")</f>
        <v/>
      </c>
      <c r="I88" s="117" t="str">
        <f>IFERROR(IF(VLOOKUP(TableHandbook[[#This Row],[UDC]],TableAvailabilities[],4,FALSE)&gt;0,"Y",""),"")</f>
        <v>Y</v>
      </c>
      <c r="J88" s="76" t="str">
        <f>IFERROR(IF(VLOOKUP(TableHandbook[[#This Row],[UDC]],TableAvailabilities[],5,FALSE)&gt;0,"Y",""),"")</f>
        <v/>
      </c>
      <c r="K88" s="291" t="s">
        <v>456</v>
      </c>
      <c r="L88" s="183" t="str">
        <f>IFERROR(VLOOKUP(TableHandbook[[#This Row],[UDC]],TableMCARTS[],7,FALSE),"")</f>
        <v/>
      </c>
      <c r="M88" s="118" t="str">
        <f>IFERROR(VLOOKUP(TableHandbook[[#This Row],[UDC]],TableMJRPCWRIT[],7,FALSE),"")</f>
        <v/>
      </c>
      <c r="N88" s="118" t="str">
        <f>IFERROR(VLOOKUP(TableHandbook[[#This Row],[UDC]],TableMJRPFINAR[],7,FALSE),"")</f>
        <v/>
      </c>
      <c r="O88" s="118" t="str">
        <f>IFERROR(VLOOKUP(TableHandbook[[#This Row],[UDC]],TableMJRPPWRIT[],7,FALSE),"")</f>
        <v/>
      </c>
      <c r="P88" s="184" t="str">
        <f>IFERROR(VLOOKUP(TableHandbook[[#This Row],[UDC]],TableMJRPSCRAR[],7,FALSE),"")</f>
        <v/>
      </c>
      <c r="Q88" s="183" t="str">
        <f>IFERROR(VLOOKUP(TableHandbook[[#This Row],[UDC]],TableMCMMJRG[],7,FALSE),"")</f>
        <v>Core</v>
      </c>
      <c r="R88" s="118" t="str">
        <f>IFERROR(VLOOKUP(TableHandbook[[#This Row],[UDC]],TableMCMMJRN[],7,FALSE),"")</f>
        <v>Core</v>
      </c>
      <c r="S88" s="118" t="str">
        <f>IFERROR(VLOOKUP(TableHandbook[[#This Row],[UDC]],TableGDMMJRN[],7,FALSE),"")</f>
        <v>Core</v>
      </c>
      <c r="T88" s="184" t="str">
        <f>IFERROR(VLOOKUP(TableHandbook[[#This Row],[UDC]],TableGCMMJRN[],7,FALSE),"")</f>
        <v/>
      </c>
      <c r="U88" s="183" t="str">
        <f>IFERROR(VLOOKUP(TableHandbook[[#This Row],[UDC]],TableMCHRIGLO[],7,FALSE),"")</f>
        <v/>
      </c>
      <c r="V88" s="118" t="str">
        <f>IFERROR(VLOOKUP(TableHandbook[[#This Row],[UDC]],TableMCHRIGHT[],7,FALSE),"")</f>
        <v/>
      </c>
      <c r="W88" s="118" t="str">
        <f>IFERROR(VLOOKUP(TableHandbook[[#This Row],[UDC]],TableGDHRIGHT[],7,FALSE),"")</f>
        <v/>
      </c>
      <c r="X88" s="184" t="str">
        <f>IFERROR(VLOOKUP(TableHandbook[[#This Row],[UDC]],TableGCHRIGHT[],7,FALSE),"")</f>
        <v/>
      </c>
      <c r="Y88" s="183" t="str">
        <f>IFERROR(VLOOKUP(TableHandbook[[#This Row],[UDC]],TableMCGLOBL2[],7,FALSE),"")</f>
        <v/>
      </c>
      <c r="Z88" s="118" t="str">
        <f>IFERROR(VLOOKUP(TableHandbook[[#This Row],[UDC]],TableMCGLOBL[],7,FALSE),"")</f>
        <v/>
      </c>
      <c r="AA88" s="297" t="str">
        <f>IFERROR(VLOOKUP(TableHandbook[[#This Row],[UDC]],TableSTRPGLOBL[],7,FALSE),"")</f>
        <v/>
      </c>
      <c r="AB88" s="297" t="str">
        <f>IFERROR(VLOOKUP(TableHandbook[[#This Row],[UDC]],TableSTRPHRIGT[],7,FALSE),"")</f>
        <v/>
      </c>
      <c r="AC88" s="297" t="str">
        <f>IFERROR(VLOOKUP(TableHandbook[[#This Row],[UDC]],TableSTRPINTRN[],7,FALSE),"")</f>
        <v/>
      </c>
      <c r="AD88" s="184" t="str">
        <f>IFERROR(VLOOKUP(TableHandbook[[#This Row],[UDC]],TableGCGLOBL[],7,FALSE),"")</f>
        <v/>
      </c>
      <c r="AE88" s="183" t="str">
        <f>IFERROR(VLOOKUP(TableHandbook[[#This Row],[UDC]],TableMCNETSCM[],7,FALSE),"")</f>
        <v/>
      </c>
      <c r="AF88" s="118" t="str">
        <f>IFERROR(VLOOKUP(TableHandbook[[#This Row],[UDC]],TableGDNETSCM[],7,FALSE),"")</f>
        <v/>
      </c>
      <c r="AG88" s="184" t="str">
        <f>IFERROR(VLOOKUP(TableHandbook[[#This Row],[UDC]],TableGCNETSCM[],7,FALSE),"")</f>
        <v/>
      </c>
      <c r="AH88" s="183" t="str">
        <f>IFERROR(VLOOKUP(TableHandbook[[#This Row],[UDC]],TableMCINTRNS[],7,FALSE),"")</f>
        <v/>
      </c>
      <c r="AI88" s="118" t="str">
        <f>IFERROR(VLOOKUP(TableHandbook[[#This Row],[UDC]],TableGDINTRNS[],7,FALSE),"")</f>
        <v/>
      </c>
      <c r="AJ88" s="184" t="str">
        <f>IFERROR(VLOOKUP(TableHandbook[[#This Row],[UDC]],TableGCINTRNS[],7,FALSE),"")</f>
        <v/>
      </c>
    </row>
    <row r="89" spans="1:36" x14ac:dyDescent="0.25">
      <c r="A89" s="6" t="s">
        <v>262</v>
      </c>
      <c r="B89" s="7">
        <v>3</v>
      </c>
      <c r="C89" s="6"/>
      <c r="D89" s="6" t="s">
        <v>457</v>
      </c>
      <c r="E89" s="7">
        <v>25</v>
      </c>
      <c r="F89" s="186" t="s">
        <v>368</v>
      </c>
      <c r="G89" s="75" t="str">
        <f>IFERROR(IF(VLOOKUP(TableHandbook[[#This Row],[UDC]],TableAvailabilities[],2,FALSE)&gt;0,"Y",""),"")</f>
        <v>Y</v>
      </c>
      <c r="H89" s="116" t="str">
        <f>IFERROR(IF(VLOOKUP(TableHandbook[[#This Row],[UDC]],TableAvailabilities[],3,FALSE)&gt;0,"Y",""),"")</f>
        <v/>
      </c>
      <c r="I89" s="117" t="str">
        <f>IFERROR(IF(VLOOKUP(TableHandbook[[#This Row],[UDC]],TableAvailabilities[],4,FALSE)&gt;0,"Y",""),"")</f>
        <v/>
      </c>
      <c r="J89" s="76" t="str">
        <f>IFERROR(IF(VLOOKUP(TableHandbook[[#This Row],[UDC]],TableAvailabilities[],5,FALSE)&gt;0,"Y",""),"")</f>
        <v/>
      </c>
      <c r="K89" s="289" t="s">
        <v>371</v>
      </c>
      <c r="L89" s="183" t="str">
        <f>IFERROR(VLOOKUP(TableHandbook[[#This Row],[UDC]],TableMCARTS[],7,FALSE),"")</f>
        <v/>
      </c>
      <c r="M89" s="118" t="str">
        <f>IFERROR(VLOOKUP(TableHandbook[[#This Row],[UDC]],TableMJRPCWRIT[],7,FALSE),"")</f>
        <v/>
      </c>
      <c r="N89" s="118" t="str">
        <f>IFERROR(VLOOKUP(TableHandbook[[#This Row],[UDC]],TableMJRPFINAR[],7,FALSE),"")</f>
        <v/>
      </c>
      <c r="O89" s="118" t="str">
        <f>IFERROR(VLOOKUP(TableHandbook[[#This Row],[UDC]],TableMJRPPWRIT[],7,FALSE),"")</f>
        <v/>
      </c>
      <c r="P89" s="184" t="str">
        <f>IFERROR(VLOOKUP(TableHandbook[[#This Row],[UDC]],TableMJRPSCRAR[],7,FALSE),"")</f>
        <v/>
      </c>
      <c r="Q89" s="183" t="str">
        <f>IFERROR(VLOOKUP(TableHandbook[[#This Row],[UDC]],TableMCMMJRG[],7,FALSE),"")</f>
        <v>Core</v>
      </c>
      <c r="R89" s="118" t="str">
        <f>IFERROR(VLOOKUP(TableHandbook[[#This Row],[UDC]],TableMCMMJRN[],7,FALSE),"")</f>
        <v>Core</v>
      </c>
      <c r="S89" s="118" t="str">
        <f>IFERROR(VLOOKUP(TableHandbook[[#This Row],[UDC]],TableGDMMJRN[],7,FALSE),"")</f>
        <v>Core</v>
      </c>
      <c r="T89" s="184" t="str">
        <f>IFERROR(VLOOKUP(TableHandbook[[#This Row],[UDC]],TableGCMMJRN[],7,FALSE),"")</f>
        <v>Core</v>
      </c>
      <c r="U89" s="183" t="str">
        <f>IFERROR(VLOOKUP(TableHandbook[[#This Row],[UDC]],TableMCHRIGLO[],7,FALSE),"")</f>
        <v/>
      </c>
      <c r="V89" s="118" t="str">
        <f>IFERROR(VLOOKUP(TableHandbook[[#This Row],[UDC]],TableMCHRIGHT[],7,FALSE),"")</f>
        <v/>
      </c>
      <c r="W89" s="118" t="str">
        <f>IFERROR(VLOOKUP(TableHandbook[[#This Row],[UDC]],TableGDHRIGHT[],7,FALSE),"")</f>
        <v/>
      </c>
      <c r="X89" s="184" t="str">
        <f>IFERROR(VLOOKUP(TableHandbook[[#This Row],[UDC]],TableGCHRIGHT[],7,FALSE),"")</f>
        <v/>
      </c>
      <c r="Y89" s="183" t="str">
        <f>IFERROR(VLOOKUP(TableHandbook[[#This Row],[UDC]],TableMCGLOBL2[],7,FALSE),"")</f>
        <v/>
      </c>
      <c r="Z89" s="118" t="str">
        <f>IFERROR(VLOOKUP(TableHandbook[[#This Row],[UDC]],TableMCGLOBL[],7,FALSE),"")</f>
        <v/>
      </c>
      <c r="AA89" s="297" t="str">
        <f>IFERROR(VLOOKUP(TableHandbook[[#This Row],[UDC]],TableSTRPGLOBL[],7,FALSE),"")</f>
        <v/>
      </c>
      <c r="AB89" s="297" t="str">
        <f>IFERROR(VLOOKUP(TableHandbook[[#This Row],[UDC]],TableSTRPHRIGT[],7,FALSE),"")</f>
        <v/>
      </c>
      <c r="AC89" s="297" t="str">
        <f>IFERROR(VLOOKUP(TableHandbook[[#This Row],[UDC]],TableSTRPINTRN[],7,FALSE),"")</f>
        <v/>
      </c>
      <c r="AD89" s="184" t="str">
        <f>IFERROR(VLOOKUP(TableHandbook[[#This Row],[UDC]],TableGCGLOBL[],7,FALSE),"")</f>
        <v/>
      </c>
      <c r="AE89" s="183" t="str">
        <f>IFERROR(VLOOKUP(TableHandbook[[#This Row],[UDC]],TableMCNETSCM[],7,FALSE),"")</f>
        <v/>
      </c>
      <c r="AF89" s="118" t="str">
        <f>IFERROR(VLOOKUP(TableHandbook[[#This Row],[UDC]],TableGDNETSCM[],7,FALSE),"")</f>
        <v/>
      </c>
      <c r="AG89" s="184" t="str">
        <f>IFERROR(VLOOKUP(TableHandbook[[#This Row],[UDC]],TableGCNETSCM[],7,FALSE),"")</f>
        <v/>
      </c>
      <c r="AH89" s="183" t="str">
        <f>IFERROR(VLOOKUP(TableHandbook[[#This Row],[UDC]],TableMCINTRNS[],7,FALSE),"")</f>
        <v/>
      </c>
      <c r="AI89" s="118" t="str">
        <f>IFERROR(VLOOKUP(TableHandbook[[#This Row],[UDC]],TableGDINTRNS[],7,FALSE),"")</f>
        <v/>
      </c>
      <c r="AJ89" s="184" t="str">
        <f>IFERROR(VLOOKUP(TableHandbook[[#This Row],[UDC]],TableGCINTRNS[],7,FALSE),"")</f>
        <v/>
      </c>
    </row>
    <row r="90" spans="1:36" x14ac:dyDescent="0.25">
      <c r="A90" s="6" t="s">
        <v>458</v>
      </c>
      <c r="B90" s="7">
        <v>2</v>
      </c>
      <c r="C90" s="6"/>
      <c r="D90" s="6" t="s">
        <v>459</v>
      </c>
      <c r="E90" s="7">
        <v>25</v>
      </c>
      <c r="F90" s="186" t="s">
        <v>368</v>
      </c>
      <c r="G90" s="75" t="str">
        <f>IFERROR(IF(VLOOKUP(TableHandbook[[#This Row],[UDC]],TableAvailabilities[],2,FALSE)&gt;0,"Y",""),"")</f>
        <v/>
      </c>
      <c r="H90" s="116" t="str">
        <f>IFERROR(IF(VLOOKUP(TableHandbook[[#This Row],[UDC]],TableAvailabilities[],3,FALSE)&gt;0,"Y",""),"")</f>
        <v/>
      </c>
      <c r="I90" s="117" t="str">
        <f>IFERROR(IF(VLOOKUP(TableHandbook[[#This Row],[UDC]],TableAvailabilities[],4,FALSE)&gt;0,"Y",""),"")</f>
        <v/>
      </c>
      <c r="J90" s="76" t="str">
        <f>IFERROR(IF(VLOOKUP(TableHandbook[[#This Row],[UDC]],TableAvailabilities[],5,FALSE)&gt;0,"Y",""),"")</f>
        <v/>
      </c>
      <c r="K90" s="289" t="s">
        <v>375</v>
      </c>
      <c r="L90" s="183" t="str">
        <f>IFERROR(VLOOKUP(TableHandbook[[#This Row],[UDC]],TableMCARTS[],7,FALSE),"")</f>
        <v/>
      </c>
      <c r="M90" s="118" t="str">
        <f>IFERROR(VLOOKUP(TableHandbook[[#This Row],[UDC]],TableMJRPCWRIT[],7,FALSE),"")</f>
        <v/>
      </c>
      <c r="N90" s="118" t="str">
        <f>IFERROR(VLOOKUP(TableHandbook[[#This Row],[UDC]],TableMJRPFINAR[],7,FALSE),"")</f>
        <v/>
      </c>
      <c r="O90" s="118" t="str">
        <f>IFERROR(VLOOKUP(TableHandbook[[#This Row],[UDC]],TableMJRPPWRIT[],7,FALSE),"")</f>
        <v/>
      </c>
      <c r="P90" s="184" t="str">
        <f>IFERROR(VLOOKUP(TableHandbook[[#This Row],[UDC]],TableMJRPSCRAR[],7,FALSE),"")</f>
        <v/>
      </c>
      <c r="Q90" s="183" t="str">
        <f>IFERROR(VLOOKUP(TableHandbook[[#This Row],[UDC]],TableMCMMJRG[],7,FALSE),"")</f>
        <v/>
      </c>
      <c r="R90" s="118" t="str">
        <f>IFERROR(VLOOKUP(TableHandbook[[#This Row],[UDC]],TableMCMMJRN[],7,FALSE),"")</f>
        <v/>
      </c>
      <c r="S90" s="118" t="str">
        <f>IFERROR(VLOOKUP(TableHandbook[[#This Row],[UDC]],TableGDMMJRN[],7,FALSE),"")</f>
        <v/>
      </c>
      <c r="T90" s="184" t="str">
        <f>IFERROR(VLOOKUP(TableHandbook[[#This Row],[UDC]],TableGCMMJRN[],7,FALSE),"")</f>
        <v/>
      </c>
      <c r="U90" s="183" t="str">
        <f>IFERROR(VLOOKUP(TableHandbook[[#This Row],[UDC]],TableMCHRIGLO[],7,FALSE),"")</f>
        <v/>
      </c>
      <c r="V90" s="118" t="str">
        <f>IFERROR(VLOOKUP(TableHandbook[[#This Row],[UDC]],TableMCHRIGHT[],7,FALSE),"")</f>
        <v/>
      </c>
      <c r="W90" s="118" t="str">
        <f>IFERROR(VLOOKUP(TableHandbook[[#This Row],[UDC]],TableGDHRIGHT[],7,FALSE),"")</f>
        <v/>
      </c>
      <c r="X90" s="184" t="str">
        <f>IFERROR(VLOOKUP(TableHandbook[[#This Row],[UDC]],TableGCHRIGHT[],7,FALSE),"")</f>
        <v/>
      </c>
      <c r="Y90" s="183" t="str">
        <f>IFERROR(VLOOKUP(TableHandbook[[#This Row],[UDC]],TableMCGLOBL2[],7,FALSE),"")</f>
        <v/>
      </c>
      <c r="Z90" s="118" t="str">
        <f>IFERROR(VLOOKUP(TableHandbook[[#This Row],[UDC]],TableMCGLOBL[],7,FALSE),"")</f>
        <v/>
      </c>
      <c r="AA90" s="297" t="str">
        <f>IFERROR(VLOOKUP(TableHandbook[[#This Row],[UDC]],TableSTRPGLOBL[],7,FALSE),"")</f>
        <v/>
      </c>
      <c r="AB90" s="297" t="str">
        <f>IFERROR(VLOOKUP(TableHandbook[[#This Row],[UDC]],TableSTRPHRIGT[],7,FALSE),"")</f>
        <v/>
      </c>
      <c r="AC90" s="297" t="str">
        <f>IFERROR(VLOOKUP(TableHandbook[[#This Row],[UDC]],TableSTRPINTRN[],7,FALSE),"")</f>
        <v/>
      </c>
      <c r="AD90" s="184" t="str">
        <f>IFERROR(VLOOKUP(TableHandbook[[#This Row],[UDC]],TableGCGLOBL[],7,FALSE),"")</f>
        <v/>
      </c>
      <c r="AE90" s="183" t="str">
        <f>IFERROR(VLOOKUP(TableHandbook[[#This Row],[UDC]],TableMCNETSCM[],7,FALSE),"")</f>
        <v/>
      </c>
      <c r="AF90" s="118" t="str">
        <f>IFERROR(VLOOKUP(TableHandbook[[#This Row],[UDC]],TableGDNETSCM[],7,FALSE),"")</f>
        <v/>
      </c>
      <c r="AG90" s="184" t="str">
        <f>IFERROR(VLOOKUP(TableHandbook[[#This Row],[UDC]],TableGCNETSCM[],7,FALSE),"")</f>
        <v/>
      </c>
      <c r="AH90" s="183" t="str">
        <f>IFERROR(VLOOKUP(TableHandbook[[#This Row],[UDC]],TableMCINTRNS[],7,FALSE),"")</f>
        <v/>
      </c>
      <c r="AI90" s="118" t="str">
        <f>IFERROR(VLOOKUP(TableHandbook[[#This Row],[UDC]],TableGDINTRNS[],7,FALSE),"")</f>
        <v/>
      </c>
      <c r="AJ90" s="184" t="str">
        <f>IFERROR(VLOOKUP(TableHandbook[[#This Row],[UDC]],TableGCINTRNS[],7,FALSE),"")</f>
        <v/>
      </c>
    </row>
    <row r="91" spans="1:36" x14ac:dyDescent="0.25">
      <c r="A91" s="6" t="s">
        <v>271</v>
      </c>
      <c r="B91" s="7">
        <v>3</v>
      </c>
      <c r="C91" s="6"/>
      <c r="D91" s="6" t="s">
        <v>460</v>
      </c>
      <c r="E91" s="7">
        <v>25</v>
      </c>
      <c r="F91" s="186" t="s">
        <v>461</v>
      </c>
      <c r="G91" s="75" t="str">
        <f>IFERROR(IF(VLOOKUP(TableHandbook[[#This Row],[UDC]],TableAvailabilities[],2,FALSE)&gt;0,"Y",""),"")</f>
        <v>Y</v>
      </c>
      <c r="H91" s="116" t="str">
        <f>IFERROR(IF(VLOOKUP(TableHandbook[[#This Row],[UDC]],TableAvailabilities[],3,FALSE)&gt;0,"Y",""),"")</f>
        <v/>
      </c>
      <c r="I91" s="117" t="str">
        <f>IFERROR(IF(VLOOKUP(TableHandbook[[#This Row],[UDC]],TableAvailabilities[],4,FALSE)&gt;0,"Y",""),"")</f>
        <v/>
      </c>
      <c r="J91" s="76" t="str">
        <f>IFERROR(IF(VLOOKUP(TableHandbook[[#This Row],[UDC]],TableAvailabilities[],5,FALSE)&gt;0,"Y",""),"")</f>
        <v/>
      </c>
      <c r="K91" s="289" t="s">
        <v>462</v>
      </c>
      <c r="L91" s="183" t="str">
        <f>IFERROR(VLOOKUP(TableHandbook[[#This Row],[UDC]],TableMCARTS[],7,FALSE),"")</f>
        <v/>
      </c>
      <c r="M91" s="118" t="str">
        <f>IFERROR(VLOOKUP(TableHandbook[[#This Row],[UDC]],TableMJRPCWRIT[],7,FALSE),"")</f>
        <v/>
      </c>
      <c r="N91" s="118" t="str">
        <f>IFERROR(VLOOKUP(TableHandbook[[#This Row],[UDC]],TableMJRPFINAR[],7,FALSE),"")</f>
        <v/>
      </c>
      <c r="O91" s="118" t="str">
        <f>IFERROR(VLOOKUP(TableHandbook[[#This Row],[UDC]],TableMJRPPWRIT[],7,FALSE),"")</f>
        <v/>
      </c>
      <c r="P91" s="184" t="str">
        <f>IFERROR(VLOOKUP(TableHandbook[[#This Row],[UDC]],TableMJRPSCRAR[],7,FALSE),"")</f>
        <v/>
      </c>
      <c r="Q91" s="183" t="str">
        <f>IFERROR(VLOOKUP(TableHandbook[[#This Row],[UDC]],TableMCMMJRG[],7,FALSE),"")</f>
        <v>AltCore</v>
      </c>
      <c r="R91" s="118" t="str">
        <f>IFERROR(VLOOKUP(TableHandbook[[#This Row],[UDC]],TableMCMMJRN[],7,FALSE),"")</f>
        <v>AltCore</v>
      </c>
      <c r="S91" s="118" t="str">
        <f>IFERROR(VLOOKUP(TableHandbook[[#This Row],[UDC]],TableGDMMJRN[],7,FALSE),"")</f>
        <v/>
      </c>
      <c r="T91" s="184" t="str">
        <f>IFERROR(VLOOKUP(TableHandbook[[#This Row],[UDC]],TableGCMMJRN[],7,FALSE),"")</f>
        <v/>
      </c>
      <c r="U91" s="183" t="str">
        <f>IFERROR(VLOOKUP(TableHandbook[[#This Row],[UDC]],TableMCHRIGLO[],7,FALSE),"")</f>
        <v/>
      </c>
      <c r="V91" s="118" t="str">
        <f>IFERROR(VLOOKUP(TableHandbook[[#This Row],[UDC]],TableMCHRIGHT[],7,FALSE),"")</f>
        <v/>
      </c>
      <c r="W91" s="118" t="str">
        <f>IFERROR(VLOOKUP(TableHandbook[[#This Row],[UDC]],TableGDHRIGHT[],7,FALSE),"")</f>
        <v/>
      </c>
      <c r="X91" s="184" t="str">
        <f>IFERROR(VLOOKUP(TableHandbook[[#This Row],[UDC]],TableGCHRIGHT[],7,FALSE),"")</f>
        <v/>
      </c>
      <c r="Y91" s="183" t="str">
        <f>IFERROR(VLOOKUP(TableHandbook[[#This Row],[UDC]],TableMCGLOBL2[],7,FALSE),"")</f>
        <v/>
      </c>
      <c r="Z91" s="118" t="str">
        <f>IFERROR(VLOOKUP(TableHandbook[[#This Row],[UDC]],TableMCGLOBL[],7,FALSE),"")</f>
        <v/>
      </c>
      <c r="AA91" s="297" t="str">
        <f>IFERROR(VLOOKUP(TableHandbook[[#This Row],[UDC]],TableSTRPGLOBL[],7,FALSE),"")</f>
        <v/>
      </c>
      <c r="AB91" s="297" t="str">
        <f>IFERROR(VLOOKUP(TableHandbook[[#This Row],[UDC]],TableSTRPHRIGT[],7,FALSE),"")</f>
        <v/>
      </c>
      <c r="AC91" s="297" t="str">
        <f>IFERROR(VLOOKUP(TableHandbook[[#This Row],[UDC]],TableSTRPINTRN[],7,FALSE),"")</f>
        <v/>
      </c>
      <c r="AD91" s="184" t="str">
        <f>IFERROR(VLOOKUP(TableHandbook[[#This Row],[UDC]],TableGCGLOBL[],7,FALSE),"")</f>
        <v/>
      </c>
      <c r="AE91" s="183" t="str">
        <f>IFERROR(VLOOKUP(TableHandbook[[#This Row],[UDC]],TableMCNETSCM[],7,FALSE),"")</f>
        <v/>
      </c>
      <c r="AF91" s="118" t="str">
        <f>IFERROR(VLOOKUP(TableHandbook[[#This Row],[UDC]],TableGDNETSCM[],7,FALSE),"")</f>
        <v/>
      </c>
      <c r="AG91" s="184" t="str">
        <f>IFERROR(VLOOKUP(TableHandbook[[#This Row],[UDC]],TableGCNETSCM[],7,FALSE),"")</f>
        <v/>
      </c>
      <c r="AH91" s="183" t="str">
        <f>IFERROR(VLOOKUP(TableHandbook[[#This Row],[UDC]],TableMCINTRNS[],7,FALSE),"")</f>
        <v/>
      </c>
      <c r="AI91" s="118" t="str">
        <f>IFERROR(VLOOKUP(TableHandbook[[#This Row],[UDC]],TableGDINTRNS[],7,FALSE),"")</f>
        <v/>
      </c>
      <c r="AJ91" s="184" t="str">
        <f>IFERROR(VLOOKUP(TableHandbook[[#This Row],[UDC]],TableGCINTRNS[],7,FALSE),"")</f>
        <v/>
      </c>
    </row>
    <row r="92" spans="1:36" x14ac:dyDescent="0.25">
      <c r="A92" s="6" t="s">
        <v>463</v>
      </c>
      <c r="B92" s="7">
        <v>2</v>
      </c>
      <c r="C92" s="6"/>
      <c r="D92" s="6" t="s">
        <v>464</v>
      </c>
      <c r="E92" s="7">
        <v>25</v>
      </c>
      <c r="F92" s="186" t="s">
        <v>368</v>
      </c>
      <c r="G92" s="75" t="str">
        <f>IFERROR(IF(VLOOKUP(TableHandbook[[#This Row],[UDC]],TableAvailabilities[],2,FALSE)&gt;0,"Y",""),"")</f>
        <v/>
      </c>
      <c r="H92" s="116" t="str">
        <f>IFERROR(IF(VLOOKUP(TableHandbook[[#This Row],[UDC]],TableAvailabilities[],3,FALSE)&gt;0,"Y",""),"")</f>
        <v/>
      </c>
      <c r="I92" s="117" t="str">
        <f>IFERROR(IF(VLOOKUP(TableHandbook[[#This Row],[UDC]],TableAvailabilities[],4,FALSE)&gt;0,"Y",""),"")</f>
        <v/>
      </c>
      <c r="J92" s="76" t="str">
        <f>IFERROR(IF(VLOOKUP(TableHandbook[[#This Row],[UDC]],TableAvailabilities[],5,FALSE)&gt;0,"Y",""),"")</f>
        <v/>
      </c>
      <c r="K92" s="289" t="s">
        <v>375</v>
      </c>
      <c r="L92" s="183" t="str">
        <f>IFERROR(VLOOKUP(TableHandbook[[#This Row],[UDC]],TableMCARTS[],7,FALSE),"")</f>
        <v/>
      </c>
      <c r="M92" s="118" t="str">
        <f>IFERROR(VLOOKUP(TableHandbook[[#This Row],[UDC]],TableMJRPCWRIT[],7,FALSE),"")</f>
        <v/>
      </c>
      <c r="N92" s="118" t="str">
        <f>IFERROR(VLOOKUP(TableHandbook[[#This Row],[UDC]],TableMJRPFINAR[],7,FALSE),"")</f>
        <v/>
      </c>
      <c r="O92" s="118" t="str">
        <f>IFERROR(VLOOKUP(TableHandbook[[#This Row],[UDC]],TableMJRPPWRIT[],7,FALSE),"")</f>
        <v/>
      </c>
      <c r="P92" s="184" t="str">
        <f>IFERROR(VLOOKUP(TableHandbook[[#This Row],[UDC]],TableMJRPSCRAR[],7,FALSE),"")</f>
        <v/>
      </c>
      <c r="Q92" s="183" t="str">
        <f>IFERROR(VLOOKUP(TableHandbook[[#This Row],[UDC]],TableMCMMJRG[],7,FALSE),"")</f>
        <v/>
      </c>
      <c r="R92" s="118" t="str">
        <f>IFERROR(VLOOKUP(TableHandbook[[#This Row],[UDC]],TableMCMMJRN[],7,FALSE),"")</f>
        <v/>
      </c>
      <c r="S92" s="118" t="str">
        <f>IFERROR(VLOOKUP(TableHandbook[[#This Row],[UDC]],TableGDMMJRN[],7,FALSE),"")</f>
        <v/>
      </c>
      <c r="T92" s="184" t="str">
        <f>IFERROR(VLOOKUP(TableHandbook[[#This Row],[UDC]],TableGCMMJRN[],7,FALSE),"")</f>
        <v/>
      </c>
      <c r="U92" s="183" t="str">
        <f>IFERROR(VLOOKUP(TableHandbook[[#This Row],[UDC]],TableMCHRIGLO[],7,FALSE),"")</f>
        <v/>
      </c>
      <c r="V92" s="118" t="str">
        <f>IFERROR(VLOOKUP(TableHandbook[[#This Row],[UDC]],TableMCHRIGHT[],7,FALSE),"")</f>
        <v/>
      </c>
      <c r="W92" s="118" t="str">
        <f>IFERROR(VLOOKUP(TableHandbook[[#This Row],[UDC]],TableGDHRIGHT[],7,FALSE),"")</f>
        <v/>
      </c>
      <c r="X92" s="184" t="str">
        <f>IFERROR(VLOOKUP(TableHandbook[[#This Row],[UDC]],TableGCHRIGHT[],7,FALSE),"")</f>
        <v/>
      </c>
      <c r="Y92" s="183" t="str">
        <f>IFERROR(VLOOKUP(TableHandbook[[#This Row],[UDC]],TableMCGLOBL2[],7,FALSE),"")</f>
        <v/>
      </c>
      <c r="Z92" s="118" t="str">
        <f>IFERROR(VLOOKUP(TableHandbook[[#This Row],[UDC]],TableMCGLOBL[],7,FALSE),"")</f>
        <v/>
      </c>
      <c r="AA92" s="297" t="str">
        <f>IFERROR(VLOOKUP(TableHandbook[[#This Row],[UDC]],TableSTRPGLOBL[],7,FALSE),"")</f>
        <v/>
      </c>
      <c r="AB92" s="297" t="str">
        <f>IFERROR(VLOOKUP(TableHandbook[[#This Row],[UDC]],TableSTRPHRIGT[],7,FALSE),"")</f>
        <v/>
      </c>
      <c r="AC92" s="297" t="str">
        <f>IFERROR(VLOOKUP(TableHandbook[[#This Row],[UDC]],TableSTRPINTRN[],7,FALSE),"")</f>
        <v/>
      </c>
      <c r="AD92" s="184" t="str">
        <f>IFERROR(VLOOKUP(TableHandbook[[#This Row],[UDC]],TableGCGLOBL[],7,FALSE),"")</f>
        <v/>
      </c>
      <c r="AE92" s="183" t="str">
        <f>IFERROR(VLOOKUP(TableHandbook[[#This Row],[UDC]],TableMCNETSCM[],7,FALSE),"")</f>
        <v/>
      </c>
      <c r="AF92" s="118" t="str">
        <f>IFERROR(VLOOKUP(TableHandbook[[#This Row],[UDC]],TableGDNETSCM[],7,FALSE),"")</f>
        <v/>
      </c>
      <c r="AG92" s="184" t="str">
        <f>IFERROR(VLOOKUP(TableHandbook[[#This Row],[UDC]],TableGCNETSCM[],7,FALSE),"")</f>
        <v/>
      </c>
      <c r="AH92" s="183" t="str">
        <f>IFERROR(VLOOKUP(TableHandbook[[#This Row],[UDC]],TableMCINTRNS[],7,FALSE),"")</f>
        <v/>
      </c>
      <c r="AI92" s="118" t="str">
        <f>IFERROR(VLOOKUP(TableHandbook[[#This Row],[UDC]],TableGDINTRNS[],7,FALSE),"")</f>
        <v/>
      </c>
      <c r="AJ92" s="184" t="str">
        <f>IFERROR(VLOOKUP(TableHandbook[[#This Row],[UDC]],TableGCINTRNS[],7,FALSE),"")</f>
        <v/>
      </c>
    </row>
    <row r="93" spans="1:36" x14ac:dyDescent="0.25">
      <c r="A93" s="6" t="s">
        <v>263</v>
      </c>
      <c r="B93" s="7">
        <v>3</v>
      </c>
      <c r="C93" s="6"/>
      <c r="D93" s="6" t="s">
        <v>465</v>
      </c>
      <c r="E93" s="7">
        <v>25</v>
      </c>
      <c r="F93" s="186" t="s">
        <v>368</v>
      </c>
      <c r="G93" s="75" t="str">
        <f>IFERROR(IF(VLOOKUP(TableHandbook[[#This Row],[UDC]],TableAvailabilities[],2,FALSE)&gt;0,"Y",""),"")</f>
        <v/>
      </c>
      <c r="H93" s="116" t="str">
        <f>IFERROR(IF(VLOOKUP(TableHandbook[[#This Row],[UDC]],TableAvailabilities[],3,FALSE)&gt;0,"Y",""),"")</f>
        <v/>
      </c>
      <c r="I93" s="117" t="str">
        <f>IFERROR(IF(VLOOKUP(TableHandbook[[#This Row],[UDC]],TableAvailabilities[],4,FALSE)&gt;0,"Y",""),"")</f>
        <v>Y</v>
      </c>
      <c r="J93" s="76" t="str">
        <f>IFERROR(IF(VLOOKUP(TableHandbook[[#This Row],[UDC]],TableAvailabilities[],5,FALSE)&gt;0,"Y",""),"")</f>
        <v/>
      </c>
      <c r="K93" s="289" t="s">
        <v>371</v>
      </c>
      <c r="L93" s="183" t="str">
        <f>IFERROR(VLOOKUP(TableHandbook[[#This Row],[UDC]],TableMCARTS[],7,FALSE),"")</f>
        <v/>
      </c>
      <c r="M93" s="118" t="str">
        <f>IFERROR(VLOOKUP(TableHandbook[[#This Row],[UDC]],TableMJRPCWRIT[],7,FALSE),"")</f>
        <v/>
      </c>
      <c r="N93" s="118" t="str">
        <f>IFERROR(VLOOKUP(TableHandbook[[#This Row],[UDC]],TableMJRPFINAR[],7,FALSE),"")</f>
        <v/>
      </c>
      <c r="O93" s="118" t="str">
        <f>IFERROR(VLOOKUP(TableHandbook[[#This Row],[UDC]],TableMJRPPWRIT[],7,FALSE),"")</f>
        <v/>
      </c>
      <c r="P93" s="184" t="str">
        <f>IFERROR(VLOOKUP(TableHandbook[[#This Row],[UDC]],TableMJRPSCRAR[],7,FALSE),"")</f>
        <v/>
      </c>
      <c r="Q93" s="183" t="str">
        <f>IFERROR(VLOOKUP(TableHandbook[[#This Row],[UDC]],TableMCMMJRG[],7,FALSE),"")</f>
        <v>Core</v>
      </c>
      <c r="R93" s="118" t="str">
        <f>IFERROR(VLOOKUP(TableHandbook[[#This Row],[UDC]],TableMCMMJRN[],7,FALSE),"")</f>
        <v>Core</v>
      </c>
      <c r="S93" s="118" t="str">
        <f>IFERROR(VLOOKUP(TableHandbook[[#This Row],[UDC]],TableGDMMJRN[],7,FALSE),"")</f>
        <v>Core</v>
      </c>
      <c r="T93" s="184" t="str">
        <f>IFERROR(VLOOKUP(TableHandbook[[#This Row],[UDC]],TableGCMMJRN[],7,FALSE),"")</f>
        <v/>
      </c>
      <c r="U93" s="183" t="str">
        <f>IFERROR(VLOOKUP(TableHandbook[[#This Row],[UDC]],TableMCHRIGLO[],7,FALSE),"")</f>
        <v/>
      </c>
      <c r="V93" s="118" t="str">
        <f>IFERROR(VLOOKUP(TableHandbook[[#This Row],[UDC]],TableMCHRIGHT[],7,FALSE),"")</f>
        <v/>
      </c>
      <c r="W93" s="118" t="str">
        <f>IFERROR(VLOOKUP(TableHandbook[[#This Row],[UDC]],TableGDHRIGHT[],7,FALSE),"")</f>
        <v/>
      </c>
      <c r="X93" s="184" t="str">
        <f>IFERROR(VLOOKUP(TableHandbook[[#This Row],[UDC]],TableGCHRIGHT[],7,FALSE),"")</f>
        <v/>
      </c>
      <c r="Y93" s="183" t="str">
        <f>IFERROR(VLOOKUP(TableHandbook[[#This Row],[UDC]],TableMCGLOBL2[],7,FALSE),"")</f>
        <v/>
      </c>
      <c r="Z93" s="118" t="str">
        <f>IFERROR(VLOOKUP(TableHandbook[[#This Row],[UDC]],TableMCGLOBL[],7,FALSE),"")</f>
        <v/>
      </c>
      <c r="AA93" s="297" t="str">
        <f>IFERROR(VLOOKUP(TableHandbook[[#This Row],[UDC]],TableSTRPGLOBL[],7,FALSE),"")</f>
        <v/>
      </c>
      <c r="AB93" s="297" t="str">
        <f>IFERROR(VLOOKUP(TableHandbook[[#This Row],[UDC]],TableSTRPHRIGT[],7,FALSE),"")</f>
        <v/>
      </c>
      <c r="AC93" s="297" t="str">
        <f>IFERROR(VLOOKUP(TableHandbook[[#This Row],[UDC]],TableSTRPINTRN[],7,FALSE),"")</f>
        <v/>
      </c>
      <c r="AD93" s="184" t="str">
        <f>IFERROR(VLOOKUP(TableHandbook[[#This Row],[UDC]],TableGCGLOBL[],7,FALSE),"")</f>
        <v/>
      </c>
      <c r="AE93" s="183" t="str">
        <f>IFERROR(VLOOKUP(TableHandbook[[#This Row],[UDC]],TableMCNETSCM[],7,FALSE),"")</f>
        <v/>
      </c>
      <c r="AF93" s="118" t="str">
        <f>IFERROR(VLOOKUP(TableHandbook[[#This Row],[UDC]],TableGDNETSCM[],7,FALSE),"")</f>
        <v/>
      </c>
      <c r="AG93" s="184" t="str">
        <f>IFERROR(VLOOKUP(TableHandbook[[#This Row],[UDC]],TableGCNETSCM[],7,FALSE),"")</f>
        <v/>
      </c>
      <c r="AH93" s="183" t="str">
        <f>IFERROR(VLOOKUP(TableHandbook[[#This Row],[UDC]],TableMCINTRNS[],7,FALSE),"")</f>
        <v/>
      </c>
      <c r="AI93" s="118" t="str">
        <f>IFERROR(VLOOKUP(TableHandbook[[#This Row],[UDC]],TableGDINTRNS[],7,FALSE),"")</f>
        <v/>
      </c>
      <c r="AJ93" s="184" t="str">
        <f>IFERROR(VLOOKUP(TableHandbook[[#This Row],[UDC]],TableGCINTRNS[],7,FALSE),"")</f>
        <v/>
      </c>
    </row>
    <row r="94" spans="1:36" x14ac:dyDescent="0.25">
      <c r="A94" s="6" t="s">
        <v>466</v>
      </c>
      <c r="B94" s="7">
        <v>2</v>
      </c>
      <c r="C94" s="6"/>
      <c r="D94" s="6" t="s">
        <v>467</v>
      </c>
      <c r="E94" s="7">
        <v>25</v>
      </c>
      <c r="F94" s="186" t="s">
        <v>368</v>
      </c>
      <c r="G94" s="75" t="str">
        <f>IFERROR(IF(VLOOKUP(TableHandbook[[#This Row],[UDC]],TableAvailabilities[],2,FALSE)&gt;0,"Y",""),"")</f>
        <v/>
      </c>
      <c r="H94" s="116" t="str">
        <f>IFERROR(IF(VLOOKUP(TableHandbook[[#This Row],[UDC]],TableAvailabilities[],3,FALSE)&gt;0,"Y",""),"")</f>
        <v/>
      </c>
      <c r="I94" s="117" t="str">
        <f>IFERROR(IF(VLOOKUP(TableHandbook[[#This Row],[UDC]],TableAvailabilities[],4,FALSE)&gt;0,"Y",""),"")</f>
        <v/>
      </c>
      <c r="J94" s="76" t="str">
        <f>IFERROR(IF(VLOOKUP(TableHandbook[[#This Row],[UDC]],TableAvailabilities[],5,FALSE)&gt;0,"Y",""),"")</f>
        <v/>
      </c>
      <c r="K94" s="289" t="s">
        <v>375</v>
      </c>
      <c r="L94" s="183" t="str">
        <f>IFERROR(VLOOKUP(TableHandbook[[#This Row],[UDC]],TableMCARTS[],7,FALSE),"")</f>
        <v/>
      </c>
      <c r="M94" s="118" t="str">
        <f>IFERROR(VLOOKUP(TableHandbook[[#This Row],[UDC]],TableMJRPCWRIT[],7,FALSE),"")</f>
        <v/>
      </c>
      <c r="N94" s="118" t="str">
        <f>IFERROR(VLOOKUP(TableHandbook[[#This Row],[UDC]],TableMJRPFINAR[],7,FALSE),"")</f>
        <v/>
      </c>
      <c r="O94" s="118" t="str">
        <f>IFERROR(VLOOKUP(TableHandbook[[#This Row],[UDC]],TableMJRPPWRIT[],7,FALSE),"")</f>
        <v/>
      </c>
      <c r="P94" s="184" t="str">
        <f>IFERROR(VLOOKUP(TableHandbook[[#This Row],[UDC]],TableMJRPSCRAR[],7,FALSE),"")</f>
        <v/>
      </c>
      <c r="Q94" s="183" t="str">
        <f>IFERROR(VLOOKUP(TableHandbook[[#This Row],[UDC]],TableMCMMJRG[],7,FALSE),"")</f>
        <v/>
      </c>
      <c r="R94" s="118" t="str">
        <f>IFERROR(VLOOKUP(TableHandbook[[#This Row],[UDC]],TableMCMMJRN[],7,FALSE),"")</f>
        <v/>
      </c>
      <c r="S94" s="118" t="str">
        <f>IFERROR(VLOOKUP(TableHandbook[[#This Row],[UDC]],TableGDMMJRN[],7,FALSE),"")</f>
        <v/>
      </c>
      <c r="T94" s="184" t="str">
        <f>IFERROR(VLOOKUP(TableHandbook[[#This Row],[UDC]],TableGCMMJRN[],7,FALSE),"")</f>
        <v/>
      </c>
      <c r="U94" s="183" t="str">
        <f>IFERROR(VLOOKUP(TableHandbook[[#This Row],[UDC]],TableMCHRIGLO[],7,FALSE),"")</f>
        <v/>
      </c>
      <c r="V94" s="118" t="str">
        <f>IFERROR(VLOOKUP(TableHandbook[[#This Row],[UDC]],TableMCHRIGHT[],7,FALSE),"")</f>
        <v/>
      </c>
      <c r="W94" s="118" t="str">
        <f>IFERROR(VLOOKUP(TableHandbook[[#This Row],[UDC]],TableGDHRIGHT[],7,FALSE),"")</f>
        <v/>
      </c>
      <c r="X94" s="184" t="str">
        <f>IFERROR(VLOOKUP(TableHandbook[[#This Row],[UDC]],TableGCHRIGHT[],7,FALSE),"")</f>
        <v/>
      </c>
      <c r="Y94" s="183" t="str">
        <f>IFERROR(VLOOKUP(TableHandbook[[#This Row],[UDC]],TableMCGLOBL2[],7,FALSE),"")</f>
        <v/>
      </c>
      <c r="Z94" s="118" t="str">
        <f>IFERROR(VLOOKUP(TableHandbook[[#This Row],[UDC]],TableMCGLOBL[],7,FALSE),"")</f>
        <v/>
      </c>
      <c r="AA94" s="297" t="str">
        <f>IFERROR(VLOOKUP(TableHandbook[[#This Row],[UDC]],TableSTRPGLOBL[],7,FALSE),"")</f>
        <v/>
      </c>
      <c r="AB94" s="297" t="str">
        <f>IFERROR(VLOOKUP(TableHandbook[[#This Row],[UDC]],TableSTRPHRIGT[],7,FALSE),"")</f>
        <v/>
      </c>
      <c r="AC94" s="297" t="str">
        <f>IFERROR(VLOOKUP(TableHandbook[[#This Row],[UDC]],TableSTRPINTRN[],7,FALSE),"")</f>
        <v/>
      </c>
      <c r="AD94" s="184" t="str">
        <f>IFERROR(VLOOKUP(TableHandbook[[#This Row],[UDC]],TableGCGLOBL[],7,FALSE),"")</f>
        <v/>
      </c>
      <c r="AE94" s="183" t="str">
        <f>IFERROR(VLOOKUP(TableHandbook[[#This Row],[UDC]],TableMCNETSCM[],7,FALSE),"")</f>
        <v/>
      </c>
      <c r="AF94" s="118" t="str">
        <f>IFERROR(VLOOKUP(TableHandbook[[#This Row],[UDC]],TableGDNETSCM[],7,FALSE),"")</f>
        <v/>
      </c>
      <c r="AG94" s="184" t="str">
        <f>IFERROR(VLOOKUP(TableHandbook[[#This Row],[UDC]],TableGCNETSCM[],7,FALSE),"")</f>
        <v/>
      </c>
      <c r="AH94" s="183" t="str">
        <f>IFERROR(VLOOKUP(TableHandbook[[#This Row],[UDC]],TableMCINTRNS[],7,FALSE),"")</f>
        <v/>
      </c>
      <c r="AI94" s="118" t="str">
        <f>IFERROR(VLOOKUP(TableHandbook[[#This Row],[UDC]],TableGDINTRNS[],7,FALSE),"")</f>
        <v/>
      </c>
      <c r="AJ94" s="184" t="str">
        <f>IFERROR(VLOOKUP(TableHandbook[[#This Row],[UDC]],TableGCINTRNS[],7,FALSE),"")</f>
        <v/>
      </c>
    </row>
    <row r="95" spans="1:36" x14ac:dyDescent="0.25">
      <c r="A95" s="6" t="s">
        <v>261</v>
      </c>
      <c r="B95" s="7">
        <v>3</v>
      </c>
      <c r="C95" s="6"/>
      <c r="D95" s="6" t="s">
        <v>468</v>
      </c>
      <c r="E95" s="7">
        <v>25</v>
      </c>
      <c r="F95" s="186" t="s">
        <v>368</v>
      </c>
      <c r="G95" s="75" t="str">
        <f>IFERROR(IF(VLOOKUP(TableHandbook[[#This Row],[UDC]],TableAvailabilities[],2,FALSE)&gt;0,"Y",""),"")</f>
        <v>Y</v>
      </c>
      <c r="H95" s="116" t="str">
        <f>IFERROR(IF(VLOOKUP(TableHandbook[[#This Row],[UDC]],TableAvailabilities[],3,FALSE)&gt;0,"Y",""),"")</f>
        <v/>
      </c>
      <c r="I95" s="117" t="str">
        <f>IFERROR(IF(VLOOKUP(TableHandbook[[#This Row],[UDC]],TableAvailabilities[],4,FALSE)&gt;0,"Y",""),"")</f>
        <v/>
      </c>
      <c r="J95" s="76" t="str">
        <f>IFERROR(IF(VLOOKUP(TableHandbook[[#This Row],[UDC]],TableAvailabilities[],5,FALSE)&gt;0,"Y",""),"")</f>
        <v/>
      </c>
      <c r="K95" s="289"/>
      <c r="L95" s="183" t="str">
        <f>IFERROR(VLOOKUP(TableHandbook[[#This Row],[UDC]],TableMCARTS[],7,FALSE),"")</f>
        <v/>
      </c>
      <c r="M95" s="118" t="str">
        <f>IFERROR(VLOOKUP(TableHandbook[[#This Row],[UDC]],TableMJRPCWRIT[],7,FALSE),"")</f>
        <v/>
      </c>
      <c r="N95" s="118" t="str">
        <f>IFERROR(VLOOKUP(TableHandbook[[#This Row],[UDC]],TableMJRPFINAR[],7,FALSE),"")</f>
        <v/>
      </c>
      <c r="O95" s="118" t="str">
        <f>IFERROR(VLOOKUP(TableHandbook[[#This Row],[UDC]],TableMJRPPWRIT[],7,FALSE),"")</f>
        <v/>
      </c>
      <c r="P95" s="184" t="str">
        <f>IFERROR(VLOOKUP(TableHandbook[[#This Row],[UDC]],TableMJRPSCRAR[],7,FALSE),"")</f>
        <v/>
      </c>
      <c r="Q95" s="183" t="str">
        <f>IFERROR(VLOOKUP(TableHandbook[[#This Row],[UDC]],TableMCMMJRG[],7,FALSE),"")</f>
        <v>Core</v>
      </c>
      <c r="R95" s="118" t="str">
        <f>IFERROR(VLOOKUP(TableHandbook[[#This Row],[UDC]],TableMCMMJRN[],7,FALSE),"")</f>
        <v>Core</v>
      </c>
      <c r="S95" s="118" t="str">
        <f>IFERROR(VLOOKUP(TableHandbook[[#This Row],[UDC]],TableGDMMJRN[],7,FALSE),"")</f>
        <v>Core</v>
      </c>
      <c r="T95" s="184" t="str">
        <f>IFERROR(VLOOKUP(TableHandbook[[#This Row],[UDC]],TableGCMMJRN[],7,FALSE),"")</f>
        <v>Core</v>
      </c>
      <c r="U95" s="183" t="str">
        <f>IFERROR(VLOOKUP(TableHandbook[[#This Row],[UDC]],TableMCHRIGLO[],7,FALSE),"")</f>
        <v/>
      </c>
      <c r="V95" s="118" t="str">
        <f>IFERROR(VLOOKUP(TableHandbook[[#This Row],[UDC]],TableMCHRIGHT[],7,FALSE),"")</f>
        <v/>
      </c>
      <c r="W95" s="118" t="str">
        <f>IFERROR(VLOOKUP(TableHandbook[[#This Row],[UDC]],TableGDHRIGHT[],7,FALSE),"")</f>
        <v/>
      </c>
      <c r="X95" s="184" t="str">
        <f>IFERROR(VLOOKUP(TableHandbook[[#This Row],[UDC]],TableGCHRIGHT[],7,FALSE),"")</f>
        <v/>
      </c>
      <c r="Y95" s="183" t="str">
        <f>IFERROR(VLOOKUP(TableHandbook[[#This Row],[UDC]],TableMCGLOBL2[],7,FALSE),"")</f>
        <v/>
      </c>
      <c r="Z95" s="118" t="str">
        <f>IFERROR(VLOOKUP(TableHandbook[[#This Row],[UDC]],TableMCGLOBL[],7,FALSE),"")</f>
        <v/>
      </c>
      <c r="AA95" s="297" t="str">
        <f>IFERROR(VLOOKUP(TableHandbook[[#This Row],[UDC]],TableSTRPGLOBL[],7,FALSE),"")</f>
        <v/>
      </c>
      <c r="AB95" s="297" t="str">
        <f>IFERROR(VLOOKUP(TableHandbook[[#This Row],[UDC]],TableSTRPHRIGT[],7,FALSE),"")</f>
        <v/>
      </c>
      <c r="AC95" s="297" t="str">
        <f>IFERROR(VLOOKUP(TableHandbook[[#This Row],[UDC]],TableSTRPINTRN[],7,FALSE),"")</f>
        <v/>
      </c>
      <c r="AD95" s="184" t="str">
        <f>IFERROR(VLOOKUP(TableHandbook[[#This Row],[UDC]],TableGCGLOBL[],7,FALSE),"")</f>
        <v/>
      </c>
      <c r="AE95" s="183" t="str">
        <f>IFERROR(VLOOKUP(TableHandbook[[#This Row],[UDC]],TableMCNETSCM[],7,FALSE),"")</f>
        <v/>
      </c>
      <c r="AF95" s="118" t="str">
        <f>IFERROR(VLOOKUP(TableHandbook[[#This Row],[UDC]],TableGDNETSCM[],7,FALSE),"")</f>
        <v/>
      </c>
      <c r="AG95" s="184" t="str">
        <f>IFERROR(VLOOKUP(TableHandbook[[#This Row],[UDC]],TableGCNETSCM[],7,FALSE),"")</f>
        <v/>
      </c>
      <c r="AH95" s="183" t="str">
        <f>IFERROR(VLOOKUP(TableHandbook[[#This Row],[UDC]],TableMCINTRNS[],7,FALSE),"")</f>
        <v/>
      </c>
      <c r="AI95" s="118" t="str">
        <f>IFERROR(VLOOKUP(TableHandbook[[#This Row],[UDC]],TableGDINTRNS[],7,FALSE),"")</f>
        <v/>
      </c>
      <c r="AJ95" s="184" t="str">
        <f>IFERROR(VLOOKUP(TableHandbook[[#This Row],[UDC]],TableGCINTRNS[],7,FALSE),"")</f>
        <v/>
      </c>
    </row>
    <row r="96" spans="1:36" x14ac:dyDescent="0.25">
      <c r="A96" s="6" t="s">
        <v>264</v>
      </c>
      <c r="B96" s="7">
        <v>1</v>
      </c>
      <c r="C96" s="6"/>
      <c r="D96" s="6" t="s">
        <v>469</v>
      </c>
      <c r="E96" s="7">
        <v>25</v>
      </c>
      <c r="F96" s="186" t="s">
        <v>368</v>
      </c>
      <c r="G96" s="75" t="str">
        <f>IFERROR(IF(VLOOKUP(TableHandbook[[#This Row],[UDC]],TableAvailabilities[],2,FALSE)&gt;0,"Y",""),"")</f>
        <v/>
      </c>
      <c r="H96" s="116" t="str">
        <f>IFERROR(IF(VLOOKUP(TableHandbook[[#This Row],[UDC]],TableAvailabilities[],3,FALSE)&gt;0,"Y",""),"")</f>
        <v/>
      </c>
      <c r="I96" s="117" t="str">
        <f>IFERROR(IF(VLOOKUP(TableHandbook[[#This Row],[UDC]],TableAvailabilities[],4,FALSE)&gt;0,"Y",""),"")</f>
        <v>Y</v>
      </c>
      <c r="J96" s="76" t="str">
        <f>IFERROR(IF(VLOOKUP(TableHandbook[[#This Row],[UDC]],TableAvailabilities[],5,FALSE)&gt;0,"Y",""),"")</f>
        <v/>
      </c>
      <c r="K96" s="289"/>
      <c r="L96" s="183" t="str">
        <f>IFERROR(VLOOKUP(TableHandbook[[#This Row],[UDC]],TableMCARTS[],7,FALSE),"")</f>
        <v/>
      </c>
      <c r="M96" s="118" t="str">
        <f>IFERROR(VLOOKUP(TableHandbook[[#This Row],[UDC]],TableMJRPCWRIT[],7,FALSE),"")</f>
        <v/>
      </c>
      <c r="N96" s="118" t="str">
        <f>IFERROR(VLOOKUP(TableHandbook[[#This Row],[UDC]],TableMJRPFINAR[],7,FALSE),"")</f>
        <v/>
      </c>
      <c r="O96" s="118" t="str">
        <f>IFERROR(VLOOKUP(TableHandbook[[#This Row],[UDC]],TableMJRPPWRIT[],7,FALSE),"")</f>
        <v/>
      </c>
      <c r="P96" s="184" t="str">
        <f>IFERROR(VLOOKUP(TableHandbook[[#This Row],[UDC]],TableMJRPSCRAR[],7,FALSE),"")</f>
        <v/>
      </c>
      <c r="Q96" s="183" t="str">
        <f>IFERROR(VLOOKUP(TableHandbook[[#This Row],[UDC]],TableMCMMJRG[],7,FALSE),"")</f>
        <v>Core</v>
      </c>
      <c r="R96" s="118" t="str">
        <f>IFERROR(VLOOKUP(TableHandbook[[#This Row],[UDC]],TableMCMMJRN[],7,FALSE),"")</f>
        <v>Core</v>
      </c>
      <c r="S96" s="118" t="str">
        <f>IFERROR(VLOOKUP(TableHandbook[[#This Row],[UDC]],TableGDMMJRN[],7,FALSE),"")</f>
        <v>Core</v>
      </c>
      <c r="T96" s="184" t="str">
        <f>IFERROR(VLOOKUP(TableHandbook[[#This Row],[UDC]],TableGCMMJRN[],7,FALSE),"")</f>
        <v/>
      </c>
      <c r="U96" s="183" t="str">
        <f>IFERROR(VLOOKUP(TableHandbook[[#This Row],[UDC]],TableMCHRIGLO[],7,FALSE),"")</f>
        <v/>
      </c>
      <c r="V96" s="118" t="str">
        <f>IFERROR(VLOOKUP(TableHandbook[[#This Row],[UDC]],TableMCHRIGHT[],7,FALSE),"")</f>
        <v/>
      </c>
      <c r="W96" s="118" t="str">
        <f>IFERROR(VLOOKUP(TableHandbook[[#This Row],[UDC]],TableGDHRIGHT[],7,FALSE),"")</f>
        <v/>
      </c>
      <c r="X96" s="184" t="str">
        <f>IFERROR(VLOOKUP(TableHandbook[[#This Row],[UDC]],TableGCHRIGHT[],7,FALSE),"")</f>
        <v/>
      </c>
      <c r="Y96" s="183" t="str">
        <f>IFERROR(VLOOKUP(TableHandbook[[#This Row],[UDC]],TableMCGLOBL2[],7,FALSE),"")</f>
        <v/>
      </c>
      <c r="Z96" s="118" t="str">
        <f>IFERROR(VLOOKUP(TableHandbook[[#This Row],[UDC]],TableMCGLOBL[],7,FALSE),"")</f>
        <v/>
      </c>
      <c r="AA96" s="297" t="str">
        <f>IFERROR(VLOOKUP(TableHandbook[[#This Row],[UDC]],TableSTRPGLOBL[],7,FALSE),"")</f>
        <v/>
      </c>
      <c r="AB96" s="297" t="str">
        <f>IFERROR(VLOOKUP(TableHandbook[[#This Row],[UDC]],TableSTRPHRIGT[],7,FALSE),"")</f>
        <v/>
      </c>
      <c r="AC96" s="297" t="str">
        <f>IFERROR(VLOOKUP(TableHandbook[[#This Row],[UDC]],TableSTRPINTRN[],7,FALSE),"")</f>
        <v/>
      </c>
      <c r="AD96" s="184" t="str">
        <f>IFERROR(VLOOKUP(TableHandbook[[#This Row],[UDC]],TableGCGLOBL[],7,FALSE),"")</f>
        <v/>
      </c>
      <c r="AE96" s="183" t="str">
        <f>IFERROR(VLOOKUP(TableHandbook[[#This Row],[UDC]],TableMCNETSCM[],7,FALSE),"")</f>
        <v/>
      </c>
      <c r="AF96" s="118" t="str">
        <f>IFERROR(VLOOKUP(TableHandbook[[#This Row],[UDC]],TableGDNETSCM[],7,FALSE),"")</f>
        <v/>
      </c>
      <c r="AG96" s="184" t="str">
        <f>IFERROR(VLOOKUP(TableHandbook[[#This Row],[UDC]],TableGCNETSCM[],7,FALSE),"")</f>
        <v/>
      </c>
      <c r="AH96" s="183" t="str">
        <f>IFERROR(VLOOKUP(TableHandbook[[#This Row],[UDC]],TableMCINTRNS[],7,FALSE),"")</f>
        <v/>
      </c>
      <c r="AI96" s="118" t="str">
        <f>IFERROR(VLOOKUP(TableHandbook[[#This Row],[UDC]],TableGDINTRNS[],7,FALSE),"")</f>
        <v/>
      </c>
      <c r="AJ96" s="184" t="str">
        <f>IFERROR(VLOOKUP(TableHandbook[[#This Row],[UDC]],TableGCINTRNS[],7,FALSE),"")</f>
        <v/>
      </c>
    </row>
    <row r="97" spans="1:36" x14ac:dyDescent="0.25">
      <c r="A97" s="6" t="s">
        <v>470</v>
      </c>
      <c r="B97" s="7">
        <v>1</v>
      </c>
      <c r="C97" s="6"/>
      <c r="D97" s="6" t="s">
        <v>471</v>
      </c>
      <c r="E97" s="7">
        <v>50</v>
      </c>
      <c r="F97" s="186" t="s">
        <v>260</v>
      </c>
      <c r="G97" s="75" t="str">
        <f>IFERROR(IF(VLOOKUP(TableHandbook[[#This Row],[UDC]],TableAvailabilities[],2,FALSE)&gt;0,"Y",""),"")</f>
        <v/>
      </c>
      <c r="H97" s="116" t="str">
        <f>IFERROR(IF(VLOOKUP(TableHandbook[[#This Row],[UDC]],TableAvailabilities[],3,FALSE)&gt;0,"Y",""),"")</f>
        <v/>
      </c>
      <c r="I97" s="117" t="str">
        <f>IFERROR(IF(VLOOKUP(TableHandbook[[#This Row],[UDC]],TableAvailabilities[],4,FALSE)&gt;0,"Y",""),"")</f>
        <v/>
      </c>
      <c r="J97" s="76" t="str">
        <f>IFERROR(IF(VLOOKUP(TableHandbook[[#This Row],[UDC]],TableAvailabilities[],5,FALSE)&gt;0,"Y",""),"")</f>
        <v/>
      </c>
      <c r="K97" s="289" t="s">
        <v>420</v>
      </c>
      <c r="L97" s="183" t="str">
        <f>IFERROR(VLOOKUP(TableHandbook[[#This Row],[UDC]],TableMCARTS[],7,FALSE),"")</f>
        <v/>
      </c>
      <c r="M97" s="118" t="str">
        <f>IFERROR(VLOOKUP(TableHandbook[[#This Row],[UDC]],TableMJRPCWRIT[],7,FALSE),"")</f>
        <v/>
      </c>
      <c r="N97" s="118" t="str">
        <f>IFERROR(VLOOKUP(TableHandbook[[#This Row],[UDC]],TableMJRPFINAR[],7,FALSE),"")</f>
        <v/>
      </c>
      <c r="O97" s="118" t="str">
        <f>IFERROR(VLOOKUP(TableHandbook[[#This Row],[UDC]],TableMJRPPWRIT[],7,FALSE),"")</f>
        <v/>
      </c>
      <c r="P97" s="184" t="str">
        <f>IFERROR(VLOOKUP(TableHandbook[[#This Row],[UDC]],TableMJRPSCRAR[],7,FALSE),"")</f>
        <v/>
      </c>
      <c r="Q97" s="183" t="str">
        <f>IFERROR(VLOOKUP(TableHandbook[[#This Row],[UDC]],TableMCMMJRG[],7,FALSE),"")</f>
        <v/>
      </c>
      <c r="R97" s="118" t="str">
        <f>IFERROR(VLOOKUP(TableHandbook[[#This Row],[UDC]],TableMCMMJRN[],7,FALSE),"")</f>
        <v/>
      </c>
      <c r="S97" s="118" t="str">
        <f>IFERROR(VLOOKUP(TableHandbook[[#This Row],[UDC]],TableGDMMJRN[],7,FALSE),"")</f>
        <v/>
      </c>
      <c r="T97" s="184" t="str">
        <f>IFERROR(VLOOKUP(TableHandbook[[#This Row],[UDC]],TableGCMMJRN[],7,FALSE),"")</f>
        <v/>
      </c>
      <c r="U97" s="183" t="str">
        <f>IFERROR(VLOOKUP(TableHandbook[[#This Row],[UDC]],TableMCHRIGLO[],7,FALSE),"")</f>
        <v/>
      </c>
      <c r="V97" s="118" t="str">
        <f>IFERROR(VLOOKUP(TableHandbook[[#This Row],[UDC]],TableMCHRIGHT[],7,FALSE),"")</f>
        <v/>
      </c>
      <c r="W97" s="118" t="str">
        <f>IFERROR(VLOOKUP(TableHandbook[[#This Row],[UDC]],TableGDHRIGHT[],7,FALSE),"")</f>
        <v/>
      </c>
      <c r="X97" s="184" t="str">
        <f>IFERROR(VLOOKUP(TableHandbook[[#This Row],[UDC]],TableGCHRIGHT[],7,FALSE),"")</f>
        <v/>
      </c>
      <c r="Y97" s="183" t="str">
        <f>IFERROR(VLOOKUP(TableHandbook[[#This Row],[UDC]],TableMCGLOBL2[],7,FALSE),"")</f>
        <v/>
      </c>
      <c r="Z97" s="118" t="str">
        <f>IFERROR(VLOOKUP(TableHandbook[[#This Row],[UDC]],TableMCGLOBL[],7,FALSE),"")</f>
        <v/>
      </c>
      <c r="AA97" s="297" t="str">
        <f>IFERROR(VLOOKUP(TableHandbook[[#This Row],[UDC]],TableSTRPGLOBL[],7,FALSE),"")</f>
        <v/>
      </c>
      <c r="AB97" s="297" t="str">
        <f>IFERROR(VLOOKUP(TableHandbook[[#This Row],[UDC]],TableSTRPHRIGT[],7,FALSE),"")</f>
        <v/>
      </c>
      <c r="AC97" s="297" t="str">
        <f>IFERROR(VLOOKUP(TableHandbook[[#This Row],[UDC]],TableSTRPINTRN[],7,FALSE),"")</f>
        <v/>
      </c>
      <c r="AD97" s="184" t="str">
        <f>IFERROR(VLOOKUP(TableHandbook[[#This Row],[UDC]],TableGCGLOBL[],7,FALSE),"")</f>
        <v/>
      </c>
      <c r="AE97" s="183" t="str">
        <f>IFERROR(VLOOKUP(TableHandbook[[#This Row],[UDC]],TableMCNETSCM[],7,FALSE),"")</f>
        <v/>
      </c>
      <c r="AF97" s="118" t="str">
        <f>IFERROR(VLOOKUP(TableHandbook[[#This Row],[UDC]],TableGDNETSCM[],7,FALSE),"")</f>
        <v/>
      </c>
      <c r="AG97" s="184" t="str">
        <f>IFERROR(VLOOKUP(TableHandbook[[#This Row],[UDC]],TableGCNETSCM[],7,FALSE),"")</f>
        <v/>
      </c>
      <c r="AH97" s="183" t="str">
        <f>IFERROR(VLOOKUP(TableHandbook[[#This Row],[UDC]],TableMCINTRNS[],7,FALSE),"")</f>
        <v/>
      </c>
      <c r="AI97" s="118" t="str">
        <f>IFERROR(VLOOKUP(TableHandbook[[#This Row],[UDC]],TableGDINTRNS[],7,FALSE),"")</f>
        <v/>
      </c>
      <c r="AJ97" s="184" t="str">
        <f>IFERROR(VLOOKUP(TableHandbook[[#This Row],[UDC]],TableGCINTRNS[],7,FALSE),"")</f>
        <v/>
      </c>
    </row>
    <row r="98" spans="1:36" x14ac:dyDescent="0.25">
      <c r="A98" s="6" t="s">
        <v>266</v>
      </c>
      <c r="B98" s="7">
        <v>2</v>
      </c>
      <c r="C98" s="6"/>
      <c r="D98" s="6" t="s">
        <v>472</v>
      </c>
      <c r="E98" s="7">
        <v>25</v>
      </c>
      <c r="F98" s="186" t="s">
        <v>473</v>
      </c>
      <c r="G98" s="75" t="str">
        <f>IFERROR(IF(VLOOKUP(TableHandbook[[#This Row],[UDC]],TableAvailabilities[],2,FALSE)&gt;0,"Y",""),"")</f>
        <v>Y</v>
      </c>
      <c r="H98" s="116" t="str">
        <f>IFERROR(IF(VLOOKUP(TableHandbook[[#This Row],[UDC]],TableAvailabilities[],3,FALSE)&gt;0,"Y",""),"")</f>
        <v/>
      </c>
      <c r="I98" s="117" t="str">
        <f>IFERROR(IF(VLOOKUP(TableHandbook[[#This Row],[UDC]],TableAvailabilities[],4,FALSE)&gt;0,"Y",""),"")</f>
        <v>Y</v>
      </c>
      <c r="J98" s="76" t="str">
        <f>IFERROR(IF(VLOOKUP(TableHandbook[[#This Row],[UDC]],TableAvailabilities[],5,FALSE)&gt;0,"Y",""),"")</f>
        <v/>
      </c>
      <c r="K98" s="289" t="s">
        <v>371</v>
      </c>
      <c r="L98" s="183" t="str">
        <f>IFERROR(VLOOKUP(TableHandbook[[#This Row],[UDC]],TableMCARTS[],7,FALSE),"")</f>
        <v/>
      </c>
      <c r="M98" s="118" t="str">
        <f>IFERROR(VLOOKUP(TableHandbook[[#This Row],[UDC]],TableMJRPCWRIT[],7,FALSE),"")</f>
        <v/>
      </c>
      <c r="N98" s="118" t="str">
        <f>IFERROR(VLOOKUP(TableHandbook[[#This Row],[UDC]],TableMJRPFINAR[],7,FALSE),"")</f>
        <v/>
      </c>
      <c r="O98" s="118" t="str">
        <f>IFERROR(VLOOKUP(TableHandbook[[#This Row],[UDC]],TableMJRPPWRIT[],7,FALSE),"")</f>
        <v/>
      </c>
      <c r="P98" s="184" t="str">
        <f>IFERROR(VLOOKUP(TableHandbook[[#This Row],[UDC]],TableMJRPSCRAR[],7,FALSE),"")</f>
        <v/>
      </c>
      <c r="Q98" s="183" t="str">
        <f>IFERROR(VLOOKUP(TableHandbook[[#This Row],[UDC]],TableMCMMJRG[],7,FALSE),"")</f>
        <v>Core</v>
      </c>
      <c r="R98" s="118" t="str">
        <f>IFERROR(VLOOKUP(TableHandbook[[#This Row],[UDC]],TableMCMMJRN[],7,FALSE),"")</f>
        <v>Core</v>
      </c>
      <c r="S98" s="118" t="str">
        <f>IFERROR(VLOOKUP(TableHandbook[[#This Row],[UDC]],TableGDMMJRN[],7,FALSE),"")</f>
        <v/>
      </c>
      <c r="T98" s="184" t="str">
        <f>IFERROR(VLOOKUP(TableHandbook[[#This Row],[UDC]],TableGCMMJRN[],7,FALSE),"")</f>
        <v/>
      </c>
      <c r="U98" s="183" t="str">
        <f>IFERROR(VLOOKUP(TableHandbook[[#This Row],[UDC]],TableMCHRIGLO[],7,FALSE),"")</f>
        <v/>
      </c>
      <c r="V98" s="118" t="str">
        <f>IFERROR(VLOOKUP(TableHandbook[[#This Row],[UDC]],TableMCHRIGHT[],7,FALSE),"")</f>
        <v/>
      </c>
      <c r="W98" s="118" t="str">
        <f>IFERROR(VLOOKUP(TableHandbook[[#This Row],[UDC]],TableGDHRIGHT[],7,FALSE),"")</f>
        <v/>
      </c>
      <c r="X98" s="184" t="str">
        <f>IFERROR(VLOOKUP(TableHandbook[[#This Row],[UDC]],TableGCHRIGHT[],7,FALSE),"")</f>
        <v/>
      </c>
      <c r="Y98" s="183" t="str">
        <f>IFERROR(VLOOKUP(TableHandbook[[#This Row],[UDC]],TableMCGLOBL2[],7,FALSE),"")</f>
        <v/>
      </c>
      <c r="Z98" s="118" t="str">
        <f>IFERROR(VLOOKUP(TableHandbook[[#This Row],[UDC]],TableMCGLOBL[],7,FALSE),"")</f>
        <v/>
      </c>
      <c r="AA98" s="297" t="str">
        <f>IFERROR(VLOOKUP(TableHandbook[[#This Row],[UDC]],TableSTRPGLOBL[],7,FALSE),"")</f>
        <v/>
      </c>
      <c r="AB98" s="297" t="str">
        <f>IFERROR(VLOOKUP(TableHandbook[[#This Row],[UDC]],TableSTRPHRIGT[],7,FALSE),"")</f>
        <v/>
      </c>
      <c r="AC98" s="297" t="str">
        <f>IFERROR(VLOOKUP(TableHandbook[[#This Row],[UDC]],TableSTRPINTRN[],7,FALSE),"")</f>
        <v/>
      </c>
      <c r="AD98" s="184" t="str">
        <f>IFERROR(VLOOKUP(TableHandbook[[#This Row],[UDC]],TableGCGLOBL[],7,FALSE),"")</f>
        <v/>
      </c>
      <c r="AE98" s="183" t="str">
        <f>IFERROR(VLOOKUP(TableHandbook[[#This Row],[UDC]],TableMCNETSCM[],7,FALSE),"")</f>
        <v/>
      </c>
      <c r="AF98" s="118" t="str">
        <f>IFERROR(VLOOKUP(TableHandbook[[#This Row],[UDC]],TableGDNETSCM[],7,FALSE),"")</f>
        <v/>
      </c>
      <c r="AG98" s="184" t="str">
        <f>IFERROR(VLOOKUP(TableHandbook[[#This Row],[UDC]],TableGCNETSCM[],7,FALSE),"")</f>
        <v/>
      </c>
      <c r="AH98" s="183" t="str">
        <f>IFERROR(VLOOKUP(TableHandbook[[#This Row],[UDC]],TableMCINTRNS[],7,FALSE),"")</f>
        <v/>
      </c>
      <c r="AI98" s="118" t="str">
        <f>IFERROR(VLOOKUP(TableHandbook[[#This Row],[UDC]],TableGDINTRNS[],7,FALSE),"")</f>
        <v/>
      </c>
      <c r="AJ98" s="184" t="str">
        <f>IFERROR(VLOOKUP(TableHandbook[[#This Row],[UDC]],TableGCINTRNS[],7,FALSE),"")</f>
        <v/>
      </c>
    </row>
    <row r="99" spans="1:36" x14ac:dyDescent="0.25">
      <c r="A99" s="6" t="s">
        <v>474</v>
      </c>
      <c r="B99" s="7">
        <v>1</v>
      </c>
      <c r="C99" s="6"/>
      <c r="D99" s="6" t="s">
        <v>475</v>
      </c>
      <c r="E99" s="7">
        <v>25</v>
      </c>
      <c r="F99" s="186" t="s">
        <v>473</v>
      </c>
      <c r="G99" s="75" t="str">
        <f>IFERROR(IF(VLOOKUP(TableHandbook[[#This Row],[UDC]],TableAvailabilities[],2,FALSE)&gt;0,"Y",""),"")</f>
        <v/>
      </c>
      <c r="H99" s="116" t="str">
        <f>IFERROR(IF(VLOOKUP(TableHandbook[[#This Row],[UDC]],TableAvailabilities[],3,FALSE)&gt;0,"Y",""),"")</f>
        <v/>
      </c>
      <c r="I99" s="117" t="str">
        <f>IFERROR(IF(VLOOKUP(TableHandbook[[#This Row],[UDC]],TableAvailabilities[],4,FALSE)&gt;0,"Y",""),"")</f>
        <v/>
      </c>
      <c r="J99" s="76" t="str">
        <f>IFERROR(IF(VLOOKUP(TableHandbook[[#This Row],[UDC]],TableAvailabilities[],5,FALSE)&gt;0,"Y",""),"")</f>
        <v/>
      </c>
      <c r="K99" s="289" t="s">
        <v>375</v>
      </c>
      <c r="L99" s="183" t="str">
        <f>IFERROR(VLOOKUP(TableHandbook[[#This Row],[UDC]],TableMCARTS[],7,FALSE),"")</f>
        <v/>
      </c>
      <c r="M99" s="118" t="str">
        <f>IFERROR(VLOOKUP(TableHandbook[[#This Row],[UDC]],TableMJRPCWRIT[],7,FALSE),"")</f>
        <v/>
      </c>
      <c r="N99" s="118" t="str">
        <f>IFERROR(VLOOKUP(TableHandbook[[#This Row],[UDC]],TableMJRPFINAR[],7,FALSE),"")</f>
        <v/>
      </c>
      <c r="O99" s="118" t="str">
        <f>IFERROR(VLOOKUP(TableHandbook[[#This Row],[UDC]],TableMJRPPWRIT[],7,FALSE),"")</f>
        <v/>
      </c>
      <c r="P99" s="184" t="str">
        <f>IFERROR(VLOOKUP(TableHandbook[[#This Row],[UDC]],TableMJRPSCRAR[],7,FALSE),"")</f>
        <v/>
      </c>
      <c r="Q99" s="183" t="str">
        <f>IFERROR(VLOOKUP(TableHandbook[[#This Row],[UDC]],TableMCMMJRG[],7,FALSE),"")</f>
        <v/>
      </c>
      <c r="R99" s="118" t="str">
        <f>IFERROR(VLOOKUP(TableHandbook[[#This Row],[UDC]],TableMCMMJRN[],7,FALSE),"")</f>
        <v/>
      </c>
      <c r="S99" s="118" t="str">
        <f>IFERROR(VLOOKUP(TableHandbook[[#This Row],[UDC]],TableGDMMJRN[],7,FALSE),"")</f>
        <v/>
      </c>
      <c r="T99" s="184" t="str">
        <f>IFERROR(VLOOKUP(TableHandbook[[#This Row],[UDC]],TableGCMMJRN[],7,FALSE),"")</f>
        <v/>
      </c>
      <c r="U99" s="183" t="str">
        <f>IFERROR(VLOOKUP(TableHandbook[[#This Row],[UDC]],TableMCHRIGLO[],7,FALSE),"")</f>
        <v/>
      </c>
      <c r="V99" s="118" t="str">
        <f>IFERROR(VLOOKUP(TableHandbook[[#This Row],[UDC]],TableMCHRIGHT[],7,FALSE),"")</f>
        <v/>
      </c>
      <c r="W99" s="118" t="str">
        <f>IFERROR(VLOOKUP(TableHandbook[[#This Row],[UDC]],TableGDHRIGHT[],7,FALSE),"")</f>
        <v/>
      </c>
      <c r="X99" s="184" t="str">
        <f>IFERROR(VLOOKUP(TableHandbook[[#This Row],[UDC]],TableGCHRIGHT[],7,FALSE),"")</f>
        <v/>
      </c>
      <c r="Y99" s="183" t="str">
        <f>IFERROR(VLOOKUP(TableHandbook[[#This Row],[UDC]],TableMCGLOBL2[],7,FALSE),"")</f>
        <v/>
      </c>
      <c r="Z99" s="118" t="str">
        <f>IFERROR(VLOOKUP(TableHandbook[[#This Row],[UDC]],TableMCGLOBL[],7,FALSE),"")</f>
        <v/>
      </c>
      <c r="AA99" s="297" t="str">
        <f>IFERROR(VLOOKUP(TableHandbook[[#This Row],[UDC]],TableSTRPGLOBL[],7,FALSE),"")</f>
        <v/>
      </c>
      <c r="AB99" s="297" t="str">
        <f>IFERROR(VLOOKUP(TableHandbook[[#This Row],[UDC]],TableSTRPHRIGT[],7,FALSE),"")</f>
        <v/>
      </c>
      <c r="AC99" s="297" t="str">
        <f>IFERROR(VLOOKUP(TableHandbook[[#This Row],[UDC]],TableSTRPINTRN[],7,FALSE),"")</f>
        <v/>
      </c>
      <c r="AD99" s="184" t="str">
        <f>IFERROR(VLOOKUP(TableHandbook[[#This Row],[UDC]],TableGCGLOBL[],7,FALSE),"")</f>
        <v/>
      </c>
      <c r="AE99" s="183" t="str">
        <f>IFERROR(VLOOKUP(TableHandbook[[#This Row],[UDC]],TableMCNETSCM[],7,FALSE),"")</f>
        <v/>
      </c>
      <c r="AF99" s="118" t="str">
        <f>IFERROR(VLOOKUP(TableHandbook[[#This Row],[UDC]],TableGDNETSCM[],7,FALSE),"")</f>
        <v/>
      </c>
      <c r="AG99" s="184" t="str">
        <f>IFERROR(VLOOKUP(TableHandbook[[#This Row],[UDC]],TableGCNETSCM[],7,FALSE),"")</f>
        <v/>
      </c>
      <c r="AH99" s="183" t="str">
        <f>IFERROR(VLOOKUP(TableHandbook[[#This Row],[UDC]],TableMCINTRNS[],7,FALSE),"")</f>
        <v/>
      </c>
      <c r="AI99" s="118" t="str">
        <f>IFERROR(VLOOKUP(TableHandbook[[#This Row],[UDC]],TableGDINTRNS[],7,FALSE),"")</f>
        <v/>
      </c>
      <c r="AJ99" s="184" t="str">
        <f>IFERROR(VLOOKUP(TableHandbook[[#This Row],[UDC]],TableGCINTRNS[],7,FALSE),"")</f>
        <v/>
      </c>
    </row>
    <row r="100" spans="1:36" x14ac:dyDescent="0.25">
      <c r="A100" s="6" t="s">
        <v>476</v>
      </c>
      <c r="B100" s="7">
        <v>2</v>
      </c>
      <c r="C100" s="6"/>
      <c r="D100" s="6" t="s">
        <v>477</v>
      </c>
      <c r="E100" s="7">
        <v>50</v>
      </c>
      <c r="F100" s="186" t="s">
        <v>478</v>
      </c>
      <c r="G100" s="75" t="str">
        <f>IFERROR(IF(VLOOKUP(TableHandbook[[#This Row],[UDC]],TableAvailabilities[],2,FALSE)&gt;0,"Y",""),"")</f>
        <v/>
      </c>
      <c r="H100" s="116" t="str">
        <f>IFERROR(IF(VLOOKUP(TableHandbook[[#This Row],[UDC]],TableAvailabilities[],3,FALSE)&gt;0,"Y",""),"")</f>
        <v/>
      </c>
      <c r="I100" s="117" t="str">
        <f>IFERROR(IF(VLOOKUP(TableHandbook[[#This Row],[UDC]],TableAvailabilities[],4,FALSE)&gt;0,"Y",""),"")</f>
        <v/>
      </c>
      <c r="J100" s="76" t="str">
        <f>IFERROR(IF(VLOOKUP(TableHandbook[[#This Row],[UDC]],TableAvailabilities[],5,FALSE)&gt;0,"Y",""),"")</f>
        <v/>
      </c>
      <c r="K100" s="289" t="s">
        <v>420</v>
      </c>
      <c r="L100" s="183" t="str">
        <f>IFERROR(VLOOKUP(TableHandbook[[#This Row],[UDC]],TableMCARTS[],7,FALSE),"")</f>
        <v/>
      </c>
      <c r="M100" s="118" t="str">
        <f>IFERROR(VLOOKUP(TableHandbook[[#This Row],[UDC]],TableMJRPCWRIT[],7,FALSE),"")</f>
        <v/>
      </c>
      <c r="N100" s="118" t="str">
        <f>IFERROR(VLOOKUP(TableHandbook[[#This Row],[UDC]],TableMJRPFINAR[],7,FALSE),"")</f>
        <v/>
      </c>
      <c r="O100" s="118" t="str">
        <f>IFERROR(VLOOKUP(TableHandbook[[#This Row],[UDC]],TableMJRPPWRIT[],7,FALSE),"")</f>
        <v/>
      </c>
      <c r="P100" s="184" t="str">
        <f>IFERROR(VLOOKUP(TableHandbook[[#This Row],[UDC]],TableMJRPSCRAR[],7,FALSE),"")</f>
        <v/>
      </c>
      <c r="Q100" s="183" t="str">
        <f>IFERROR(VLOOKUP(TableHandbook[[#This Row],[UDC]],TableMCMMJRG[],7,FALSE),"")</f>
        <v/>
      </c>
      <c r="R100" s="118" t="str">
        <f>IFERROR(VLOOKUP(TableHandbook[[#This Row],[UDC]],TableMCMMJRN[],7,FALSE),"")</f>
        <v/>
      </c>
      <c r="S100" s="118" t="str">
        <f>IFERROR(VLOOKUP(TableHandbook[[#This Row],[UDC]],TableGDMMJRN[],7,FALSE),"")</f>
        <v/>
      </c>
      <c r="T100" s="184" t="str">
        <f>IFERROR(VLOOKUP(TableHandbook[[#This Row],[UDC]],TableGCMMJRN[],7,FALSE),"")</f>
        <v/>
      </c>
      <c r="U100" s="183" t="str">
        <f>IFERROR(VLOOKUP(TableHandbook[[#This Row],[UDC]],TableMCHRIGLO[],7,FALSE),"")</f>
        <v/>
      </c>
      <c r="V100" s="118" t="str">
        <f>IFERROR(VLOOKUP(TableHandbook[[#This Row],[UDC]],TableMCHRIGHT[],7,FALSE),"")</f>
        <v/>
      </c>
      <c r="W100" s="118" t="str">
        <f>IFERROR(VLOOKUP(TableHandbook[[#This Row],[UDC]],TableGDHRIGHT[],7,FALSE),"")</f>
        <v/>
      </c>
      <c r="X100" s="184" t="str">
        <f>IFERROR(VLOOKUP(TableHandbook[[#This Row],[UDC]],TableGCHRIGHT[],7,FALSE),"")</f>
        <v/>
      </c>
      <c r="Y100" s="183" t="str">
        <f>IFERROR(VLOOKUP(TableHandbook[[#This Row],[UDC]],TableMCGLOBL2[],7,FALSE),"")</f>
        <v/>
      </c>
      <c r="Z100" s="118" t="str">
        <f>IFERROR(VLOOKUP(TableHandbook[[#This Row],[UDC]],TableMCGLOBL[],7,FALSE),"")</f>
        <v/>
      </c>
      <c r="AA100" s="297" t="str">
        <f>IFERROR(VLOOKUP(TableHandbook[[#This Row],[UDC]],TableSTRPGLOBL[],7,FALSE),"")</f>
        <v/>
      </c>
      <c r="AB100" s="297" t="str">
        <f>IFERROR(VLOOKUP(TableHandbook[[#This Row],[UDC]],TableSTRPHRIGT[],7,FALSE),"")</f>
        <v/>
      </c>
      <c r="AC100" s="297" t="str">
        <f>IFERROR(VLOOKUP(TableHandbook[[#This Row],[UDC]],TableSTRPINTRN[],7,FALSE),"")</f>
        <v/>
      </c>
      <c r="AD100" s="184" t="str">
        <f>IFERROR(VLOOKUP(TableHandbook[[#This Row],[UDC]],TableGCGLOBL[],7,FALSE),"")</f>
        <v/>
      </c>
      <c r="AE100" s="183" t="str">
        <f>IFERROR(VLOOKUP(TableHandbook[[#This Row],[UDC]],TableMCNETSCM[],7,FALSE),"")</f>
        <v/>
      </c>
      <c r="AF100" s="118" t="str">
        <f>IFERROR(VLOOKUP(TableHandbook[[#This Row],[UDC]],TableGDNETSCM[],7,FALSE),"")</f>
        <v/>
      </c>
      <c r="AG100" s="184" t="str">
        <f>IFERROR(VLOOKUP(TableHandbook[[#This Row],[UDC]],TableGCNETSCM[],7,FALSE),"")</f>
        <v/>
      </c>
      <c r="AH100" s="183" t="str">
        <f>IFERROR(VLOOKUP(TableHandbook[[#This Row],[UDC]],TableMCINTRNS[],7,FALSE),"")</f>
        <v/>
      </c>
      <c r="AI100" s="118" t="str">
        <f>IFERROR(VLOOKUP(TableHandbook[[#This Row],[UDC]],TableGDINTRNS[],7,FALSE),"")</f>
        <v/>
      </c>
      <c r="AJ100" s="184" t="str">
        <f>IFERROR(VLOOKUP(TableHandbook[[#This Row],[UDC]],TableGCINTRNS[],7,FALSE),"")</f>
        <v/>
      </c>
    </row>
    <row r="101" spans="1:36" x14ac:dyDescent="0.25">
      <c r="A101" s="6" t="s">
        <v>479</v>
      </c>
      <c r="B101" s="7">
        <v>1</v>
      </c>
      <c r="C101" s="6"/>
      <c r="D101" s="6" t="s">
        <v>480</v>
      </c>
      <c r="E101" s="7">
        <v>50</v>
      </c>
      <c r="F101" s="186" t="s">
        <v>481</v>
      </c>
      <c r="G101" s="75" t="str">
        <f>IFERROR(IF(VLOOKUP(TableHandbook[[#This Row],[UDC]],TableAvailabilities[],2,FALSE)&gt;0,"Y",""),"")</f>
        <v/>
      </c>
      <c r="H101" s="116" t="str">
        <f>IFERROR(IF(VLOOKUP(TableHandbook[[#This Row],[UDC]],TableAvailabilities[],3,FALSE)&gt;0,"Y",""),"")</f>
        <v/>
      </c>
      <c r="I101" s="117" t="str">
        <f>IFERROR(IF(VLOOKUP(TableHandbook[[#This Row],[UDC]],TableAvailabilities[],4,FALSE)&gt;0,"Y",""),"")</f>
        <v/>
      </c>
      <c r="J101" s="76" t="str">
        <f>IFERROR(IF(VLOOKUP(TableHandbook[[#This Row],[UDC]],TableAvailabilities[],5,FALSE)&gt;0,"Y",""),"")</f>
        <v/>
      </c>
      <c r="K101" s="289" t="s">
        <v>420</v>
      </c>
      <c r="L101" s="183" t="str">
        <f>IFERROR(VLOOKUP(TableHandbook[[#This Row],[UDC]],TableMCARTS[],7,FALSE),"")</f>
        <v/>
      </c>
      <c r="M101" s="118" t="str">
        <f>IFERROR(VLOOKUP(TableHandbook[[#This Row],[UDC]],TableMJRPCWRIT[],7,FALSE),"")</f>
        <v/>
      </c>
      <c r="N101" s="118" t="str">
        <f>IFERROR(VLOOKUP(TableHandbook[[#This Row],[UDC]],TableMJRPFINAR[],7,FALSE),"")</f>
        <v/>
      </c>
      <c r="O101" s="118" t="str">
        <f>IFERROR(VLOOKUP(TableHandbook[[#This Row],[UDC]],TableMJRPPWRIT[],7,FALSE),"")</f>
        <v/>
      </c>
      <c r="P101" s="184" t="str">
        <f>IFERROR(VLOOKUP(TableHandbook[[#This Row],[UDC]],TableMJRPSCRAR[],7,FALSE),"")</f>
        <v/>
      </c>
      <c r="Q101" s="183" t="str">
        <f>IFERROR(VLOOKUP(TableHandbook[[#This Row],[UDC]],TableMCMMJRG[],7,FALSE),"")</f>
        <v/>
      </c>
      <c r="R101" s="118" t="str">
        <f>IFERROR(VLOOKUP(TableHandbook[[#This Row],[UDC]],TableMCMMJRN[],7,FALSE),"")</f>
        <v/>
      </c>
      <c r="S101" s="118" t="str">
        <f>IFERROR(VLOOKUP(TableHandbook[[#This Row],[UDC]],TableGDMMJRN[],7,FALSE),"")</f>
        <v/>
      </c>
      <c r="T101" s="184" t="str">
        <f>IFERROR(VLOOKUP(TableHandbook[[#This Row],[UDC]],TableGCMMJRN[],7,FALSE),"")</f>
        <v/>
      </c>
      <c r="U101" s="183" t="str">
        <f>IFERROR(VLOOKUP(TableHandbook[[#This Row],[UDC]],TableMCHRIGLO[],7,FALSE),"")</f>
        <v/>
      </c>
      <c r="V101" s="118" t="str">
        <f>IFERROR(VLOOKUP(TableHandbook[[#This Row],[UDC]],TableMCHRIGHT[],7,FALSE),"")</f>
        <v/>
      </c>
      <c r="W101" s="118" t="str">
        <f>IFERROR(VLOOKUP(TableHandbook[[#This Row],[UDC]],TableGDHRIGHT[],7,FALSE),"")</f>
        <v/>
      </c>
      <c r="X101" s="184" t="str">
        <f>IFERROR(VLOOKUP(TableHandbook[[#This Row],[UDC]],TableGCHRIGHT[],7,FALSE),"")</f>
        <v/>
      </c>
      <c r="Y101" s="183" t="str">
        <f>IFERROR(VLOOKUP(TableHandbook[[#This Row],[UDC]],TableMCGLOBL2[],7,FALSE),"")</f>
        <v/>
      </c>
      <c r="Z101" s="118" t="str">
        <f>IFERROR(VLOOKUP(TableHandbook[[#This Row],[UDC]],TableMCGLOBL[],7,FALSE),"")</f>
        <v/>
      </c>
      <c r="AA101" s="297" t="str">
        <f>IFERROR(VLOOKUP(TableHandbook[[#This Row],[UDC]],TableSTRPGLOBL[],7,FALSE),"")</f>
        <v/>
      </c>
      <c r="AB101" s="297" t="str">
        <f>IFERROR(VLOOKUP(TableHandbook[[#This Row],[UDC]],TableSTRPHRIGT[],7,FALSE),"")</f>
        <v/>
      </c>
      <c r="AC101" s="297" t="str">
        <f>IFERROR(VLOOKUP(TableHandbook[[#This Row],[UDC]],TableSTRPINTRN[],7,FALSE),"")</f>
        <v/>
      </c>
      <c r="AD101" s="184" t="str">
        <f>IFERROR(VLOOKUP(TableHandbook[[#This Row],[UDC]],TableGCGLOBL[],7,FALSE),"")</f>
        <v/>
      </c>
      <c r="AE101" s="183" t="str">
        <f>IFERROR(VLOOKUP(TableHandbook[[#This Row],[UDC]],TableMCNETSCM[],7,FALSE),"")</f>
        <v/>
      </c>
      <c r="AF101" s="118" t="str">
        <f>IFERROR(VLOOKUP(TableHandbook[[#This Row],[UDC]],TableGDNETSCM[],7,FALSE),"")</f>
        <v/>
      </c>
      <c r="AG101" s="184" t="str">
        <f>IFERROR(VLOOKUP(TableHandbook[[#This Row],[UDC]],TableGCNETSCM[],7,FALSE),"")</f>
        <v/>
      </c>
      <c r="AH101" s="183" t="str">
        <f>IFERROR(VLOOKUP(TableHandbook[[#This Row],[UDC]],TableMCINTRNS[],7,FALSE),"")</f>
        <v/>
      </c>
      <c r="AI101" s="118" t="str">
        <f>IFERROR(VLOOKUP(TableHandbook[[#This Row],[UDC]],TableGDINTRNS[],7,FALSE),"")</f>
        <v/>
      </c>
      <c r="AJ101" s="184" t="str">
        <f>IFERROR(VLOOKUP(TableHandbook[[#This Row],[UDC]],TableGCINTRNS[],7,FALSE),"")</f>
        <v/>
      </c>
    </row>
    <row r="102" spans="1:36" x14ac:dyDescent="0.25">
      <c r="A102" s="6" t="s">
        <v>133</v>
      </c>
      <c r="B102" s="7">
        <v>1</v>
      </c>
      <c r="C102" s="6"/>
      <c r="D102" s="6" t="s">
        <v>142</v>
      </c>
      <c r="E102" s="7">
        <v>400</v>
      </c>
      <c r="F102" s="186" t="s">
        <v>368</v>
      </c>
      <c r="G102" s="75" t="str">
        <f>IFERROR(IF(VLOOKUP(TableHandbook[[#This Row],[UDC]],TableAvailabilities[],2,FALSE)&gt;0,"Y",""),"")</f>
        <v/>
      </c>
      <c r="H102" s="116" t="str">
        <f>IFERROR(IF(VLOOKUP(TableHandbook[[#This Row],[UDC]],TableAvailabilities[],3,FALSE)&gt;0,"Y",""),"")</f>
        <v/>
      </c>
      <c r="I102" s="117" t="str">
        <f>IFERROR(IF(VLOOKUP(TableHandbook[[#This Row],[UDC]],TableAvailabilities[],4,FALSE)&gt;0,"Y",""),"")</f>
        <v/>
      </c>
      <c r="J102" s="76" t="str">
        <f>IFERROR(IF(VLOOKUP(TableHandbook[[#This Row],[UDC]],TableAvailabilities[],5,FALSE)&gt;0,"Y",""),"")</f>
        <v/>
      </c>
      <c r="K102" s="289"/>
      <c r="L102" s="183" t="str">
        <f>IFERROR(VLOOKUP(TableHandbook[[#This Row],[UDC]],TableMCARTS[],7,FALSE),"")</f>
        <v>Core</v>
      </c>
      <c r="M102" s="118" t="str">
        <f>IFERROR(VLOOKUP(TableHandbook[[#This Row],[UDC]],TableMJRPCWRIT[],7,FALSE),"")</f>
        <v/>
      </c>
      <c r="N102" s="118" t="str">
        <f>IFERROR(VLOOKUP(TableHandbook[[#This Row],[UDC]],TableMJRPFINAR[],7,FALSE),"")</f>
        <v/>
      </c>
      <c r="O102" s="118" t="str">
        <f>IFERROR(VLOOKUP(TableHandbook[[#This Row],[UDC]],TableMJRPPWRIT[],7,FALSE),"")</f>
        <v/>
      </c>
      <c r="P102" s="184" t="str">
        <f>IFERROR(VLOOKUP(TableHandbook[[#This Row],[UDC]],TableMJRPSCRAR[],7,FALSE),"")</f>
        <v/>
      </c>
      <c r="Q102" s="183" t="str">
        <f>IFERROR(VLOOKUP(TableHandbook[[#This Row],[UDC]],TableMCMMJRG[],7,FALSE),"")</f>
        <v/>
      </c>
      <c r="R102" s="118" t="str">
        <f>IFERROR(VLOOKUP(TableHandbook[[#This Row],[UDC]],TableMCMMJRN[],7,FALSE),"")</f>
        <v/>
      </c>
      <c r="S102" s="118" t="str">
        <f>IFERROR(VLOOKUP(TableHandbook[[#This Row],[UDC]],TableGDMMJRN[],7,FALSE),"")</f>
        <v/>
      </c>
      <c r="T102" s="184" t="str">
        <f>IFERROR(VLOOKUP(TableHandbook[[#This Row],[UDC]],TableGCMMJRN[],7,FALSE),"")</f>
        <v/>
      </c>
      <c r="U102" s="183" t="str">
        <f>IFERROR(VLOOKUP(TableHandbook[[#This Row],[UDC]],TableMCHRIGLO[],7,FALSE),"")</f>
        <v/>
      </c>
      <c r="V102" s="118" t="str">
        <f>IFERROR(VLOOKUP(TableHandbook[[#This Row],[UDC]],TableMCHRIGHT[],7,FALSE),"")</f>
        <v/>
      </c>
      <c r="W102" s="118" t="str">
        <f>IFERROR(VLOOKUP(TableHandbook[[#This Row],[UDC]],TableGDHRIGHT[],7,FALSE),"")</f>
        <v/>
      </c>
      <c r="X102" s="184" t="str">
        <f>IFERROR(VLOOKUP(TableHandbook[[#This Row],[UDC]],TableGCHRIGHT[],7,FALSE),"")</f>
        <v/>
      </c>
      <c r="Y102" s="183" t="str">
        <f>IFERROR(VLOOKUP(TableHandbook[[#This Row],[UDC]],TableMCGLOBL2[],7,FALSE),"")</f>
        <v/>
      </c>
      <c r="Z102" s="118" t="str">
        <f>IFERROR(VLOOKUP(TableHandbook[[#This Row],[UDC]],TableMCGLOBL[],7,FALSE),"")</f>
        <v/>
      </c>
      <c r="AA102" s="297" t="str">
        <f>IFERROR(VLOOKUP(TableHandbook[[#This Row],[UDC]],TableSTRPGLOBL[],7,FALSE),"")</f>
        <v/>
      </c>
      <c r="AB102" s="297" t="str">
        <f>IFERROR(VLOOKUP(TableHandbook[[#This Row],[UDC]],TableSTRPHRIGT[],7,FALSE),"")</f>
        <v/>
      </c>
      <c r="AC102" s="297" t="str">
        <f>IFERROR(VLOOKUP(TableHandbook[[#This Row],[UDC]],TableSTRPINTRN[],7,FALSE),"")</f>
        <v/>
      </c>
      <c r="AD102" s="184" t="str">
        <f>IFERROR(VLOOKUP(TableHandbook[[#This Row],[UDC]],TableGCGLOBL[],7,FALSE),"")</f>
        <v/>
      </c>
      <c r="AE102" s="183" t="str">
        <f>IFERROR(VLOOKUP(TableHandbook[[#This Row],[UDC]],TableMCNETSCM[],7,FALSE),"")</f>
        <v/>
      </c>
      <c r="AF102" s="118" t="str">
        <f>IFERROR(VLOOKUP(TableHandbook[[#This Row],[UDC]],TableGDNETSCM[],7,FALSE),"")</f>
        <v/>
      </c>
      <c r="AG102" s="184" t="str">
        <f>IFERROR(VLOOKUP(TableHandbook[[#This Row],[UDC]],TableGCNETSCM[],7,FALSE),"")</f>
        <v/>
      </c>
      <c r="AH102" s="183" t="str">
        <f>IFERROR(VLOOKUP(TableHandbook[[#This Row],[UDC]],TableMCINTRNS[],7,FALSE),"")</f>
        <v/>
      </c>
      <c r="AI102" s="118" t="str">
        <f>IFERROR(VLOOKUP(TableHandbook[[#This Row],[UDC]],TableGDINTRNS[],7,FALSE),"")</f>
        <v/>
      </c>
      <c r="AJ102" s="184" t="str">
        <f>IFERROR(VLOOKUP(TableHandbook[[#This Row],[UDC]],TableGCINTRNS[],7,FALSE),"")</f>
        <v/>
      </c>
    </row>
    <row r="103" spans="1:36" x14ac:dyDescent="0.25">
      <c r="A103" s="6" t="s">
        <v>134</v>
      </c>
      <c r="B103" s="7">
        <v>1</v>
      </c>
      <c r="C103" s="6"/>
      <c r="D103" s="6" t="s">
        <v>147</v>
      </c>
      <c r="E103" s="7">
        <v>400</v>
      </c>
      <c r="F103" s="186" t="s">
        <v>368</v>
      </c>
      <c r="G103" s="75" t="str">
        <f>IFERROR(IF(VLOOKUP(TableHandbook[[#This Row],[UDC]],TableAvailabilities[],2,FALSE)&gt;0,"Y",""),"")</f>
        <v/>
      </c>
      <c r="H103" s="116" t="str">
        <f>IFERROR(IF(VLOOKUP(TableHandbook[[#This Row],[UDC]],TableAvailabilities[],3,FALSE)&gt;0,"Y",""),"")</f>
        <v/>
      </c>
      <c r="I103" s="117" t="str">
        <f>IFERROR(IF(VLOOKUP(TableHandbook[[#This Row],[UDC]],TableAvailabilities[],4,FALSE)&gt;0,"Y",""),"")</f>
        <v/>
      </c>
      <c r="J103" s="76" t="str">
        <f>IFERROR(IF(VLOOKUP(TableHandbook[[#This Row],[UDC]],TableAvailabilities[],5,FALSE)&gt;0,"Y",""),"")</f>
        <v/>
      </c>
      <c r="K103" s="289"/>
      <c r="L103" s="183" t="str">
        <f>IFERROR(VLOOKUP(TableHandbook[[#This Row],[UDC]],TableMCARTS[],7,FALSE),"")</f>
        <v>Core</v>
      </c>
      <c r="M103" s="118" t="str">
        <f>IFERROR(VLOOKUP(TableHandbook[[#This Row],[UDC]],TableMJRPCWRIT[],7,FALSE),"")</f>
        <v/>
      </c>
      <c r="N103" s="118" t="str">
        <f>IFERROR(VLOOKUP(TableHandbook[[#This Row],[UDC]],TableMJRPFINAR[],7,FALSE),"")</f>
        <v/>
      </c>
      <c r="O103" s="118" t="str">
        <f>IFERROR(VLOOKUP(TableHandbook[[#This Row],[UDC]],TableMJRPPWRIT[],7,FALSE),"")</f>
        <v/>
      </c>
      <c r="P103" s="184" t="str">
        <f>IFERROR(VLOOKUP(TableHandbook[[#This Row],[UDC]],TableMJRPSCRAR[],7,FALSE),"")</f>
        <v/>
      </c>
      <c r="Q103" s="183" t="str">
        <f>IFERROR(VLOOKUP(TableHandbook[[#This Row],[UDC]],TableMCMMJRG[],7,FALSE),"")</f>
        <v/>
      </c>
      <c r="R103" s="118" t="str">
        <f>IFERROR(VLOOKUP(TableHandbook[[#This Row],[UDC]],TableMCMMJRN[],7,FALSE),"")</f>
        <v/>
      </c>
      <c r="S103" s="118" t="str">
        <f>IFERROR(VLOOKUP(TableHandbook[[#This Row],[UDC]],TableGDMMJRN[],7,FALSE),"")</f>
        <v/>
      </c>
      <c r="T103" s="184" t="str">
        <f>IFERROR(VLOOKUP(TableHandbook[[#This Row],[UDC]],TableGCMMJRN[],7,FALSE),"")</f>
        <v/>
      </c>
      <c r="U103" s="183" t="str">
        <f>IFERROR(VLOOKUP(TableHandbook[[#This Row],[UDC]],TableMCHRIGLO[],7,FALSE),"")</f>
        <v/>
      </c>
      <c r="V103" s="118" t="str">
        <f>IFERROR(VLOOKUP(TableHandbook[[#This Row],[UDC]],TableMCHRIGHT[],7,FALSE),"")</f>
        <v/>
      </c>
      <c r="W103" s="118" t="str">
        <f>IFERROR(VLOOKUP(TableHandbook[[#This Row],[UDC]],TableGDHRIGHT[],7,FALSE),"")</f>
        <v/>
      </c>
      <c r="X103" s="184" t="str">
        <f>IFERROR(VLOOKUP(TableHandbook[[#This Row],[UDC]],TableGCHRIGHT[],7,FALSE),"")</f>
        <v/>
      </c>
      <c r="Y103" s="183" t="str">
        <f>IFERROR(VLOOKUP(TableHandbook[[#This Row],[UDC]],TableMCGLOBL2[],7,FALSE),"")</f>
        <v/>
      </c>
      <c r="Z103" s="118" t="str">
        <f>IFERROR(VLOOKUP(TableHandbook[[#This Row],[UDC]],TableMCGLOBL[],7,FALSE),"")</f>
        <v/>
      </c>
      <c r="AA103" s="297" t="str">
        <f>IFERROR(VLOOKUP(TableHandbook[[#This Row],[UDC]],TableSTRPGLOBL[],7,FALSE),"")</f>
        <v/>
      </c>
      <c r="AB103" s="297" t="str">
        <f>IFERROR(VLOOKUP(TableHandbook[[#This Row],[UDC]],TableSTRPHRIGT[],7,FALSE),"")</f>
        <v/>
      </c>
      <c r="AC103" s="297" t="str">
        <f>IFERROR(VLOOKUP(TableHandbook[[#This Row],[UDC]],TableSTRPINTRN[],7,FALSE),"")</f>
        <v/>
      </c>
      <c r="AD103" s="184" t="str">
        <f>IFERROR(VLOOKUP(TableHandbook[[#This Row],[UDC]],TableGCGLOBL[],7,FALSE),"")</f>
        <v/>
      </c>
      <c r="AE103" s="183" t="str">
        <f>IFERROR(VLOOKUP(TableHandbook[[#This Row],[UDC]],TableMCNETSCM[],7,FALSE),"")</f>
        <v/>
      </c>
      <c r="AF103" s="118" t="str">
        <f>IFERROR(VLOOKUP(TableHandbook[[#This Row],[UDC]],TableGDNETSCM[],7,FALSE),"")</f>
        <v/>
      </c>
      <c r="AG103" s="184" t="str">
        <f>IFERROR(VLOOKUP(TableHandbook[[#This Row],[UDC]],TableGCNETSCM[],7,FALSE),"")</f>
        <v/>
      </c>
      <c r="AH103" s="183" t="str">
        <f>IFERROR(VLOOKUP(TableHandbook[[#This Row],[UDC]],TableMCINTRNS[],7,FALSE),"")</f>
        <v/>
      </c>
      <c r="AI103" s="118" t="str">
        <f>IFERROR(VLOOKUP(TableHandbook[[#This Row],[UDC]],TableGDINTRNS[],7,FALSE),"")</f>
        <v/>
      </c>
      <c r="AJ103" s="184" t="str">
        <f>IFERROR(VLOOKUP(TableHandbook[[#This Row],[UDC]],TableGCINTRNS[],7,FALSE),"")</f>
        <v/>
      </c>
    </row>
    <row r="104" spans="1:36" x14ac:dyDescent="0.25">
      <c r="A104" s="6" t="s">
        <v>135</v>
      </c>
      <c r="B104" s="7">
        <v>1</v>
      </c>
      <c r="C104" s="6"/>
      <c r="D104" s="6" t="s">
        <v>149</v>
      </c>
      <c r="E104" s="7">
        <v>400</v>
      </c>
      <c r="F104" s="186" t="s">
        <v>368</v>
      </c>
      <c r="G104" s="75" t="str">
        <f>IFERROR(IF(VLOOKUP(TableHandbook[[#This Row],[UDC]],TableAvailabilities[],2,FALSE)&gt;0,"Y",""),"")</f>
        <v/>
      </c>
      <c r="H104" s="116" t="str">
        <f>IFERROR(IF(VLOOKUP(TableHandbook[[#This Row],[UDC]],TableAvailabilities[],3,FALSE)&gt;0,"Y",""),"")</f>
        <v/>
      </c>
      <c r="I104" s="117" t="str">
        <f>IFERROR(IF(VLOOKUP(TableHandbook[[#This Row],[UDC]],TableAvailabilities[],4,FALSE)&gt;0,"Y",""),"")</f>
        <v/>
      </c>
      <c r="J104" s="76" t="str">
        <f>IFERROR(IF(VLOOKUP(TableHandbook[[#This Row],[UDC]],TableAvailabilities[],5,FALSE)&gt;0,"Y",""),"")</f>
        <v/>
      </c>
      <c r="K104" s="289"/>
      <c r="L104" s="183" t="str">
        <f>IFERROR(VLOOKUP(TableHandbook[[#This Row],[UDC]],TableMCARTS[],7,FALSE),"")</f>
        <v>Core</v>
      </c>
      <c r="M104" s="118" t="str">
        <f>IFERROR(VLOOKUP(TableHandbook[[#This Row],[UDC]],TableMJRPCWRIT[],7,FALSE),"")</f>
        <v/>
      </c>
      <c r="N104" s="118" t="str">
        <f>IFERROR(VLOOKUP(TableHandbook[[#This Row],[UDC]],TableMJRPFINAR[],7,FALSE),"")</f>
        <v/>
      </c>
      <c r="O104" s="118" t="str">
        <f>IFERROR(VLOOKUP(TableHandbook[[#This Row],[UDC]],TableMJRPPWRIT[],7,FALSE),"")</f>
        <v/>
      </c>
      <c r="P104" s="184" t="str">
        <f>IFERROR(VLOOKUP(TableHandbook[[#This Row],[UDC]],TableMJRPSCRAR[],7,FALSE),"")</f>
        <v/>
      </c>
      <c r="Q104" s="183" t="str">
        <f>IFERROR(VLOOKUP(TableHandbook[[#This Row],[UDC]],TableMCMMJRG[],7,FALSE),"")</f>
        <v/>
      </c>
      <c r="R104" s="118" t="str">
        <f>IFERROR(VLOOKUP(TableHandbook[[#This Row],[UDC]],TableMCMMJRN[],7,FALSE),"")</f>
        <v/>
      </c>
      <c r="S104" s="118" t="str">
        <f>IFERROR(VLOOKUP(TableHandbook[[#This Row],[UDC]],TableGDMMJRN[],7,FALSE),"")</f>
        <v/>
      </c>
      <c r="T104" s="184" t="str">
        <f>IFERROR(VLOOKUP(TableHandbook[[#This Row],[UDC]],TableGCMMJRN[],7,FALSE),"")</f>
        <v/>
      </c>
      <c r="U104" s="183" t="str">
        <f>IFERROR(VLOOKUP(TableHandbook[[#This Row],[UDC]],TableMCHRIGLO[],7,FALSE),"")</f>
        <v/>
      </c>
      <c r="V104" s="118" t="str">
        <f>IFERROR(VLOOKUP(TableHandbook[[#This Row],[UDC]],TableMCHRIGHT[],7,FALSE),"")</f>
        <v/>
      </c>
      <c r="W104" s="118" t="str">
        <f>IFERROR(VLOOKUP(TableHandbook[[#This Row],[UDC]],TableGDHRIGHT[],7,FALSE),"")</f>
        <v/>
      </c>
      <c r="X104" s="184" t="str">
        <f>IFERROR(VLOOKUP(TableHandbook[[#This Row],[UDC]],TableGCHRIGHT[],7,FALSE),"")</f>
        <v/>
      </c>
      <c r="Y104" s="183" t="str">
        <f>IFERROR(VLOOKUP(TableHandbook[[#This Row],[UDC]],TableMCGLOBL2[],7,FALSE),"")</f>
        <v/>
      </c>
      <c r="Z104" s="118" t="str">
        <f>IFERROR(VLOOKUP(TableHandbook[[#This Row],[UDC]],TableMCGLOBL[],7,FALSE),"")</f>
        <v/>
      </c>
      <c r="AA104" s="297" t="str">
        <f>IFERROR(VLOOKUP(TableHandbook[[#This Row],[UDC]],TableSTRPGLOBL[],7,FALSE),"")</f>
        <v/>
      </c>
      <c r="AB104" s="297" t="str">
        <f>IFERROR(VLOOKUP(TableHandbook[[#This Row],[UDC]],TableSTRPHRIGT[],7,FALSE),"")</f>
        <v/>
      </c>
      <c r="AC104" s="297" t="str">
        <f>IFERROR(VLOOKUP(TableHandbook[[#This Row],[UDC]],TableSTRPINTRN[],7,FALSE),"")</f>
        <v/>
      </c>
      <c r="AD104" s="184" t="str">
        <f>IFERROR(VLOOKUP(TableHandbook[[#This Row],[UDC]],TableGCGLOBL[],7,FALSE),"")</f>
        <v/>
      </c>
      <c r="AE104" s="183" t="str">
        <f>IFERROR(VLOOKUP(TableHandbook[[#This Row],[UDC]],TableMCNETSCM[],7,FALSE),"")</f>
        <v/>
      </c>
      <c r="AF104" s="118" t="str">
        <f>IFERROR(VLOOKUP(TableHandbook[[#This Row],[UDC]],TableGDNETSCM[],7,FALSE),"")</f>
        <v/>
      </c>
      <c r="AG104" s="184" t="str">
        <f>IFERROR(VLOOKUP(TableHandbook[[#This Row],[UDC]],TableGCNETSCM[],7,FALSE),"")</f>
        <v/>
      </c>
      <c r="AH104" s="183" t="str">
        <f>IFERROR(VLOOKUP(TableHandbook[[#This Row],[UDC]],TableMCINTRNS[],7,FALSE),"")</f>
        <v/>
      </c>
      <c r="AI104" s="118" t="str">
        <f>IFERROR(VLOOKUP(TableHandbook[[#This Row],[UDC]],TableGDINTRNS[],7,FALSE),"")</f>
        <v/>
      </c>
      <c r="AJ104" s="184" t="str">
        <f>IFERROR(VLOOKUP(TableHandbook[[#This Row],[UDC]],TableGCINTRNS[],7,FALSE),"")</f>
        <v/>
      </c>
    </row>
    <row r="105" spans="1:36" x14ac:dyDescent="0.25">
      <c r="A105" s="6" t="s">
        <v>136</v>
      </c>
      <c r="B105" s="7">
        <v>2</v>
      </c>
      <c r="C105" s="6"/>
      <c r="D105" s="6" t="s">
        <v>14</v>
      </c>
      <c r="E105" s="7">
        <v>400</v>
      </c>
      <c r="F105" s="186" t="s">
        <v>368</v>
      </c>
      <c r="G105" s="75" t="str">
        <f>IFERROR(IF(VLOOKUP(TableHandbook[[#This Row],[UDC]],TableAvailabilities[],2,FALSE)&gt;0,"Y",""),"")</f>
        <v/>
      </c>
      <c r="H105" s="116" t="str">
        <f>IFERROR(IF(VLOOKUP(TableHandbook[[#This Row],[UDC]],TableAvailabilities[],3,FALSE)&gt;0,"Y",""),"")</f>
        <v/>
      </c>
      <c r="I105" s="117" t="str">
        <f>IFERROR(IF(VLOOKUP(TableHandbook[[#This Row],[UDC]],TableAvailabilities[],4,FALSE)&gt;0,"Y",""),"")</f>
        <v/>
      </c>
      <c r="J105" s="76" t="str">
        <f>IFERROR(IF(VLOOKUP(TableHandbook[[#This Row],[UDC]],TableAvailabilities[],5,FALSE)&gt;0,"Y",""),"")</f>
        <v/>
      </c>
      <c r="K105" s="289"/>
      <c r="L105" s="183" t="str">
        <f>IFERROR(VLOOKUP(TableHandbook[[#This Row],[UDC]],TableMCARTS[],7,FALSE),"")</f>
        <v>Core</v>
      </c>
      <c r="M105" s="118" t="str">
        <f>IFERROR(VLOOKUP(TableHandbook[[#This Row],[UDC]],TableMJRPCWRIT[],7,FALSE),"")</f>
        <v/>
      </c>
      <c r="N105" s="118" t="str">
        <f>IFERROR(VLOOKUP(TableHandbook[[#This Row],[UDC]],TableMJRPFINAR[],7,FALSE),"")</f>
        <v/>
      </c>
      <c r="O105" s="118" t="str">
        <f>IFERROR(VLOOKUP(TableHandbook[[#This Row],[UDC]],TableMJRPPWRIT[],7,FALSE),"")</f>
        <v/>
      </c>
      <c r="P105" s="184" t="str">
        <f>IFERROR(VLOOKUP(TableHandbook[[#This Row],[UDC]],TableMJRPSCRAR[],7,FALSE),"")</f>
        <v/>
      </c>
      <c r="Q105" s="183" t="str">
        <f>IFERROR(VLOOKUP(TableHandbook[[#This Row],[UDC]],TableMCMMJRG[],7,FALSE),"")</f>
        <v/>
      </c>
      <c r="R105" s="118" t="str">
        <f>IFERROR(VLOOKUP(TableHandbook[[#This Row],[UDC]],TableMCMMJRN[],7,FALSE),"")</f>
        <v/>
      </c>
      <c r="S105" s="118" t="str">
        <f>IFERROR(VLOOKUP(TableHandbook[[#This Row],[UDC]],TableGDMMJRN[],7,FALSE),"")</f>
        <v/>
      </c>
      <c r="T105" s="184" t="str">
        <f>IFERROR(VLOOKUP(TableHandbook[[#This Row],[UDC]],TableGCMMJRN[],7,FALSE),"")</f>
        <v/>
      </c>
      <c r="U105" s="183" t="str">
        <f>IFERROR(VLOOKUP(TableHandbook[[#This Row],[UDC]],TableMCHRIGLO[],7,FALSE),"")</f>
        <v/>
      </c>
      <c r="V105" s="118" t="str">
        <f>IFERROR(VLOOKUP(TableHandbook[[#This Row],[UDC]],TableMCHRIGHT[],7,FALSE),"")</f>
        <v/>
      </c>
      <c r="W105" s="118" t="str">
        <f>IFERROR(VLOOKUP(TableHandbook[[#This Row],[UDC]],TableGDHRIGHT[],7,FALSE),"")</f>
        <v/>
      </c>
      <c r="X105" s="184" t="str">
        <f>IFERROR(VLOOKUP(TableHandbook[[#This Row],[UDC]],TableGCHRIGHT[],7,FALSE),"")</f>
        <v/>
      </c>
      <c r="Y105" s="183" t="str">
        <f>IFERROR(VLOOKUP(TableHandbook[[#This Row],[UDC]],TableMCGLOBL2[],7,FALSE),"")</f>
        <v/>
      </c>
      <c r="Z105" s="118" t="str">
        <f>IFERROR(VLOOKUP(TableHandbook[[#This Row],[UDC]],TableMCGLOBL[],7,FALSE),"")</f>
        <v/>
      </c>
      <c r="AA105" s="297" t="str">
        <f>IFERROR(VLOOKUP(TableHandbook[[#This Row],[UDC]],TableSTRPGLOBL[],7,FALSE),"")</f>
        <v/>
      </c>
      <c r="AB105" s="297" t="str">
        <f>IFERROR(VLOOKUP(TableHandbook[[#This Row],[UDC]],TableSTRPHRIGT[],7,FALSE),"")</f>
        <v/>
      </c>
      <c r="AC105" s="297" t="str">
        <f>IFERROR(VLOOKUP(TableHandbook[[#This Row],[UDC]],TableSTRPINTRN[],7,FALSE),"")</f>
        <v/>
      </c>
      <c r="AD105" s="184" t="str">
        <f>IFERROR(VLOOKUP(TableHandbook[[#This Row],[UDC]],TableGCGLOBL[],7,FALSE),"")</f>
        <v/>
      </c>
      <c r="AE105" s="183" t="str">
        <f>IFERROR(VLOOKUP(TableHandbook[[#This Row],[UDC]],TableMCNETSCM[],7,FALSE),"")</f>
        <v/>
      </c>
      <c r="AF105" s="118" t="str">
        <f>IFERROR(VLOOKUP(TableHandbook[[#This Row],[UDC]],TableGDNETSCM[],7,FALSE),"")</f>
        <v/>
      </c>
      <c r="AG105" s="184" t="str">
        <f>IFERROR(VLOOKUP(TableHandbook[[#This Row],[UDC]],TableGCNETSCM[],7,FALSE),"")</f>
        <v/>
      </c>
      <c r="AH105" s="183" t="str">
        <f>IFERROR(VLOOKUP(TableHandbook[[#This Row],[UDC]],TableMCINTRNS[],7,FALSE),"")</f>
        <v/>
      </c>
      <c r="AI105" s="118" t="str">
        <f>IFERROR(VLOOKUP(TableHandbook[[#This Row],[UDC]],TableGDINTRNS[],7,FALSE),"")</f>
        <v/>
      </c>
      <c r="AJ105" s="184" t="str">
        <f>IFERROR(VLOOKUP(TableHandbook[[#This Row],[UDC]],TableGCINTRNS[],7,FALSE),"")</f>
        <v/>
      </c>
    </row>
    <row r="106" spans="1:36" x14ac:dyDescent="0.25">
      <c r="A106" s="6" t="s">
        <v>167</v>
      </c>
      <c r="B106" s="7">
        <v>1</v>
      </c>
      <c r="C106" s="6"/>
      <c r="D106" s="6" t="s">
        <v>482</v>
      </c>
      <c r="E106" s="7">
        <v>25</v>
      </c>
      <c r="F106" s="186" t="s">
        <v>368</v>
      </c>
      <c r="G106" s="75" t="str">
        <f>IFERROR(IF(VLOOKUP(TableHandbook[[#This Row],[UDC]],TableAvailabilities[],2,FALSE)&gt;0,"Y",""),"")</f>
        <v>Y</v>
      </c>
      <c r="H106" s="116" t="str">
        <f>IFERROR(IF(VLOOKUP(TableHandbook[[#This Row],[UDC]],TableAvailabilities[],3,FALSE)&gt;0,"Y",""),"")</f>
        <v>Y</v>
      </c>
      <c r="I106" s="117" t="str">
        <f>IFERROR(IF(VLOOKUP(TableHandbook[[#This Row],[UDC]],TableAvailabilities[],4,FALSE)&gt;0,"Y",""),"")</f>
        <v>Y</v>
      </c>
      <c r="J106" s="76" t="str">
        <f>IFERROR(IF(VLOOKUP(TableHandbook[[#This Row],[UDC]],TableAvailabilities[],5,FALSE)&gt;0,"Y",""),"")</f>
        <v>Y</v>
      </c>
      <c r="K106" s="289"/>
      <c r="L106" s="183" t="str">
        <f>IFERROR(VLOOKUP(TableHandbook[[#This Row],[UDC]],TableMCARTS[],7,FALSE),"")</f>
        <v/>
      </c>
      <c r="M106" s="118" t="str">
        <f>IFERROR(VLOOKUP(TableHandbook[[#This Row],[UDC]],TableMJRPCWRIT[],7,FALSE),"")</f>
        <v/>
      </c>
      <c r="N106" s="118" t="str">
        <f>IFERROR(VLOOKUP(TableHandbook[[#This Row],[UDC]],TableMJRPFINAR[],7,FALSE),"")</f>
        <v/>
      </c>
      <c r="O106" s="118" t="str">
        <f>IFERROR(VLOOKUP(TableHandbook[[#This Row],[UDC]],TableMJRPPWRIT[],7,FALSE),"")</f>
        <v>Option</v>
      </c>
      <c r="P106" s="184" t="str">
        <f>IFERROR(VLOOKUP(TableHandbook[[#This Row],[UDC]],TableMJRPSCRAR[],7,FALSE),"")</f>
        <v/>
      </c>
      <c r="Q106" s="183" t="str">
        <f>IFERROR(VLOOKUP(TableHandbook[[#This Row],[UDC]],TableMCMMJRG[],7,FALSE),"")</f>
        <v/>
      </c>
      <c r="R106" s="118" t="str">
        <f>IFERROR(VLOOKUP(TableHandbook[[#This Row],[UDC]],TableMCMMJRN[],7,FALSE),"")</f>
        <v/>
      </c>
      <c r="S106" s="118" t="str">
        <f>IFERROR(VLOOKUP(TableHandbook[[#This Row],[UDC]],TableGDMMJRN[],7,FALSE),"")</f>
        <v/>
      </c>
      <c r="T106" s="184" t="str">
        <f>IFERROR(VLOOKUP(TableHandbook[[#This Row],[UDC]],TableGCMMJRN[],7,FALSE),"")</f>
        <v/>
      </c>
      <c r="U106" s="183" t="str">
        <f>IFERROR(VLOOKUP(TableHandbook[[#This Row],[UDC]],TableMCHRIGLO[],7,FALSE),"")</f>
        <v/>
      </c>
      <c r="V106" s="118" t="str">
        <f>IFERROR(VLOOKUP(TableHandbook[[#This Row],[UDC]],TableMCHRIGHT[],7,FALSE),"")</f>
        <v/>
      </c>
      <c r="W106" s="118" t="str">
        <f>IFERROR(VLOOKUP(TableHandbook[[#This Row],[UDC]],TableGDHRIGHT[],7,FALSE),"")</f>
        <v/>
      </c>
      <c r="X106" s="184" t="str">
        <f>IFERROR(VLOOKUP(TableHandbook[[#This Row],[UDC]],TableGCHRIGHT[],7,FALSE),"")</f>
        <v/>
      </c>
      <c r="Y106" s="183" t="str">
        <f>IFERROR(VLOOKUP(TableHandbook[[#This Row],[UDC]],TableMCGLOBL2[],7,FALSE),"")</f>
        <v/>
      </c>
      <c r="Z106" s="118" t="str">
        <f>IFERROR(VLOOKUP(TableHandbook[[#This Row],[UDC]],TableMCGLOBL[],7,FALSE),"")</f>
        <v/>
      </c>
      <c r="AA106" s="297" t="str">
        <f>IFERROR(VLOOKUP(TableHandbook[[#This Row],[UDC]],TableSTRPGLOBL[],7,FALSE),"")</f>
        <v/>
      </c>
      <c r="AB106" s="297" t="str">
        <f>IFERROR(VLOOKUP(TableHandbook[[#This Row],[UDC]],TableSTRPHRIGT[],7,FALSE),"")</f>
        <v/>
      </c>
      <c r="AC106" s="297" t="str">
        <f>IFERROR(VLOOKUP(TableHandbook[[#This Row],[UDC]],TableSTRPINTRN[],7,FALSE),"")</f>
        <v/>
      </c>
      <c r="AD106" s="184" t="str">
        <f>IFERROR(VLOOKUP(TableHandbook[[#This Row],[UDC]],TableGCGLOBL[],7,FALSE),"")</f>
        <v/>
      </c>
      <c r="AE106" s="183" t="str">
        <f>IFERROR(VLOOKUP(TableHandbook[[#This Row],[UDC]],TableMCNETSCM[],7,FALSE),"")</f>
        <v>AltCore</v>
      </c>
      <c r="AF106" s="118" t="str">
        <f>IFERROR(VLOOKUP(TableHandbook[[#This Row],[UDC]],TableGDNETSCM[],7,FALSE),"")</f>
        <v>Option</v>
      </c>
      <c r="AG106" s="184" t="str">
        <f>IFERROR(VLOOKUP(TableHandbook[[#This Row],[UDC]],TableGCNETSCM[],7,FALSE),"")</f>
        <v>Option</v>
      </c>
      <c r="AH106" s="183" t="str">
        <f>IFERROR(VLOOKUP(TableHandbook[[#This Row],[UDC]],TableMCINTRNS[],7,FALSE),"")</f>
        <v/>
      </c>
      <c r="AI106" s="118" t="str">
        <f>IFERROR(VLOOKUP(TableHandbook[[#This Row],[UDC]],TableGDINTRNS[],7,FALSE),"")</f>
        <v/>
      </c>
      <c r="AJ106" s="184" t="str">
        <f>IFERROR(VLOOKUP(TableHandbook[[#This Row],[UDC]],TableGCINTRNS[],7,FALSE),"")</f>
        <v/>
      </c>
    </row>
    <row r="107" spans="1:36" x14ac:dyDescent="0.25">
      <c r="A107" s="6" t="s">
        <v>290</v>
      </c>
      <c r="B107" s="7">
        <v>2</v>
      </c>
      <c r="C107" s="6"/>
      <c r="D107" s="6" t="s">
        <v>483</v>
      </c>
      <c r="E107" s="7">
        <v>25</v>
      </c>
      <c r="F107" s="186" t="s">
        <v>368</v>
      </c>
      <c r="G107" s="75" t="str">
        <f>IFERROR(IF(VLOOKUP(TableHandbook[[#This Row],[UDC]],TableAvailabilities[],2,FALSE)&gt;0,"Y",""),"")</f>
        <v/>
      </c>
      <c r="H107" s="116" t="str">
        <f>IFERROR(IF(VLOOKUP(TableHandbook[[#This Row],[UDC]],TableAvailabilities[],3,FALSE)&gt;0,"Y",""),"")</f>
        <v/>
      </c>
      <c r="I107" s="117" t="str">
        <f>IFERROR(IF(VLOOKUP(TableHandbook[[#This Row],[UDC]],TableAvailabilities[],4,FALSE)&gt;0,"Y",""),"")</f>
        <v>Y</v>
      </c>
      <c r="J107" s="76" t="str">
        <f>IFERROR(IF(VLOOKUP(TableHandbook[[#This Row],[UDC]],TableAvailabilities[],5,FALSE)&gt;0,"Y",""),"")</f>
        <v>Y</v>
      </c>
      <c r="K107" s="289"/>
      <c r="L107" s="183" t="str">
        <f>IFERROR(VLOOKUP(TableHandbook[[#This Row],[UDC]],TableMCARTS[],7,FALSE),"")</f>
        <v/>
      </c>
      <c r="M107" s="118" t="str">
        <f>IFERROR(VLOOKUP(TableHandbook[[#This Row],[UDC]],TableMJRPCWRIT[],7,FALSE),"")</f>
        <v/>
      </c>
      <c r="N107" s="118" t="str">
        <f>IFERROR(VLOOKUP(TableHandbook[[#This Row],[UDC]],TableMJRPFINAR[],7,FALSE),"")</f>
        <v/>
      </c>
      <c r="O107" s="118" t="str">
        <f>IFERROR(VLOOKUP(TableHandbook[[#This Row],[UDC]],TableMJRPPWRIT[],7,FALSE),"")</f>
        <v/>
      </c>
      <c r="P107" s="184" t="str">
        <f>IFERROR(VLOOKUP(TableHandbook[[#This Row],[UDC]],TableMJRPSCRAR[],7,FALSE),"")</f>
        <v/>
      </c>
      <c r="Q107" s="183" t="str">
        <f>IFERROR(VLOOKUP(TableHandbook[[#This Row],[UDC]],TableMCMMJRG[],7,FALSE),"")</f>
        <v/>
      </c>
      <c r="R107" s="118" t="str">
        <f>IFERROR(VLOOKUP(TableHandbook[[#This Row],[UDC]],TableMCMMJRN[],7,FALSE),"")</f>
        <v/>
      </c>
      <c r="S107" s="118" t="str">
        <f>IFERROR(VLOOKUP(TableHandbook[[#This Row],[UDC]],TableGDMMJRN[],7,FALSE),"")</f>
        <v/>
      </c>
      <c r="T107" s="184" t="str">
        <f>IFERROR(VLOOKUP(TableHandbook[[#This Row],[UDC]],TableGCMMJRN[],7,FALSE),"")</f>
        <v/>
      </c>
      <c r="U107" s="183" t="str">
        <f>IFERROR(VLOOKUP(TableHandbook[[#This Row],[UDC]],TableMCHRIGLO[],7,FALSE),"")</f>
        <v/>
      </c>
      <c r="V107" s="118" t="str">
        <f>IFERROR(VLOOKUP(TableHandbook[[#This Row],[UDC]],TableMCHRIGHT[],7,FALSE),"")</f>
        <v/>
      </c>
      <c r="W107" s="118" t="str">
        <f>IFERROR(VLOOKUP(TableHandbook[[#This Row],[UDC]],TableGDHRIGHT[],7,FALSE),"")</f>
        <v/>
      </c>
      <c r="X107" s="184" t="str">
        <f>IFERROR(VLOOKUP(TableHandbook[[#This Row],[UDC]],TableGCHRIGHT[],7,FALSE),"")</f>
        <v/>
      </c>
      <c r="Y107" s="183" t="str">
        <f>IFERROR(VLOOKUP(TableHandbook[[#This Row],[UDC]],TableMCGLOBL2[],7,FALSE),"")</f>
        <v/>
      </c>
      <c r="Z107" s="118" t="str">
        <f>IFERROR(VLOOKUP(TableHandbook[[#This Row],[UDC]],TableMCGLOBL[],7,FALSE),"")</f>
        <v/>
      </c>
      <c r="AA107" s="297" t="str">
        <f>IFERROR(VLOOKUP(TableHandbook[[#This Row],[UDC]],TableSTRPGLOBL[],7,FALSE),"")</f>
        <v/>
      </c>
      <c r="AB107" s="297" t="str">
        <f>IFERROR(VLOOKUP(TableHandbook[[#This Row],[UDC]],TableSTRPHRIGT[],7,FALSE),"")</f>
        <v/>
      </c>
      <c r="AC107" s="297" t="str">
        <f>IFERROR(VLOOKUP(TableHandbook[[#This Row],[UDC]],TableSTRPINTRN[],7,FALSE),"")</f>
        <v/>
      </c>
      <c r="AD107" s="184" t="str">
        <f>IFERROR(VLOOKUP(TableHandbook[[#This Row],[UDC]],TableGCGLOBL[],7,FALSE),"")</f>
        <v/>
      </c>
      <c r="AE107" s="183" t="str">
        <f>IFERROR(VLOOKUP(TableHandbook[[#This Row],[UDC]],TableMCNETSCM[],7,FALSE),"")</f>
        <v>AltCore</v>
      </c>
      <c r="AF107" s="118" t="str">
        <f>IFERROR(VLOOKUP(TableHandbook[[#This Row],[UDC]],TableGDNETSCM[],7,FALSE),"")</f>
        <v>Option</v>
      </c>
      <c r="AG107" s="184" t="str">
        <f>IFERROR(VLOOKUP(TableHandbook[[#This Row],[UDC]],TableGCNETSCM[],7,FALSE),"")</f>
        <v>Option</v>
      </c>
      <c r="AH107" s="183" t="str">
        <f>IFERROR(VLOOKUP(TableHandbook[[#This Row],[UDC]],TableMCINTRNS[],7,FALSE),"")</f>
        <v/>
      </c>
      <c r="AI107" s="118" t="str">
        <f>IFERROR(VLOOKUP(TableHandbook[[#This Row],[UDC]],TableGDINTRNS[],7,FALSE),"")</f>
        <v/>
      </c>
      <c r="AJ107" s="184" t="str">
        <f>IFERROR(VLOOKUP(TableHandbook[[#This Row],[UDC]],TableGCINTRNS[],7,FALSE),"")</f>
        <v/>
      </c>
    </row>
    <row r="108" spans="1:36" x14ac:dyDescent="0.25">
      <c r="A108" s="6" t="s">
        <v>291</v>
      </c>
      <c r="B108" s="7">
        <v>3</v>
      </c>
      <c r="C108" s="6"/>
      <c r="D108" s="6" t="s">
        <v>484</v>
      </c>
      <c r="E108" s="7">
        <v>25</v>
      </c>
      <c r="F108" s="186" t="s">
        <v>368</v>
      </c>
      <c r="G108" s="75" t="str">
        <f>IFERROR(IF(VLOOKUP(TableHandbook[[#This Row],[UDC]],TableAvailabilities[],2,FALSE)&gt;0,"Y",""),"")</f>
        <v/>
      </c>
      <c r="H108" s="116" t="str">
        <f>IFERROR(IF(VLOOKUP(TableHandbook[[#This Row],[UDC]],TableAvailabilities[],3,FALSE)&gt;0,"Y",""),"")</f>
        <v/>
      </c>
      <c r="I108" s="117" t="str">
        <f>IFERROR(IF(VLOOKUP(TableHandbook[[#This Row],[UDC]],TableAvailabilities[],4,FALSE)&gt;0,"Y",""),"")</f>
        <v/>
      </c>
      <c r="J108" s="76" t="str">
        <f>IFERROR(IF(VLOOKUP(TableHandbook[[#This Row],[UDC]],TableAvailabilities[],5,FALSE)&gt;0,"Y",""),"")</f>
        <v>Y</v>
      </c>
      <c r="K108" s="289"/>
      <c r="L108" s="183" t="str">
        <f>IFERROR(VLOOKUP(TableHandbook[[#This Row],[UDC]],TableMCARTS[],7,FALSE),"")</f>
        <v/>
      </c>
      <c r="M108" s="118" t="str">
        <f>IFERROR(VLOOKUP(TableHandbook[[#This Row],[UDC]],TableMJRPCWRIT[],7,FALSE),"")</f>
        <v/>
      </c>
      <c r="N108" s="118" t="str">
        <f>IFERROR(VLOOKUP(TableHandbook[[#This Row],[UDC]],TableMJRPFINAR[],7,FALSE),"")</f>
        <v/>
      </c>
      <c r="O108" s="118" t="str">
        <f>IFERROR(VLOOKUP(TableHandbook[[#This Row],[UDC]],TableMJRPPWRIT[],7,FALSE),"")</f>
        <v/>
      </c>
      <c r="P108" s="184" t="str">
        <f>IFERROR(VLOOKUP(TableHandbook[[#This Row],[UDC]],TableMJRPSCRAR[],7,FALSE),"")</f>
        <v/>
      </c>
      <c r="Q108" s="183" t="str">
        <f>IFERROR(VLOOKUP(TableHandbook[[#This Row],[UDC]],TableMCMMJRG[],7,FALSE),"")</f>
        <v/>
      </c>
      <c r="R108" s="118" t="str">
        <f>IFERROR(VLOOKUP(TableHandbook[[#This Row],[UDC]],TableMCMMJRN[],7,FALSE),"")</f>
        <v/>
      </c>
      <c r="S108" s="118" t="str">
        <f>IFERROR(VLOOKUP(TableHandbook[[#This Row],[UDC]],TableGDMMJRN[],7,FALSE),"")</f>
        <v/>
      </c>
      <c r="T108" s="184" t="str">
        <f>IFERROR(VLOOKUP(TableHandbook[[#This Row],[UDC]],TableGCMMJRN[],7,FALSE),"")</f>
        <v/>
      </c>
      <c r="U108" s="183" t="str">
        <f>IFERROR(VLOOKUP(TableHandbook[[#This Row],[UDC]],TableMCHRIGLO[],7,FALSE),"")</f>
        <v/>
      </c>
      <c r="V108" s="118" t="str">
        <f>IFERROR(VLOOKUP(TableHandbook[[#This Row],[UDC]],TableMCHRIGHT[],7,FALSE),"")</f>
        <v/>
      </c>
      <c r="W108" s="118" t="str">
        <f>IFERROR(VLOOKUP(TableHandbook[[#This Row],[UDC]],TableGDHRIGHT[],7,FALSE),"")</f>
        <v/>
      </c>
      <c r="X108" s="184" t="str">
        <f>IFERROR(VLOOKUP(TableHandbook[[#This Row],[UDC]],TableGCHRIGHT[],7,FALSE),"")</f>
        <v/>
      </c>
      <c r="Y108" s="183" t="str">
        <f>IFERROR(VLOOKUP(TableHandbook[[#This Row],[UDC]],TableMCGLOBL2[],7,FALSE),"")</f>
        <v/>
      </c>
      <c r="Z108" s="118" t="str">
        <f>IFERROR(VLOOKUP(TableHandbook[[#This Row],[UDC]],TableMCGLOBL[],7,FALSE),"")</f>
        <v/>
      </c>
      <c r="AA108" s="297" t="str">
        <f>IFERROR(VLOOKUP(TableHandbook[[#This Row],[UDC]],TableSTRPGLOBL[],7,FALSE),"")</f>
        <v/>
      </c>
      <c r="AB108" s="297" t="str">
        <f>IFERROR(VLOOKUP(TableHandbook[[#This Row],[UDC]],TableSTRPHRIGT[],7,FALSE),"")</f>
        <v/>
      </c>
      <c r="AC108" s="297" t="str">
        <f>IFERROR(VLOOKUP(TableHandbook[[#This Row],[UDC]],TableSTRPINTRN[],7,FALSE),"")</f>
        <v/>
      </c>
      <c r="AD108" s="184" t="str">
        <f>IFERROR(VLOOKUP(TableHandbook[[#This Row],[UDC]],TableGCGLOBL[],7,FALSE),"")</f>
        <v/>
      </c>
      <c r="AE108" s="183" t="str">
        <f>IFERROR(VLOOKUP(TableHandbook[[#This Row],[UDC]],TableMCNETSCM[],7,FALSE),"")</f>
        <v>Option</v>
      </c>
      <c r="AF108" s="118" t="str">
        <f>IFERROR(VLOOKUP(TableHandbook[[#This Row],[UDC]],TableGDNETSCM[],7,FALSE),"")</f>
        <v>Option</v>
      </c>
      <c r="AG108" s="184" t="str">
        <f>IFERROR(VLOOKUP(TableHandbook[[#This Row],[UDC]],TableGCNETSCM[],7,FALSE),"")</f>
        <v>Option</v>
      </c>
      <c r="AH108" s="183" t="str">
        <f>IFERROR(VLOOKUP(TableHandbook[[#This Row],[UDC]],TableMCINTRNS[],7,FALSE),"")</f>
        <v/>
      </c>
      <c r="AI108" s="118" t="str">
        <f>IFERROR(VLOOKUP(TableHandbook[[#This Row],[UDC]],TableGDINTRNS[],7,FALSE),"")</f>
        <v/>
      </c>
      <c r="AJ108" s="184" t="str">
        <f>IFERROR(VLOOKUP(TableHandbook[[#This Row],[UDC]],TableGCINTRNS[],7,FALSE),"")</f>
        <v/>
      </c>
    </row>
    <row r="109" spans="1:36" x14ac:dyDescent="0.25">
      <c r="A109" s="6" t="s">
        <v>202</v>
      </c>
      <c r="B109" s="7">
        <v>2</v>
      </c>
      <c r="C109" s="6"/>
      <c r="D109" s="6" t="s">
        <v>485</v>
      </c>
      <c r="E109" s="7">
        <v>25</v>
      </c>
      <c r="F109" s="186" t="s">
        <v>368</v>
      </c>
      <c r="G109" s="75" t="str">
        <f>IFERROR(IF(VLOOKUP(TableHandbook[[#This Row],[UDC]],TableAvailabilities[],2,FALSE)&gt;0,"Y",""),"")</f>
        <v>Y</v>
      </c>
      <c r="H109" s="116" t="str">
        <f>IFERROR(IF(VLOOKUP(TableHandbook[[#This Row],[UDC]],TableAvailabilities[],3,FALSE)&gt;0,"Y",""),"")</f>
        <v>Y</v>
      </c>
      <c r="I109" s="117" t="str">
        <f>IFERROR(IF(VLOOKUP(TableHandbook[[#This Row],[UDC]],TableAvailabilities[],4,FALSE)&gt;0,"Y",""),"")</f>
        <v/>
      </c>
      <c r="J109" s="76" t="str">
        <f>IFERROR(IF(VLOOKUP(TableHandbook[[#This Row],[UDC]],TableAvailabilities[],5,FALSE)&gt;0,"Y",""),"")</f>
        <v/>
      </c>
      <c r="K109" s="289"/>
      <c r="L109" s="183" t="str">
        <f>IFERROR(VLOOKUP(TableHandbook[[#This Row],[UDC]],TableMCARTS[],7,FALSE),"")</f>
        <v/>
      </c>
      <c r="M109" s="118" t="str">
        <f>IFERROR(VLOOKUP(TableHandbook[[#This Row],[UDC]],TableMJRPCWRIT[],7,FALSE),"")</f>
        <v/>
      </c>
      <c r="N109" s="118" t="str">
        <f>IFERROR(VLOOKUP(TableHandbook[[#This Row],[UDC]],TableMJRPFINAR[],7,FALSE),"")</f>
        <v/>
      </c>
      <c r="O109" s="118" t="str">
        <f>IFERROR(VLOOKUP(TableHandbook[[#This Row],[UDC]],TableMJRPPWRIT[],7,FALSE),"")</f>
        <v>Option</v>
      </c>
      <c r="P109" s="184" t="str">
        <f>IFERROR(VLOOKUP(TableHandbook[[#This Row],[UDC]],TableMJRPSCRAR[],7,FALSE),"")</f>
        <v/>
      </c>
      <c r="Q109" s="183" t="str">
        <f>IFERROR(VLOOKUP(TableHandbook[[#This Row],[UDC]],TableMCMMJRG[],7,FALSE),"")</f>
        <v>AltCore</v>
      </c>
      <c r="R109" s="118" t="str">
        <f>IFERROR(VLOOKUP(TableHandbook[[#This Row],[UDC]],TableMCMMJRN[],7,FALSE),"")</f>
        <v>AltCore</v>
      </c>
      <c r="S109" s="118" t="str">
        <f>IFERROR(VLOOKUP(TableHandbook[[#This Row],[UDC]],TableGDMMJRN[],7,FALSE),"")</f>
        <v/>
      </c>
      <c r="T109" s="184" t="str">
        <f>IFERROR(VLOOKUP(TableHandbook[[#This Row],[UDC]],TableGCMMJRN[],7,FALSE),"")</f>
        <v/>
      </c>
      <c r="U109" s="183" t="str">
        <f>IFERROR(VLOOKUP(TableHandbook[[#This Row],[UDC]],TableMCHRIGLO[],7,FALSE),"")</f>
        <v/>
      </c>
      <c r="V109" s="118" t="str">
        <f>IFERROR(VLOOKUP(TableHandbook[[#This Row],[UDC]],TableMCHRIGHT[],7,FALSE),"")</f>
        <v/>
      </c>
      <c r="W109" s="118" t="str">
        <f>IFERROR(VLOOKUP(TableHandbook[[#This Row],[UDC]],TableGDHRIGHT[],7,FALSE),"")</f>
        <v/>
      </c>
      <c r="X109" s="184" t="str">
        <f>IFERROR(VLOOKUP(TableHandbook[[#This Row],[UDC]],TableGCHRIGHT[],7,FALSE),"")</f>
        <v/>
      </c>
      <c r="Y109" s="183" t="str">
        <f>IFERROR(VLOOKUP(TableHandbook[[#This Row],[UDC]],TableMCGLOBL2[],7,FALSE),"")</f>
        <v/>
      </c>
      <c r="Z109" s="118" t="str">
        <f>IFERROR(VLOOKUP(TableHandbook[[#This Row],[UDC]],TableMCGLOBL[],7,FALSE),"")</f>
        <v/>
      </c>
      <c r="AA109" s="297" t="str">
        <f>IFERROR(VLOOKUP(TableHandbook[[#This Row],[UDC]],TableSTRPGLOBL[],7,FALSE),"")</f>
        <v/>
      </c>
      <c r="AB109" s="297" t="str">
        <f>IFERROR(VLOOKUP(TableHandbook[[#This Row],[UDC]],TableSTRPHRIGT[],7,FALSE),"")</f>
        <v/>
      </c>
      <c r="AC109" s="297" t="str">
        <f>IFERROR(VLOOKUP(TableHandbook[[#This Row],[UDC]],TableSTRPINTRN[],7,FALSE),"")</f>
        <v/>
      </c>
      <c r="AD109" s="184" t="str">
        <f>IFERROR(VLOOKUP(TableHandbook[[#This Row],[UDC]],TableGCGLOBL[],7,FALSE),"")</f>
        <v/>
      </c>
      <c r="AE109" s="183" t="str">
        <f>IFERROR(VLOOKUP(TableHandbook[[#This Row],[UDC]],TableMCNETSCM[],7,FALSE),"")</f>
        <v>Option</v>
      </c>
      <c r="AF109" s="118" t="str">
        <f>IFERROR(VLOOKUP(TableHandbook[[#This Row],[UDC]],TableGDNETSCM[],7,FALSE),"")</f>
        <v>Option</v>
      </c>
      <c r="AG109" s="184" t="str">
        <f>IFERROR(VLOOKUP(TableHandbook[[#This Row],[UDC]],TableGCNETSCM[],7,FALSE),"")</f>
        <v>Option</v>
      </c>
      <c r="AH109" s="183" t="str">
        <f>IFERROR(VLOOKUP(TableHandbook[[#This Row],[UDC]],TableMCINTRNS[],7,FALSE),"")</f>
        <v/>
      </c>
      <c r="AI109" s="118" t="str">
        <f>IFERROR(VLOOKUP(TableHandbook[[#This Row],[UDC]],TableGDINTRNS[],7,FALSE),"")</f>
        <v/>
      </c>
      <c r="AJ109" s="184" t="str">
        <f>IFERROR(VLOOKUP(TableHandbook[[#This Row],[UDC]],TableGCINTRNS[],7,FALSE),"")</f>
        <v/>
      </c>
    </row>
    <row r="110" spans="1:36" x14ac:dyDescent="0.25">
      <c r="A110" s="6" t="s">
        <v>292</v>
      </c>
      <c r="B110" s="7">
        <v>2</v>
      </c>
      <c r="C110" s="6"/>
      <c r="D110" s="6" t="s">
        <v>486</v>
      </c>
      <c r="E110" s="7">
        <v>25</v>
      </c>
      <c r="F110" s="186" t="s">
        <v>368</v>
      </c>
      <c r="G110" s="75" t="str">
        <f>IFERROR(IF(VLOOKUP(TableHandbook[[#This Row],[UDC]],TableAvailabilities[],2,FALSE)&gt;0,"Y",""),"")</f>
        <v/>
      </c>
      <c r="H110" s="116" t="str">
        <f>IFERROR(IF(VLOOKUP(TableHandbook[[#This Row],[UDC]],TableAvailabilities[],3,FALSE)&gt;0,"Y",""),"")</f>
        <v/>
      </c>
      <c r="I110" s="117" t="str">
        <f>IFERROR(IF(VLOOKUP(TableHandbook[[#This Row],[UDC]],TableAvailabilities[],4,FALSE)&gt;0,"Y",""),"")</f>
        <v>Y</v>
      </c>
      <c r="J110" s="76" t="str">
        <f>IFERROR(IF(VLOOKUP(TableHandbook[[#This Row],[UDC]],TableAvailabilities[],5,FALSE)&gt;0,"Y",""),"")</f>
        <v>Y</v>
      </c>
      <c r="K110" s="289"/>
      <c r="L110" s="183" t="str">
        <f>IFERROR(VLOOKUP(TableHandbook[[#This Row],[UDC]],TableMCARTS[],7,FALSE),"")</f>
        <v/>
      </c>
      <c r="M110" s="118" t="str">
        <f>IFERROR(VLOOKUP(TableHandbook[[#This Row],[UDC]],TableMJRPCWRIT[],7,FALSE),"")</f>
        <v/>
      </c>
      <c r="N110" s="118" t="str">
        <f>IFERROR(VLOOKUP(TableHandbook[[#This Row],[UDC]],TableMJRPFINAR[],7,FALSE),"")</f>
        <v/>
      </c>
      <c r="O110" s="118" t="str">
        <f>IFERROR(VLOOKUP(TableHandbook[[#This Row],[UDC]],TableMJRPPWRIT[],7,FALSE),"")</f>
        <v/>
      </c>
      <c r="P110" s="184" t="str">
        <f>IFERROR(VLOOKUP(TableHandbook[[#This Row],[UDC]],TableMJRPSCRAR[],7,FALSE),"")</f>
        <v/>
      </c>
      <c r="Q110" s="183" t="str">
        <f>IFERROR(VLOOKUP(TableHandbook[[#This Row],[UDC]],TableMCMMJRG[],7,FALSE),"")</f>
        <v/>
      </c>
      <c r="R110" s="118" t="str">
        <f>IFERROR(VLOOKUP(TableHandbook[[#This Row],[UDC]],TableMCMMJRN[],7,FALSE),"")</f>
        <v/>
      </c>
      <c r="S110" s="118" t="str">
        <f>IFERROR(VLOOKUP(TableHandbook[[#This Row],[UDC]],TableGDMMJRN[],7,FALSE),"")</f>
        <v/>
      </c>
      <c r="T110" s="184" t="str">
        <f>IFERROR(VLOOKUP(TableHandbook[[#This Row],[UDC]],TableGCMMJRN[],7,FALSE),"")</f>
        <v/>
      </c>
      <c r="U110" s="183" t="str">
        <f>IFERROR(VLOOKUP(TableHandbook[[#This Row],[UDC]],TableMCHRIGLO[],7,FALSE),"")</f>
        <v/>
      </c>
      <c r="V110" s="118" t="str">
        <f>IFERROR(VLOOKUP(TableHandbook[[#This Row],[UDC]],TableMCHRIGHT[],7,FALSE),"")</f>
        <v/>
      </c>
      <c r="W110" s="118" t="str">
        <f>IFERROR(VLOOKUP(TableHandbook[[#This Row],[UDC]],TableGDHRIGHT[],7,FALSE),"")</f>
        <v/>
      </c>
      <c r="X110" s="184" t="str">
        <f>IFERROR(VLOOKUP(TableHandbook[[#This Row],[UDC]],TableGCHRIGHT[],7,FALSE),"")</f>
        <v/>
      </c>
      <c r="Y110" s="183" t="str">
        <f>IFERROR(VLOOKUP(TableHandbook[[#This Row],[UDC]],TableMCGLOBL2[],7,FALSE),"")</f>
        <v/>
      </c>
      <c r="Z110" s="118" t="str">
        <f>IFERROR(VLOOKUP(TableHandbook[[#This Row],[UDC]],TableMCGLOBL[],7,FALSE),"")</f>
        <v/>
      </c>
      <c r="AA110" s="297" t="str">
        <f>IFERROR(VLOOKUP(TableHandbook[[#This Row],[UDC]],TableSTRPGLOBL[],7,FALSE),"")</f>
        <v/>
      </c>
      <c r="AB110" s="297" t="str">
        <f>IFERROR(VLOOKUP(TableHandbook[[#This Row],[UDC]],TableSTRPHRIGT[],7,FALSE),"")</f>
        <v/>
      </c>
      <c r="AC110" s="297" t="str">
        <f>IFERROR(VLOOKUP(TableHandbook[[#This Row],[UDC]],TableSTRPINTRN[],7,FALSE),"")</f>
        <v/>
      </c>
      <c r="AD110" s="184" t="str">
        <f>IFERROR(VLOOKUP(TableHandbook[[#This Row],[UDC]],TableGCGLOBL[],7,FALSE),"")</f>
        <v/>
      </c>
      <c r="AE110" s="183" t="str">
        <f>IFERROR(VLOOKUP(TableHandbook[[#This Row],[UDC]],TableMCNETSCM[],7,FALSE),"")</f>
        <v>Option</v>
      </c>
      <c r="AF110" s="118" t="str">
        <f>IFERROR(VLOOKUP(TableHandbook[[#This Row],[UDC]],TableGDNETSCM[],7,FALSE),"")</f>
        <v>Option</v>
      </c>
      <c r="AG110" s="184" t="str">
        <f>IFERROR(VLOOKUP(TableHandbook[[#This Row],[UDC]],TableGCNETSCM[],7,FALSE),"")</f>
        <v>Option</v>
      </c>
      <c r="AH110" s="183" t="str">
        <f>IFERROR(VLOOKUP(TableHandbook[[#This Row],[UDC]],TableMCINTRNS[],7,FALSE),"")</f>
        <v/>
      </c>
      <c r="AI110" s="118" t="str">
        <f>IFERROR(VLOOKUP(TableHandbook[[#This Row],[UDC]],TableGDINTRNS[],7,FALSE),"")</f>
        <v/>
      </c>
      <c r="AJ110" s="184" t="str">
        <f>IFERROR(VLOOKUP(TableHandbook[[#This Row],[UDC]],TableGCINTRNS[],7,FALSE),"")</f>
        <v/>
      </c>
    </row>
    <row r="111" spans="1:36" x14ac:dyDescent="0.25">
      <c r="A111" s="6" t="s">
        <v>293</v>
      </c>
      <c r="B111" s="7">
        <v>2</v>
      </c>
      <c r="C111" s="6"/>
      <c r="D111" s="6" t="s">
        <v>487</v>
      </c>
      <c r="E111" s="7">
        <v>25</v>
      </c>
      <c r="F111" s="186" t="s">
        <v>488</v>
      </c>
      <c r="G111" s="75" t="str">
        <f>IFERROR(IF(VLOOKUP(TableHandbook[[#This Row],[UDC]],TableAvailabilities[],2,FALSE)&gt;0,"Y",""),"")</f>
        <v/>
      </c>
      <c r="H111" s="116" t="str">
        <f>IFERROR(IF(VLOOKUP(TableHandbook[[#This Row],[UDC]],TableAvailabilities[],3,FALSE)&gt;0,"Y",""),"")</f>
        <v/>
      </c>
      <c r="I111" s="117" t="str">
        <f>IFERROR(IF(VLOOKUP(TableHandbook[[#This Row],[UDC]],TableAvailabilities[],4,FALSE)&gt;0,"Y",""),"")</f>
        <v>Y</v>
      </c>
      <c r="J111" s="76" t="str">
        <f>IFERROR(IF(VLOOKUP(TableHandbook[[#This Row],[UDC]],TableAvailabilities[],5,FALSE)&gt;0,"Y",""),"")</f>
        <v>Y</v>
      </c>
      <c r="K111" s="289"/>
      <c r="L111" s="183" t="str">
        <f>IFERROR(VLOOKUP(TableHandbook[[#This Row],[UDC]],TableMCARTS[],7,FALSE),"")</f>
        <v/>
      </c>
      <c r="M111" s="118" t="str">
        <f>IFERROR(VLOOKUP(TableHandbook[[#This Row],[UDC]],TableMJRPCWRIT[],7,FALSE),"")</f>
        <v/>
      </c>
      <c r="N111" s="118" t="str">
        <f>IFERROR(VLOOKUP(TableHandbook[[#This Row],[UDC]],TableMJRPFINAR[],7,FALSE),"")</f>
        <v/>
      </c>
      <c r="O111" s="118" t="str">
        <f>IFERROR(VLOOKUP(TableHandbook[[#This Row],[UDC]],TableMJRPPWRIT[],7,FALSE),"")</f>
        <v/>
      </c>
      <c r="P111" s="184" t="str">
        <f>IFERROR(VLOOKUP(TableHandbook[[#This Row],[UDC]],TableMJRPSCRAR[],7,FALSE),"")</f>
        <v/>
      </c>
      <c r="Q111" s="183" t="str">
        <f>IFERROR(VLOOKUP(TableHandbook[[#This Row],[UDC]],TableMCMMJRG[],7,FALSE),"")</f>
        <v/>
      </c>
      <c r="R111" s="118" t="str">
        <f>IFERROR(VLOOKUP(TableHandbook[[#This Row],[UDC]],TableMCMMJRN[],7,FALSE),"")</f>
        <v/>
      </c>
      <c r="S111" s="118" t="str">
        <f>IFERROR(VLOOKUP(TableHandbook[[#This Row],[UDC]],TableGDMMJRN[],7,FALSE),"")</f>
        <v/>
      </c>
      <c r="T111" s="184" t="str">
        <f>IFERROR(VLOOKUP(TableHandbook[[#This Row],[UDC]],TableGCMMJRN[],7,FALSE),"")</f>
        <v/>
      </c>
      <c r="U111" s="183" t="str">
        <f>IFERROR(VLOOKUP(TableHandbook[[#This Row],[UDC]],TableMCHRIGLO[],7,FALSE),"")</f>
        <v/>
      </c>
      <c r="V111" s="118" t="str">
        <f>IFERROR(VLOOKUP(TableHandbook[[#This Row],[UDC]],TableMCHRIGHT[],7,FALSE),"")</f>
        <v/>
      </c>
      <c r="W111" s="118" t="str">
        <f>IFERROR(VLOOKUP(TableHandbook[[#This Row],[UDC]],TableGDHRIGHT[],7,FALSE),"")</f>
        <v/>
      </c>
      <c r="X111" s="184" t="str">
        <f>IFERROR(VLOOKUP(TableHandbook[[#This Row],[UDC]],TableGCHRIGHT[],7,FALSE),"")</f>
        <v/>
      </c>
      <c r="Y111" s="183" t="str">
        <f>IFERROR(VLOOKUP(TableHandbook[[#This Row],[UDC]],TableMCGLOBL2[],7,FALSE),"")</f>
        <v/>
      </c>
      <c r="Z111" s="118" t="str">
        <f>IFERROR(VLOOKUP(TableHandbook[[#This Row],[UDC]],TableMCGLOBL[],7,FALSE),"")</f>
        <v/>
      </c>
      <c r="AA111" s="297" t="str">
        <f>IFERROR(VLOOKUP(TableHandbook[[#This Row],[UDC]],TableSTRPGLOBL[],7,FALSE),"")</f>
        <v/>
      </c>
      <c r="AB111" s="297" t="str">
        <f>IFERROR(VLOOKUP(TableHandbook[[#This Row],[UDC]],TableSTRPHRIGT[],7,FALSE),"")</f>
        <v/>
      </c>
      <c r="AC111" s="297" t="str">
        <f>IFERROR(VLOOKUP(TableHandbook[[#This Row],[UDC]],TableSTRPINTRN[],7,FALSE),"")</f>
        <v/>
      </c>
      <c r="AD111" s="184" t="str">
        <f>IFERROR(VLOOKUP(TableHandbook[[#This Row],[UDC]],TableGCGLOBL[],7,FALSE),"")</f>
        <v/>
      </c>
      <c r="AE111" s="183" t="str">
        <f>IFERROR(VLOOKUP(TableHandbook[[#This Row],[UDC]],TableMCNETSCM[],7,FALSE),"")</f>
        <v>Option</v>
      </c>
      <c r="AF111" s="118" t="str">
        <f>IFERROR(VLOOKUP(TableHandbook[[#This Row],[UDC]],TableGDNETSCM[],7,FALSE),"")</f>
        <v>Option</v>
      </c>
      <c r="AG111" s="184" t="str">
        <f>IFERROR(VLOOKUP(TableHandbook[[#This Row],[UDC]],TableGCNETSCM[],7,FALSE),"")</f>
        <v>Option</v>
      </c>
      <c r="AH111" s="183" t="str">
        <f>IFERROR(VLOOKUP(TableHandbook[[#This Row],[UDC]],TableMCINTRNS[],7,FALSE),"")</f>
        <v/>
      </c>
      <c r="AI111" s="118" t="str">
        <f>IFERROR(VLOOKUP(TableHandbook[[#This Row],[UDC]],TableGDINTRNS[],7,FALSE),"")</f>
        <v/>
      </c>
      <c r="AJ111" s="184" t="str">
        <f>IFERROR(VLOOKUP(TableHandbook[[#This Row],[UDC]],TableGCINTRNS[],7,FALSE),"")</f>
        <v/>
      </c>
    </row>
    <row r="112" spans="1:36" x14ac:dyDescent="0.25">
      <c r="A112" s="6" t="s">
        <v>294</v>
      </c>
      <c r="B112" s="7">
        <v>2</v>
      </c>
      <c r="C112" s="6"/>
      <c r="D112" s="6" t="s">
        <v>489</v>
      </c>
      <c r="E112" s="7">
        <v>25</v>
      </c>
      <c r="F112" s="186" t="s">
        <v>368</v>
      </c>
      <c r="G112" s="75" t="str">
        <f>IFERROR(IF(VLOOKUP(TableHandbook[[#This Row],[UDC]],TableAvailabilities[],2,FALSE)&gt;0,"Y",""),"")</f>
        <v/>
      </c>
      <c r="H112" s="116" t="str">
        <f>IFERROR(IF(VLOOKUP(TableHandbook[[#This Row],[UDC]],TableAvailabilities[],3,FALSE)&gt;0,"Y",""),"")</f>
        <v>Y</v>
      </c>
      <c r="I112" s="117" t="str">
        <f>IFERROR(IF(VLOOKUP(TableHandbook[[#This Row],[UDC]],TableAvailabilities[],4,FALSE)&gt;0,"Y",""),"")</f>
        <v/>
      </c>
      <c r="J112" s="76" t="str">
        <f>IFERROR(IF(VLOOKUP(TableHandbook[[#This Row],[UDC]],TableAvailabilities[],5,FALSE)&gt;0,"Y",""),"")</f>
        <v/>
      </c>
      <c r="K112" s="289"/>
      <c r="L112" s="183" t="str">
        <f>IFERROR(VLOOKUP(TableHandbook[[#This Row],[UDC]],TableMCARTS[],7,FALSE),"")</f>
        <v/>
      </c>
      <c r="M112" s="118" t="str">
        <f>IFERROR(VLOOKUP(TableHandbook[[#This Row],[UDC]],TableMJRPCWRIT[],7,FALSE),"")</f>
        <v/>
      </c>
      <c r="N112" s="118" t="str">
        <f>IFERROR(VLOOKUP(TableHandbook[[#This Row],[UDC]],TableMJRPFINAR[],7,FALSE),"")</f>
        <v/>
      </c>
      <c r="O112" s="118" t="str">
        <f>IFERROR(VLOOKUP(TableHandbook[[#This Row],[UDC]],TableMJRPPWRIT[],7,FALSE),"")</f>
        <v/>
      </c>
      <c r="P112" s="184" t="str">
        <f>IFERROR(VLOOKUP(TableHandbook[[#This Row],[UDC]],TableMJRPSCRAR[],7,FALSE),"")</f>
        <v/>
      </c>
      <c r="Q112" s="183" t="str">
        <f>IFERROR(VLOOKUP(TableHandbook[[#This Row],[UDC]],TableMCMMJRG[],7,FALSE),"")</f>
        <v/>
      </c>
      <c r="R112" s="118" t="str">
        <f>IFERROR(VLOOKUP(TableHandbook[[#This Row],[UDC]],TableMCMMJRN[],7,FALSE),"")</f>
        <v/>
      </c>
      <c r="S112" s="118" t="str">
        <f>IFERROR(VLOOKUP(TableHandbook[[#This Row],[UDC]],TableGDMMJRN[],7,FALSE),"")</f>
        <v/>
      </c>
      <c r="T112" s="184" t="str">
        <f>IFERROR(VLOOKUP(TableHandbook[[#This Row],[UDC]],TableGCMMJRN[],7,FALSE),"")</f>
        <v/>
      </c>
      <c r="U112" s="183" t="str">
        <f>IFERROR(VLOOKUP(TableHandbook[[#This Row],[UDC]],TableMCHRIGLO[],7,FALSE),"")</f>
        <v/>
      </c>
      <c r="V112" s="118" t="str">
        <f>IFERROR(VLOOKUP(TableHandbook[[#This Row],[UDC]],TableMCHRIGHT[],7,FALSE),"")</f>
        <v/>
      </c>
      <c r="W112" s="118" t="str">
        <f>IFERROR(VLOOKUP(TableHandbook[[#This Row],[UDC]],TableGDHRIGHT[],7,FALSE),"")</f>
        <v/>
      </c>
      <c r="X112" s="184" t="str">
        <f>IFERROR(VLOOKUP(TableHandbook[[#This Row],[UDC]],TableGCHRIGHT[],7,FALSE),"")</f>
        <v/>
      </c>
      <c r="Y112" s="183" t="str">
        <f>IFERROR(VLOOKUP(TableHandbook[[#This Row],[UDC]],TableMCGLOBL2[],7,FALSE),"")</f>
        <v/>
      </c>
      <c r="Z112" s="118" t="str">
        <f>IFERROR(VLOOKUP(TableHandbook[[#This Row],[UDC]],TableMCGLOBL[],7,FALSE),"")</f>
        <v/>
      </c>
      <c r="AA112" s="297" t="str">
        <f>IFERROR(VLOOKUP(TableHandbook[[#This Row],[UDC]],TableSTRPGLOBL[],7,FALSE),"")</f>
        <v/>
      </c>
      <c r="AB112" s="297" t="str">
        <f>IFERROR(VLOOKUP(TableHandbook[[#This Row],[UDC]],TableSTRPHRIGT[],7,FALSE),"")</f>
        <v/>
      </c>
      <c r="AC112" s="297" t="str">
        <f>IFERROR(VLOOKUP(TableHandbook[[#This Row],[UDC]],TableSTRPINTRN[],7,FALSE),"")</f>
        <v/>
      </c>
      <c r="AD112" s="184" t="str">
        <f>IFERROR(VLOOKUP(TableHandbook[[#This Row],[UDC]],TableGCGLOBL[],7,FALSE),"")</f>
        <v/>
      </c>
      <c r="AE112" s="183" t="str">
        <f>IFERROR(VLOOKUP(TableHandbook[[#This Row],[UDC]],TableMCNETSCM[],7,FALSE),"")</f>
        <v>Option</v>
      </c>
      <c r="AF112" s="118" t="str">
        <f>IFERROR(VLOOKUP(TableHandbook[[#This Row],[UDC]],TableGDNETSCM[],7,FALSE),"")</f>
        <v>Option</v>
      </c>
      <c r="AG112" s="184" t="str">
        <f>IFERROR(VLOOKUP(TableHandbook[[#This Row],[UDC]],TableGCNETSCM[],7,FALSE),"")</f>
        <v>Option</v>
      </c>
      <c r="AH112" s="183" t="str">
        <f>IFERROR(VLOOKUP(TableHandbook[[#This Row],[UDC]],TableMCINTRNS[],7,FALSE),"")</f>
        <v/>
      </c>
      <c r="AI112" s="118" t="str">
        <f>IFERROR(VLOOKUP(TableHandbook[[#This Row],[UDC]],TableGDINTRNS[],7,FALSE),"")</f>
        <v/>
      </c>
      <c r="AJ112" s="184" t="str">
        <f>IFERROR(VLOOKUP(TableHandbook[[#This Row],[UDC]],TableGCINTRNS[],7,FALSE),"")</f>
        <v/>
      </c>
    </row>
    <row r="113" spans="1:36" x14ac:dyDescent="0.25">
      <c r="A113" s="6" t="s">
        <v>295</v>
      </c>
      <c r="B113" s="7">
        <v>3</v>
      </c>
      <c r="C113" s="6"/>
      <c r="D113" s="6" t="s">
        <v>490</v>
      </c>
      <c r="E113" s="7">
        <v>25</v>
      </c>
      <c r="F113" s="186" t="s">
        <v>368</v>
      </c>
      <c r="G113" s="75" t="str">
        <f>IFERROR(IF(VLOOKUP(TableHandbook[[#This Row],[UDC]],TableAvailabilities[],2,FALSE)&gt;0,"Y",""),"")</f>
        <v/>
      </c>
      <c r="H113" s="116" t="str">
        <f>IFERROR(IF(VLOOKUP(TableHandbook[[#This Row],[UDC]],TableAvailabilities[],3,FALSE)&gt;0,"Y",""),"")</f>
        <v/>
      </c>
      <c r="I113" s="117" t="str">
        <f>IFERROR(IF(VLOOKUP(TableHandbook[[#This Row],[UDC]],TableAvailabilities[],4,FALSE)&gt;0,"Y",""),"")</f>
        <v/>
      </c>
      <c r="J113" s="76" t="str">
        <f>IFERROR(IF(VLOOKUP(TableHandbook[[#This Row],[UDC]],TableAvailabilities[],5,FALSE)&gt;0,"Y",""),"")</f>
        <v>Y</v>
      </c>
      <c r="K113" s="289"/>
      <c r="L113" s="183" t="str">
        <f>IFERROR(VLOOKUP(TableHandbook[[#This Row],[UDC]],TableMCARTS[],7,FALSE),"")</f>
        <v/>
      </c>
      <c r="M113" s="118" t="str">
        <f>IFERROR(VLOOKUP(TableHandbook[[#This Row],[UDC]],TableMJRPCWRIT[],7,FALSE),"")</f>
        <v/>
      </c>
      <c r="N113" s="118" t="str">
        <f>IFERROR(VLOOKUP(TableHandbook[[#This Row],[UDC]],TableMJRPFINAR[],7,FALSE),"")</f>
        <v/>
      </c>
      <c r="O113" s="118" t="str">
        <f>IFERROR(VLOOKUP(TableHandbook[[#This Row],[UDC]],TableMJRPPWRIT[],7,FALSE),"")</f>
        <v/>
      </c>
      <c r="P113" s="184" t="str">
        <f>IFERROR(VLOOKUP(TableHandbook[[#This Row],[UDC]],TableMJRPSCRAR[],7,FALSE),"")</f>
        <v/>
      </c>
      <c r="Q113" s="183" t="str">
        <f>IFERROR(VLOOKUP(TableHandbook[[#This Row],[UDC]],TableMCMMJRG[],7,FALSE),"")</f>
        <v/>
      </c>
      <c r="R113" s="118" t="str">
        <f>IFERROR(VLOOKUP(TableHandbook[[#This Row],[UDC]],TableMCMMJRN[],7,FALSE),"")</f>
        <v/>
      </c>
      <c r="S113" s="118" t="str">
        <f>IFERROR(VLOOKUP(TableHandbook[[#This Row],[UDC]],TableGDMMJRN[],7,FALSE),"")</f>
        <v/>
      </c>
      <c r="T113" s="184" t="str">
        <f>IFERROR(VLOOKUP(TableHandbook[[#This Row],[UDC]],TableGCMMJRN[],7,FALSE),"")</f>
        <v/>
      </c>
      <c r="U113" s="183" t="str">
        <f>IFERROR(VLOOKUP(TableHandbook[[#This Row],[UDC]],TableMCHRIGLO[],7,FALSE),"")</f>
        <v/>
      </c>
      <c r="V113" s="118" t="str">
        <f>IFERROR(VLOOKUP(TableHandbook[[#This Row],[UDC]],TableMCHRIGHT[],7,FALSE),"")</f>
        <v/>
      </c>
      <c r="W113" s="118" t="str">
        <f>IFERROR(VLOOKUP(TableHandbook[[#This Row],[UDC]],TableGDHRIGHT[],7,FALSE),"")</f>
        <v/>
      </c>
      <c r="X113" s="184" t="str">
        <f>IFERROR(VLOOKUP(TableHandbook[[#This Row],[UDC]],TableGCHRIGHT[],7,FALSE),"")</f>
        <v/>
      </c>
      <c r="Y113" s="183" t="str">
        <f>IFERROR(VLOOKUP(TableHandbook[[#This Row],[UDC]],TableMCGLOBL2[],7,FALSE),"")</f>
        <v/>
      </c>
      <c r="Z113" s="118" t="str">
        <f>IFERROR(VLOOKUP(TableHandbook[[#This Row],[UDC]],TableMCGLOBL[],7,FALSE),"")</f>
        <v/>
      </c>
      <c r="AA113" s="297" t="str">
        <f>IFERROR(VLOOKUP(TableHandbook[[#This Row],[UDC]],TableSTRPGLOBL[],7,FALSE),"")</f>
        <v/>
      </c>
      <c r="AB113" s="297" t="str">
        <f>IFERROR(VLOOKUP(TableHandbook[[#This Row],[UDC]],TableSTRPHRIGT[],7,FALSE),"")</f>
        <v/>
      </c>
      <c r="AC113" s="297" t="str">
        <f>IFERROR(VLOOKUP(TableHandbook[[#This Row],[UDC]],TableSTRPINTRN[],7,FALSE),"")</f>
        <v/>
      </c>
      <c r="AD113" s="184" t="str">
        <f>IFERROR(VLOOKUP(TableHandbook[[#This Row],[UDC]],TableGCGLOBL[],7,FALSE),"")</f>
        <v/>
      </c>
      <c r="AE113" s="183" t="str">
        <f>IFERROR(VLOOKUP(TableHandbook[[#This Row],[UDC]],TableMCNETSCM[],7,FALSE),"")</f>
        <v>Option</v>
      </c>
      <c r="AF113" s="118" t="str">
        <f>IFERROR(VLOOKUP(TableHandbook[[#This Row],[UDC]],TableGDNETSCM[],7,FALSE),"")</f>
        <v>Option</v>
      </c>
      <c r="AG113" s="184" t="str">
        <f>IFERROR(VLOOKUP(TableHandbook[[#This Row],[UDC]],TableGCNETSCM[],7,FALSE),"")</f>
        <v>Option</v>
      </c>
      <c r="AH113" s="183" t="str">
        <f>IFERROR(VLOOKUP(TableHandbook[[#This Row],[UDC]],TableMCINTRNS[],7,FALSE),"")</f>
        <v/>
      </c>
      <c r="AI113" s="118" t="str">
        <f>IFERROR(VLOOKUP(TableHandbook[[#This Row],[UDC]],TableGDINTRNS[],7,FALSE),"")</f>
        <v/>
      </c>
      <c r="AJ113" s="184" t="str">
        <f>IFERROR(VLOOKUP(TableHandbook[[#This Row],[UDC]],TableGCINTRNS[],7,FALSE),"")</f>
        <v/>
      </c>
    </row>
    <row r="114" spans="1:36" x14ac:dyDescent="0.25">
      <c r="A114" s="6" t="s">
        <v>146</v>
      </c>
      <c r="B114" s="7">
        <v>1</v>
      </c>
      <c r="C114" s="6"/>
      <c r="D114" s="6" t="s">
        <v>491</v>
      </c>
      <c r="E114" s="7">
        <v>25</v>
      </c>
      <c r="F114" s="186" t="s">
        <v>368</v>
      </c>
      <c r="G114" s="75" t="str">
        <f>IFERROR(IF(VLOOKUP(TableHandbook[[#This Row],[UDC]],TableAvailabilities[],2,FALSE)&gt;0,"Y",""),"")</f>
        <v>Y</v>
      </c>
      <c r="H114" s="116" t="str">
        <f>IFERROR(IF(VLOOKUP(TableHandbook[[#This Row],[UDC]],TableAvailabilities[],3,FALSE)&gt;0,"Y",""),"")</f>
        <v>Y</v>
      </c>
      <c r="I114" s="117" t="str">
        <f>IFERROR(IF(VLOOKUP(TableHandbook[[#This Row],[UDC]],TableAvailabilities[],4,FALSE)&gt;0,"Y",""),"")</f>
        <v/>
      </c>
      <c r="J114" s="76" t="str">
        <f>IFERROR(IF(VLOOKUP(TableHandbook[[#This Row],[UDC]],TableAvailabilities[],5,FALSE)&gt;0,"Y",""),"")</f>
        <v/>
      </c>
      <c r="K114" s="289"/>
      <c r="L114" s="183" t="str">
        <f>IFERROR(VLOOKUP(TableHandbook[[#This Row],[UDC]],TableMCARTS[],7,FALSE),"")</f>
        <v/>
      </c>
      <c r="M114" s="118" t="str">
        <f>IFERROR(VLOOKUP(TableHandbook[[#This Row],[UDC]],TableMJRPCWRIT[],7,FALSE),"")</f>
        <v/>
      </c>
      <c r="N114" s="118" t="str">
        <f>IFERROR(VLOOKUP(TableHandbook[[#This Row],[UDC]],TableMJRPFINAR[],7,FALSE),"")</f>
        <v/>
      </c>
      <c r="O114" s="118" t="str">
        <f>IFERROR(VLOOKUP(TableHandbook[[#This Row],[UDC]],TableMJRPPWRIT[],7,FALSE),"")</f>
        <v/>
      </c>
      <c r="P114" s="184" t="str">
        <f>IFERROR(VLOOKUP(TableHandbook[[#This Row],[UDC]],TableMJRPSCRAR[],7,FALSE),"")</f>
        <v>AltCore</v>
      </c>
      <c r="Q114" s="183" t="str">
        <f>IFERROR(VLOOKUP(TableHandbook[[#This Row],[UDC]],TableMCMMJRG[],7,FALSE),"")</f>
        <v/>
      </c>
      <c r="R114" s="118" t="str">
        <f>IFERROR(VLOOKUP(TableHandbook[[#This Row],[UDC]],TableMCMMJRN[],7,FALSE),"")</f>
        <v/>
      </c>
      <c r="S114" s="118" t="str">
        <f>IFERROR(VLOOKUP(TableHandbook[[#This Row],[UDC]],TableGDMMJRN[],7,FALSE),"")</f>
        <v/>
      </c>
      <c r="T114" s="184" t="str">
        <f>IFERROR(VLOOKUP(TableHandbook[[#This Row],[UDC]],TableGCMMJRN[],7,FALSE),"")</f>
        <v/>
      </c>
      <c r="U114" s="183" t="str">
        <f>IFERROR(VLOOKUP(TableHandbook[[#This Row],[UDC]],TableMCHRIGLO[],7,FALSE),"")</f>
        <v/>
      </c>
      <c r="V114" s="118" t="str">
        <f>IFERROR(VLOOKUP(TableHandbook[[#This Row],[UDC]],TableMCHRIGHT[],7,FALSE),"")</f>
        <v/>
      </c>
      <c r="W114" s="118" t="str">
        <f>IFERROR(VLOOKUP(TableHandbook[[#This Row],[UDC]],TableGDHRIGHT[],7,FALSE),"")</f>
        <v/>
      </c>
      <c r="X114" s="184" t="str">
        <f>IFERROR(VLOOKUP(TableHandbook[[#This Row],[UDC]],TableGCHRIGHT[],7,FALSE),"")</f>
        <v/>
      </c>
      <c r="Y114" s="183" t="str">
        <f>IFERROR(VLOOKUP(TableHandbook[[#This Row],[UDC]],TableMCGLOBL2[],7,FALSE),"")</f>
        <v/>
      </c>
      <c r="Z114" s="118" t="str">
        <f>IFERROR(VLOOKUP(TableHandbook[[#This Row],[UDC]],TableMCGLOBL[],7,FALSE),"")</f>
        <v/>
      </c>
      <c r="AA114" s="297" t="str">
        <f>IFERROR(VLOOKUP(TableHandbook[[#This Row],[UDC]],TableSTRPGLOBL[],7,FALSE),"")</f>
        <v/>
      </c>
      <c r="AB114" s="297" t="str">
        <f>IFERROR(VLOOKUP(TableHandbook[[#This Row],[UDC]],TableSTRPHRIGT[],7,FALSE),"")</f>
        <v/>
      </c>
      <c r="AC114" s="297" t="str">
        <f>IFERROR(VLOOKUP(TableHandbook[[#This Row],[UDC]],TableSTRPINTRN[],7,FALSE),"")</f>
        <v/>
      </c>
      <c r="AD114" s="184" t="str">
        <f>IFERROR(VLOOKUP(TableHandbook[[#This Row],[UDC]],TableGCGLOBL[],7,FALSE),"")</f>
        <v/>
      </c>
      <c r="AE114" s="183" t="str">
        <f>IFERROR(VLOOKUP(TableHandbook[[#This Row],[UDC]],TableMCNETSCM[],7,FALSE),"")</f>
        <v>Option</v>
      </c>
      <c r="AF114" s="118" t="str">
        <f>IFERROR(VLOOKUP(TableHandbook[[#This Row],[UDC]],TableGDNETSCM[],7,FALSE),"")</f>
        <v>Option</v>
      </c>
      <c r="AG114" s="184" t="str">
        <f>IFERROR(VLOOKUP(TableHandbook[[#This Row],[UDC]],TableGCNETSCM[],7,FALSE),"")</f>
        <v>Option</v>
      </c>
      <c r="AH114" s="183" t="str">
        <f>IFERROR(VLOOKUP(TableHandbook[[#This Row],[UDC]],TableMCINTRNS[],7,FALSE),"")</f>
        <v/>
      </c>
      <c r="AI114" s="118" t="str">
        <f>IFERROR(VLOOKUP(TableHandbook[[#This Row],[UDC]],TableGDINTRNS[],7,FALSE),"")</f>
        <v/>
      </c>
      <c r="AJ114" s="184" t="str">
        <f>IFERROR(VLOOKUP(TableHandbook[[#This Row],[UDC]],TableGCINTRNS[],7,FALSE),"")</f>
        <v/>
      </c>
    </row>
    <row r="115" spans="1:36" x14ac:dyDescent="0.25">
      <c r="A115" s="6" t="s">
        <v>296</v>
      </c>
      <c r="B115" s="7">
        <v>3</v>
      </c>
      <c r="C115" s="6"/>
      <c r="D115" s="6" t="s">
        <v>492</v>
      </c>
      <c r="E115" s="7">
        <v>25</v>
      </c>
      <c r="F115" s="186" t="s">
        <v>368</v>
      </c>
      <c r="G115" s="75" t="str">
        <f>IFERROR(IF(VLOOKUP(TableHandbook[[#This Row],[UDC]],TableAvailabilities[],2,FALSE)&gt;0,"Y",""),"")</f>
        <v>Y</v>
      </c>
      <c r="H115" s="116" t="str">
        <f>IFERROR(IF(VLOOKUP(TableHandbook[[#This Row],[UDC]],TableAvailabilities[],3,FALSE)&gt;0,"Y",""),"")</f>
        <v>Y</v>
      </c>
      <c r="I115" s="117" t="str">
        <f>IFERROR(IF(VLOOKUP(TableHandbook[[#This Row],[UDC]],TableAvailabilities[],4,FALSE)&gt;0,"Y",""),"")</f>
        <v/>
      </c>
      <c r="J115" s="76" t="str">
        <f>IFERROR(IF(VLOOKUP(TableHandbook[[#This Row],[UDC]],TableAvailabilities[],5,FALSE)&gt;0,"Y",""),"")</f>
        <v/>
      </c>
      <c r="K115" s="289" t="s">
        <v>371</v>
      </c>
      <c r="L115" s="183" t="str">
        <f>IFERROR(VLOOKUP(TableHandbook[[#This Row],[UDC]],TableMCARTS[],7,FALSE),"")</f>
        <v/>
      </c>
      <c r="M115" s="118" t="str">
        <f>IFERROR(VLOOKUP(TableHandbook[[#This Row],[UDC]],TableMJRPCWRIT[],7,FALSE),"")</f>
        <v/>
      </c>
      <c r="N115" s="118" t="str">
        <f>IFERROR(VLOOKUP(TableHandbook[[#This Row],[UDC]],TableMJRPFINAR[],7,FALSE),"")</f>
        <v/>
      </c>
      <c r="O115" s="118" t="str">
        <f>IFERROR(VLOOKUP(TableHandbook[[#This Row],[UDC]],TableMJRPPWRIT[],7,FALSE),"")</f>
        <v/>
      </c>
      <c r="P115" s="184" t="str">
        <f>IFERROR(VLOOKUP(TableHandbook[[#This Row],[UDC]],TableMJRPSCRAR[],7,FALSE),"")</f>
        <v/>
      </c>
      <c r="Q115" s="183" t="str">
        <f>IFERROR(VLOOKUP(TableHandbook[[#This Row],[UDC]],TableMCMMJRG[],7,FALSE),"")</f>
        <v/>
      </c>
      <c r="R115" s="118" t="str">
        <f>IFERROR(VLOOKUP(TableHandbook[[#This Row],[UDC]],TableMCMMJRN[],7,FALSE),"")</f>
        <v/>
      </c>
      <c r="S115" s="118" t="str">
        <f>IFERROR(VLOOKUP(TableHandbook[[#This Row],[UDC]],TableGDMMJRN[],7,FALSE),"")</f>
        <v/>
      </c>
      <c r="T115" s="184" t="str">
        <f>IFERROR(VLOOKUP(TableHandbook[[#This Row],[UDC]],TableGCMMJRN[],7,FALSE),"")</f>
        <v/>
      </c>
      <c r="U115" s="183" t="str">
        <f>IFERROR(VLOOKUP(TableHandbook[[#This Row],[UDC]],TableMCHRIGLO[],7,FALSE),"")</f>
        <v/>
      </c>
      <c r="V115" s="118" t="str">
        <f>IFERROR(VLOOKUP(TableHandbook[[#This Row],[UDC]],TableMCHRIGHT[],7,FALSE),"")</f>
        <v/>
      </c>
      <c r="W115" s="118" t="str">
        <f>IFERROR(VLOOKUP(TableHandbook[[#This Row],[UDC]],TableGDHRIGHT[],7,FALSE),"")</f>
        <v/>
      </c>
      <c r="X115" s="184" t="str">
        <f>IFERROR(VLOOKUP(TableHandbook[[#This Row],[UDC]],TableGCHRIGHT[],7,FALSE),"")</f>
        <v/>
      </c>
      <c r="Y115" s="183" t="str">
        <f>IFERROR(VLOOKUP(TableHandbook[[#This Row],[UDC]],TableMCGLOBL2[],7,FALSE),"")</f>
        <v/>
      </c>
      <c r="Z115" s="118" t="str">
        <f>IFERROR(VLOOKUP(TableHandbook[[#This Row],[UDC]],TableMCGLOBL[],7,FALSE),"")</f>
        <v/>
      </c>
      <c r="AA115" s="297" t="str">
        <f>IFERROR(VLOOKUP(TableHandbook[[#This Row],[UDC]],TableSTRPGLOBL[],7,FALSE),"")</f>
        <v/>
      </c>
      <c r="AB115" s="297" t="str">
        <f>IFERROR(VLOOKUP(TableHandbook[[#This Row],[UDC]],TableSTRPHRIGT[],7,FALSE),"")</f>
        <v/>
      </c>
      <c r="AC115" s="297" t="str">
        <f>IFERROR(VLOOKUP(TableHandbook[[#This Row],[UDC]],TableSTRPINTRN[],7,FALSE),"")</f>
        <v/>
      </c>
      <c r="AD115" s="184" t="str">
        <f>IFERROR(VLOOKUP(TableHandbook[[#This Row],[UDC]],TableGCGLOBL[],7,FALSE),"")</f>
        <v/>
      </c>
      <c r="AE115" s="183" t="str">
        <f>IFERROR(VLOOKUP(TableHandbook[[#This Row],[UDC]],TableMCNETSCM[],7,FALSE),"")</f>
        <v>Option</v>
      </c>
      <c r="AF115" s="118" t="str">
        <f>IFERROR(VLOOKUP(TableHandbook[[#This Row],[UDC]],TableGDNETSCM[],7,FALSE),"")</f>
        <v>Option</v>
      </c>
      <c r="AG115" s="184" t="str">
        <f>IFERROR(VLOOKUP(TableHandbook[[#This Row],[UDC]],TableGCNETSCM[],7,FALSE),"")</f>
        <v>Option</v>
      </c>
      <c r="AH115" s="183" t="str">
        <f>IFERROR(VLOOKUP(TableHandbook[[#This Row],[UDC]],TableMCINTRNS[],7,FALSE),"")</f>
        <v/>
      </c>
      <c r="AI115" s="118" t="str">
        <f>IFERROR(VLOOKUP(TableHandbook[[#This Row],[UDC]],TableGDINTRNS[],7,FALSE),"")</f>
        <v/>
      </c>
      <c r="AJ115" s="184" t="str">
        <f>IFERROR(VLOOKUP(TableHandbook[[#This Row],[UDC]],TableGCINTRNS[],7,FALSE),"")</f>
        <v/>
      </c>
    </row>
    <row r="116" spans="1:36" x14ac:dyDescent="0.25">
      <c r="A116" s="6" t="s">
        <v>493</v>
      </c>
      <c r="B116" s="7">
        <v>2</v>
      </c>
      <c r="C116" s="6"/>
      <c r="D116" s="6" t="s">
        <v>494</v>
      </c>
      <c r="E116" s="7">
        <v>25</v>
      </c>
      <c r="F116" s="186" t="s">
        <v>368</v>
      </c>
      <c r="G116" s="75" t="str">
        <f>IFERROR(IF(VLOOKUP(TableHandbook[[#This Row],[UDC]],TableAvailabilities[],2,FALSE)&gt;0,"Y",""),"")</f>
        <v/>
      </c>
      <c r="H116" s="116" t="str">
        <f>IFERROR(IF(VLOOKUP(TableHandbook[[#This Row],[UDC]],TableAvailabilities[],3,FALSE)&gt;0,"Y",""),"")</f>
        <v/>
      </c>
      <c r="I116" s="117" t="str">
        <f>IFERROR(IF(VLOOKUP(TableHandbook[[#This Row],[UDC]],TableAvailabilities[],4,FALSE)&gt;0,"Y",""),"")</f>
        <v/>
      </c>
      <c r="J116" s="76" t="str">
        <f>IFERROR(IF(VLOOKUP(TableHandbook[[#This Row],[UDC]],TableAvailabilities[],5,FALSE)&gt;0,"Y",""),"")</f>
        <v/>
      </c>
      <c r="K116" s="289" t="s">
        <v>375</v>
      </c>
      <c r="L116" s="183" t="str">
        <f>IFERROR(VLOOKUP(TableHandbook[[#This Row],[UDC]],TableMCARTS[],7,FALSE),"")</f>
        <v/>
      </c>
      <c r="M116" s="118" t="str">
        <f>IFERROR(VLOOKUP(TableHandbook[[#This Row],[UDC]],TableMJRPCWRIT[],7,FALSE),"")</f>
        <v/>
      </c>
      <c r="N116" s="118" t="str">
        <f>IFERROR(VLOOKUP(TableHandbook[[#This Row],[UDC]],TableMJRPFINAR[],7,FALSE),"")</f>
        <v/>
      </c>
      <c r="O116" s="118" t="str">
        <f>IFERROR(VLOOKUP(TableHandbook[[#This Row],[UDC]],TableMJRPPWRIT[],7,FALSE),"")</f>
        <v/>
      </c>
      <c r="P116" s="184" t="str">
        <f>IFERROR(VLOOKUP(TableHandbook[[#This Row],[UDC]],TableMJRPSCRAR[],7,FALSE),"")</f>
        <v/>
      </c>
      <c r="Q116" s="183" t="str">
        <f>IFERROR(VLOOKUP(TableHandbook[[#This Row],[UDC]],TableMCMMJRG[],7,FALSE),"")</f>
        <v/>
      </c>
      <c r="R116" s="118" t="str">
        <f>IFERROR(VLOOKUP(TableHandbook[[#This Row],[UDC]],TableMCMMJRN[],7,FALSE),"")</f>
        <v/>
      </c>
      <c r="S116" s="118" t="str">
        <f>IFERROR(VLOOKUP(TableHandbook[[#This Row],[UDC]],TableGDMMJRN[],7,FALSE),"")</f>
        <v/>
      </c>
      <c r="T116" s="184" t="str">
        <f>IFERROR(VLOOKUP(TableHandbook[[#This Row],[UDC]],TableGCMMJRN[],7,FALSE),"")</f>
        <v/>
      </c>
      <c r="U116" s="183" t="str">
        <f>IFERROR(VLOOKUP(TableHandbook[[#This Row],[UDC]],TableMCHRIGLO[],7,FALSE),"")</f>
        <v/>
      </c>
      <c r="V116" s="118" t="str">
        <f>IFERROR(VLOOKUP(TableHandbook[[#This Row],[UDC]],TableMCHRIGHT[],7,FALSE),"")</f>
        <v/>
      </c>
      <c r="W116" s="118" t="str">
        <f>IFERROR(VLOOKUP(TableHandbook[[#This Row],[UDC]],TableGDHRIGHT[],7,FALSE),"")</f>
        <v/>
      </c>
      <c r="X116" s="184" t="str">
        <f>IFERROR(VLOOKUP(TableHandbook[[#This Row],[UDC]],TableGCHRIGHT[],7,FALSE),"")</f>
        <v/>
      </c>
      <c r="Y116" s="183" t="str">
        <f>IFERROR(VLOOKUP(TableHandbook[[#This Row],[UDC]],TableMCGLOBL2[],7,FALSE),"")</f>
        <v/>
      </c>
      <c r="Z116" s="118" t="str">
        <f>IFERROR(VLOOKUP(TableHandbook[[#This Row],[UDC]],TableMCGLOBL[],7,FALSE),"")</f>
        <v/>
      </c>
      <c r="AA116" s="297" t="str">
        <f>IFERROR(VLOOKUP(TableHandbook[[#This Row],[UDC]],TableSTRPGLOBL[],7,FALSE),"")</f>
        <v/>
      </c>
      <c r="AB116" s="297" t="str">
        <f>IFERROR(VLOOKUP(TableHandbook[[#This Row],[UDC]],TableSTRPHRIGT[],7,FALSE),"")</f>
        <v/>
      </c>
      <c r="AC116" s="297" t="str">
        <f>IFERROR(VLOOKUP(TableHandbook[[#This Row],[UDC]],TableSTRPINTRN[],7,FALSE),"")</f>
        <v/>
      </c>
      <c r="AD116" s="184" t="str">
        <f>IFERROR(VLOOKUP(TableHandbook[[#This Row],[UDC]],TableGCGLOBL[],7,FALSE),"")</f>
        <v/>
      </c>
      <c r="AE116" s="183" t="str">
        <f>IFERROR(VLOOKUP(TableHandbook[[#This Row],[UDC]],TableMCNETSCM[],7,FALSE),"")</f>
        <v/>
      </c>
      <c r="AF116" s="118" t="str">
        <f>IFERROR(VLOOKUP(TableHandbook[[#This Row],[UDC]],TableGDNETSCM[],7,FALSE),"")</f>
        <v/>
      </c>
      <c r="AG116" s="184" t="str">
        <f>IFERROR(VLOOKUP(TableHandbook[[#This Row],[UDC]],TableGCNETSCM[],7,FALSE),"")</f>
        <v/>
      </c>
      <c r="AH116" s="183" t="str">
        <f>IFERROR(VLOOKUP(TableHandbook[[#This Row],[UDC]],TableMCINTRNS[],7,FALSE),"")</f>
        <v/>
      </c>
      <c r="AI116" s="118" t="str">
        <f>IFERROR(VLOOKUP(TableHandbook[[#This Row],[UDC]],TableGDINTRNS[],7,FALSE),"")</f>
        <v/>
      </c>
      <c r="AJ116" s="184" t="str">
        <f>IFERROR(VLOOKUP(TableHandbook[[#This Row],[UDC]],TableGCINTRNS[],7,FALSE),"")</f>
        <v/>
      </c>
    </row>
    <row r="117" spans="1:36" x14ac:dyDescent="0.25">
      <c r="A117" s="6" t="s">
        <v>59</v>
      </c>
      <c r="B117" s="7"/>
      <c r="C117" s="6"/>
      <c r="D117" s="6" t="s">
        <v>495</v>
      </c>
      <c r="E117" s="7">
        <v>25</v>
      </c>
      <c r="F117" s="186" t="s">
        <v>354</v>
      </c>
      <c r="G117" s="75" t="str">
        <f>IFERROR(IF(VLOOKUP(TableHandbook[[#This Row],[UDC]],TableAvailabilities[],2,FALSE)&gt;0,"Y",""),"")</f>
        <v/>
      </c>
      <c r="H117" s="116" t="str">
        <f>IFERROR(IF(VLOOKUP(TableHandbook[[#This Row],[UDC]],TableAvailabilities[],3,FALSE)&gt;0,"Y",""),"")</f>
        <v/>
      </c>
      <c r="I117" s="117" t="str">
        <f>IFERROR(IF(VLOOKUP(TableHandbook[[#This Row],[UDC]],TableAvailabilities[],4,FALSE)&gt;0,"Y",""),"")</f>
        <v/>
      </c>
      <c r="J117" s="76" t="str">
        <f>IFERROR(IF(VLOOKUP(TableHandbook[[#This Row],[UDC]],TableAvailabilities[],5,FALSE)&gt;0,"Y",""),"")</f>
        <v/>
      </c>
      <c r="K117" s="289"/>
      <c r="L117" s="183" t="str">
        <f>IFERROR(VLOOKUP(TableHandbook[[#This Row],[UDC]],TableMCARTS[],7,FALSE),"")</f>
        <v/>
      </c>
      <c r="M117" s="118" t="str">
        <f>IFERROR(VLOOKUP(TableHandbook[[#This Row],[UDC]],TableMJRPCWRIT[],7,FALSE),"")</f>
        <v>Option</v>
      </c>
      <c r="N117" s="118" t="str">
        <f>IFERROR(VLOOKUP(TableHandbook[[#This Row],[UDC]],TableMJRPFINAR[],7,FALSE),"")</f>
        <v/>
      </c>
      <c r="O117" s="118" t="str">
        <f>IFERROR(VLOOKUP(TableHandbook[[#This Row],[UDC]],TableMJRPPWRIT[],7,FALSE),"")</f>
        <v/>
      </c>
      <c r="P117" s="184" t="str">
        <f>IFERROR(VLOOKUP(TableHandbook[[#This Row],[UDC]],TableMJRPSCRAR[],7,FALSE),"")</f>
        <v/>
      </c>
      <c r="Q117" s="183" t="str">
        <f>IFERROR(VLOOKUP(TableHandbook[[#This Row],[UDC]],TableMCMMJRG[],7,FALSE),"")</f>
        <v/>
      </c>
      <c r="R117" s="118" t="str">
        <f>IFERROR(VLOOKUP(TableHandbook[[#This Row],[UDC]],TableMCMMJRN[],7,FALSE),"")</f>
        <v/>
      </c>
      <c r="S117" s="118" t="str">
        <f>IFERROR(VLOOKUP(TableHandbook[[#This Row],[UDC]],TableGDMMJRN[],7,FALSE),"")</f>
        <v/>
      </c>
      <c r="T117" s="184" t="str">
        <f>IFERROR(VLOOKUP(TableHandbook[[#This Row],[UDC]],TableGCMMJRN[],7,FALSE),"")</f>
        <v/>
      </c>
      <c r="U117" s="183" t="str">
        <f>IFERROR(VLOOKUP(TableHandbook[[#This Row],[UDC]],TableMCHRIGLO[],7,FALSE),"")</f>
        <v/>
      </c>
      <c r="V117" s="118" t="str">
        <f>IFERROR(VLOOKUP(TableHandbook[[#This Row],[UDC]],TableMCHRIGHT[],7,FALSE),"")</f>
        <v/>
      </c>
      <c r="W117" s="118" t="str">
        <f>IFERROR(VLOOKUP(TableHandbook[[#This Row],[UDC]],TableGDHRIGHT[],7,FALSE),"")</f>
        <v/>
      </c>
      <c r="X117" s="184" t="str">
        <f>IFERROR(VLOOKUP(TableHandbook[[#This Row],[UDC]],TableGCHRIGHT[],7,FALSE),"")</f>
        <v/>
      </c>
      <c r="Y117" s="183" t="str">
        <f>IFERROR(VLOOKUP(TableHandbook[[#This Row],[UDC]],TableMCGLOBL2[],7,FALSE),"")</f>
        <v/>
      </c>
      <c r="Z117" s="118" t="str">
        <f>IFERROR(VLOOKUP(TableHandbook[[#This Row],[UDC]],TableMCGLOBL[],7,FALSE),"")</f>
        <v/>
      </c>
      <c r="AA117" s="297" t="str">
        <f>IFERROR(VLOOKUP(TableHandbook[[#This Row],[UDC]],TableSTRPGLOBL[],7,FALSE),"")</f>
        <v/>
      </c>
      <c r="AB117" s="297" t="str">
        <f>IFERROR(VLOOKUP(TableHandbook[[#This Row],[UDC]],TableSTRPHRIGT[],7,FALSE),"")</f>
        <v/>
      </c>
      <c r="AC117" s="297" t="str">
        <f>IFERROR(VLOOKUP(TableHandbook[[#This Row],[UDC]],TableSTRPINTRN[],7,FALSE),"")</f>
        <v/>
      </c>
      <c r="AD117" s="184" t="str">
        <f>IFERROR(VLOOKUP(TableHandbook[[#This Row],[UDC]],TableGCGLOBL[],7,FALSE),"")</f>
        <v/>
      </c>
      <c r="AE117" s="183" t="str">
        <f>IFERROR(VLOOKUP(TableHandbook[[#This Row],[UDC]],TableMCNETSCM[],7,FALSE),"")</f>
        <v/>
      </c>
      <c r="AF117" s="118" t="str">
        <f>IFERROR(VLOOKUP(TableHandbook[[#This Row],[UDC]],TableGDNETSCM[],7,FALSE),"")</f>
        <v/>
      </c>
      <c r="AG117" s="184" t="str">
        <f>IFERROR(VLOOKUP(TableHandbook[[#This Row],[UDC]],TableGCNETSCM[],7,FALSE),"")</f>
        <v/>
      </c>
      <c r="AH117" s="183" t="str">
        <f>IFERROR(VLOOKUP(TableHandbook[[#This Row],[UDC]],TableMCINTRNS[],7,FALSE),"")</f>
        <v/>
      </c>
      <c r="AI117" s="118" t="str">
        <f>IFERROR(VLOOKUP(TableHandbook[[#This Row],[UDC]],TableGDINTRNS[],7,FALSE),"")</f>
        <v/>
      </c>
      <c r="AJ117" s="184" t="str">
        <f>IFERROR(VLOOKUP(TableHandbook[[#This Row],[UDC]],TableGCINTRNS[],7,FALSE),"")</f>
        <v/>
      </c>
    </row>
    <row r="118" spans="1:36" x14ac:dyDescent="0.25">
      <c r="A118" s="6" t="s">
        <v>157</v>
      </c>
      <c r="B118" s="7"/>
      <c r="C118" s="6"/>
      <c r="D118" s="6" t="s">
        <v>496</v>
      </c>
      <c r="E118" s="7">
        <v>125</v>
      </c>
      <c r="F118" s="186"/>
      <c r="G118" s="75" t="str">
        <f>IFERROR(IF(VLOOKUP(TableHandbook[[#This Row],[UDC]],TableAvailabilities[],2,FALSE)&gt;0,"Y",""),"")</f>
        <v/>
      </c>
      <c r="H118" s="116" t="str">
        <f>IFERROR(IF(VLOOKUP(TableHandbook[[#This Row],[UDC]],TableAvailabilities[],3,FALSE)&gt;0,"Y",""),"")</f>
        <v/>
      </c>
      <c r="I118" s="117" t="str">
        <f>IFERROR(IF(VLOOKUP(TableHandbook[[#This Row],[UDC]],TableAvailabilities[],4,FALSE)&gt;0,"Y",""),"")</f>
        <v/>
      </c>
      <c r="J118" s="76" t="str">
        <f>IFERROR(IF(VLOOKUP(TableHandbook[[#This Row],[UDC]],TableAvailabilities[],5,FALSE)&gt;0,"Y",""),"")</f>
        <v/>
      </c>
      <c r="K118" s="289" t="s">
        <v>497</v>
      </c>
      <c r="L118" s="183" t="str">
        <f>IFERROR(VLOOKUP(TableHandbook[[#This Row],[UDC]],TableMCARTS[],7,FALSE),"")</f>
        <v/>
      </c>
      <c r="M118" s="118" t="str">
        <f>IFERROR(VLOOKUP(TableHandbook[[#This Row],[UDC]],TableMJRPCWRIT[],7,FALSE),"")</f>
        <v/>
      </c>
      <c r="N118" s="118" t="str">
        <f>IFERROR(VLOOKUP(TableHandbook[[#This Row],[UDC]],TableMJRPFINAR[],7,FALSE),"")</f>
        <v/>
      </c>
      <c r="O118" s="118" t="str">
        <f>IFERROR(VLOOKUP(TableHandbook[[#This Row],[UDC]],TableMJRPPWRIT[],7,FALSE),"")</f>
        <v/>
      </c>
      <c r="P118" s="184" t="str">
        <f>IFERROR(VLOOKUP(TableHandbook[[#This Row],[UDC]],TableMJRPSCRAR[],7,FALSE),"")</f>
        <v/>
      </c>
      <c r="Q118" s="183" t="str">
        <f>IFERROR(VLOOKUP(TableHandbook[[#This Row],[UDC]],TableMCMMJRG[],7,FALSE),"")</f>
        <v/>
      </c>
      <c r="R118" s="118" t="str">
        <f>IFERROR(VLOOKUP(TableHandbook[[#This Row],[UDC]],TableMCMMJRN[],7,FALSE),"")</f>
        <v/>
      </c>
      <c r="S118" s="118" t="str">
        <f>IFERROR(VLOOKUP(TableHandbook[[#This Row],[UDC]],TableGDMMJRN[],7,FALSE),"")</f>
        <v/>
      </c>
      <c r="T118" s="184" t="str">
        <f>IFERROR(VLOOKUP(TableHandbook[[#This Row],[UDC]],TableGCMMJRN[],7,FALSE),"")</f>
        <v/>
      </c>
      <c r="U118" s="183" t="str">
        <f>IFERROR(VLOOKUP(TableHandbook[[#This Row],[UDC]],TableMCHRIGLO[],7,FALSE),"")</f>
        <v/>
      </c>
      <c r="V118" s="118" t="str">
        <f>IFERROR(VLOOKUP(TableHandbook[[#This Row],[UDC]],TableMCHRIGHT[],7,FALSE),"")</f>
        <v/>
      </c>
      <c r="W118" s="118" t="str">
        <f>IFERROR(VLOOKUP(TableHandbook[[#This Row],[UDC]],TableGDHRIGHT[],7,FALSE),"")</f>
        <v/>
      </c>
      <c r="X118" s="184" t="str">
        <f>IFERROR(VLOOKUP(TableHandbook[[#This Row],[UDC]],TableGCHRIGHT[],7,FALSE),"")</f>
        <v/>
      </c>
      <c r="Y118" s="183" t="str">
        <f>IFERROR(VLOOKUP(TableHandbook[[#This Row],[UDC]],TableMCGLOBL2[],7,FALSE),"")</f>
        <v/>
      </c>
      <c r="Z118" s="118" t="str">
        <f>IFERROR(VLOOKUP(TableHandbook[[#This Row],[UDC]],TableMCGLOBL[],7,FALSE),"")</f>
        <v/>
      </c>
      <c r="AA118" s="297" t="str">
        <f>IFERROR(VLOOKUP(TableHandbook[[#This Row],[UDC]],TableSTRPGLOBL[],7,FALSE),"")</f>
        <v/>
      </c>
      <c r="AB118" s="297" t="str">
        <f>IFERROR(VLOOKUP(TableHandbook[[#This Row],[UDC]],TableSTRPHRIGT[],7,FALSE),"")</f>
        <v/>
      </c>
      <c r="AC118" s="297" t="str">
        <f>IFERROR(VLOOKUP(TableHandbook[[#This Row],[UDC]],TableSTRPINTRN[],7,FALSE),"")</f>
        <v/>
      </c>
      <c r="AD118" s="184" t="str">
        <f>IFERROR(VLOOKUP(TableHandbook[[#This Row],[UDC]],TableGCGLOBL[],7,FALSE),"")</f>
        <v/>
      </c>
      <c r="AE118" s="183" t="str">
        <f>IFERROR(VLOOKUP(TableHandbook[[#This Row],[UDC]],TableMCNETSCM[],7,FALSE),"")</f>
        <v/>
      </c>
      <c r="AF118" s="118" t="str">
        <f>IFERROR(VLOOKUP(TableHandbook[[#This Row],[UDC]],TableGDNETSCM[],7,FALSE),"")</f>
        <v/>
      </c>
      <c r="AG118" s="184" t="str">
        <f>IFERROR(VLOOKUP(TableHandbook[[#This Row],[UDC]],TableGCNETSCM[],7,FALSE),"")</f>
        <v/>
      </c>
      <c r="AH118" s="183" t="str">
        <f>IFERROR(VLOOKUP(TableHandbook[[#This Row],[UDC]],TableMCINTRNS[],7,FALSE),"")</f>
        <v/>
      </c>
      <c r="AI118" s="118" t="str">
        <f>IFERROR(VLOOKUP(TableHandbook[[#This Row],[UDC]],TableGDINTRNS[],7,FALSE),"")</f>
        <v/>
      </c>
      <c r="AJ118" s="184" t="str">
        <f>IFERROR(VLOOKUP(TableHandbook[[#This Row],[UDC]],TableGCINTRNS[],7,FALSE),"")</f>
        <v/>
      </c>
    </row>
    <row r="119" spans="1:36" x14ac:dyDescent="0.25">
      <c r="A119" s="6" t="s">
        <v>187</v>
      </c>
      <c r="B119" s="7"/>
      <c r="C119" s="6"/>
      <c r="D119" s="6" t="s">
        <v>498</v>
      </c>
      <c r="E119" s="7">
        <v>150</v>
      </c>
      <c r="F119" s="186"/>
      <c r="G119" s="75" t="str">
        <f>IFERROR(IF(VLOOKUP(TableHandbook[[#This Row],[UDC]],TableAvailabilities[],2,FALSE)&gt;0,"Y",""),"")</f>
        <v/>
      </c>
      <c r="H119" s="116" t="str">
        <f>IFERROR(IF(VLOOKUP(TableHandbook[[#This Row],[UDC]],TableAvailabilities[],3,FALSE)&gt;0,"Y",""),"")</f>
        <v/>
      </c>
      <c r="I119" s="117" t="str">
        <f>IFERROR(IF(VLOOKUP(TableHandbook[[#This Row],[UDC]],TableAvailabilities[],4,FALSE)&gt;0,"Y",""),"")</f>
        <v/>
      </c>
      <c r="J119" s="76" t="str">
        <f>IFERROR(IF(VLOOKUP(TableHandbook[[#This Row],[UDC]],TableAvailabilities[],5,FALSE)&gt;0,"Y",""),"")</f>
        <v/>
      </c>
      <c r="K119" s="289" t="s">
        <v>497</v>
      </c>
      <c r="L119" s="183" t="str">
        <f>IFERROR(VLOOKUP(TableHandbook[[#This Row],[UDC]],TableMCARTS[],7,FALSE),"")</f>
        <v/>
      </c>
      <c r="M119" s="118" t="str">
        <f>IFERROR(VLOOKUP(TableHandbook[[#This Row],[UDC]],TableMJRPCWRIT[],7,FALSE),"")</f>
        <v/>
      </c>
      <c r="N119" s="118" t="str">
        <f>IFERROR(VLOOKUP(TableHandbook[[#This Row],[UDC]],TableMJRPFINAR[],7,FALSE),"")</f>
        <v/>
      </c>
      <c r="O119" s="118" t="str">
        <f>IFERROR(VLOOKUP(TableHandbook[[#This Row],[UDC]],TableMJRPPWRIT[],7,FALSE),"")</f>
        <v/>
      </c>
      <c r="P119" s="184" t="str">
        <f>IFERROR(VLOOKUP(TableHandbook[[#This Row],[UDC]],TableMJRPSCRAR[],7,FALSE),"")</f>
        <v/>
      </c>
      <c r="Q119" s="183" t="str">
        <f>IFERROR(VLOOKUP(TableHandbook[[#This Row],[UDC]],TableMCMMJRG[],7,FALSE),"")</f>
        <v/>
      </c>
      <c r="R119" s="118" t="str">
        <f>IFERROR(VLOOKUP(TableHandbook[[#This Row],[UDC]],TableMCMMJRN[],7,FALSE),"")</f>
        <v/>
      </c>
      <c r="S119" s="118" t="str">
        <f>IFERROR(VLOOKUP(TableHandbook[[#This Row],[UDC]],TableGDMMJRN[],7,FALSE),"")</f>
        <v/>
      </c>
      <c r="T119" s="184" t="str">
        <f>IFERROR(VLOOKUP(TableHandbook[[#This Row],[UDC]],TableGCMMJRN[],7,FALSE),"")</f>
        <v/>
      </c>
      <c r="U119" s="183" t="str">
        <f>IFERROR(VLOOKUP(TableHandbook[[#This Row],[UDC]],TableMCHRIGLO[],7,FALSE),"")</f>
        <v/>
      </c>
      <c r="V119" s="118" t="str">
        <f>IFERROR(VLOOKUP(TableHandbook[[#This Row],[UDC]],TableMCHRIGHT[],7,FALSE),"")</f>
        <v/>
      </c>
      <c r="W119" s="118" t="str">
        <f>IFERROR(VLOOKUP(TableHandbook[[#This Row],[UDC]],TableGDHRIGHT[],7,FALSE),"")</f>
        <v/>
      </c>
      <c r="X119" s="184" t="str">
        <f>IFERROR(VLOOKUP(TableHandbook[[#This Row],[UDC]],TableGCHRIGHT[],7,FALSE),"")</f>
        <v/>
      </c>
      <c r="Y119" s="183" t="str">
        <f>IFERROR(VLOOKUP(TableHandbook[[#This Row],[UDC]],TableMCGLOBL2[],7,FALSE),"")</f>
        <v/>
      </c>
      <c r="Z119" s="118" t="str">
        <f>IFERROR(VLOOKUP(TableHandbook[[#This Row],[UDC]],TableMCGLOBL[],7,FALSE),"")</f>
        <v/>
      </c>
      <c r="AA119" s="297" t="str">
        <f>IFERROR(VLOOKUP(TableHandbook[[#This Row],[UDC]],TableSTRPGLOBL[],7,FALSE),"")</f>
        <v/>
      </c>
      <c r="AB119" s="297" t="str">
        <f>IFERROR(VLOOKUP(TableHandbook[[#This Row],[UDC]],TableSTRPHRIGT[],7,FALSE),"")</f>
        <v/>
      </c>
      <c r="AC119" s="297" t="str">
        <f>IFERROR(VLOOKUP(TableHandbook[[#This Row],[UDC]],TableSTRPINTRN[],7,FALSE),"")</f>
        <v/>
      </c>
      <c r="AD119" s="184" t="str">
        <f>IFERROR(VLOOKUP(TableHandbook[[#This Row],[UDC]],TableGCGLOBL[],7,FALSE),"")</f>
        <v/>
      </c>
      <c r="AE119" s="183" t="str">
        <f>IFERROR(VLOOKUP(TableHandbook[[#This Row],[UDC]],TableMCNETSCM[],7,FALSE),"")</f>
        <v/>
      </c>
      <c r="AF119" s="118" t="str">
        <f>IFERROR(VLOOKUP(TableHandbook[[#This Row],[UDC]],TableGDNETSCM[],7,FALSE),"")</f>
        <v/>
      </c>
      <c r="AG119" s="184" t="str">
        <f>IFERROR(VLOOKUP(TableHandbook[[#This Row],[UDC]],TableGCNETSCM[],7,FALSE),"")</f>
        <v/>
      </c>
      <c r="AH119" s="183" t="str">
        <f>IFERROR(VLOOKUP(TableHandbook[[#This Row],[UDC]],TableMCINTRNS[],7,FALSE),"")</f>
        <v/>
      </c>
      <c r="AI119" s="118" t="str">
        <f>IFERROR(VLOOKUP(TableHandbook[[#This Row],[UDC]],TableGDINTRNS[],7,FALSE),"")</f>
        <v/>
      </c>
      <c r="AJ119" s="184" t="str">
        <f>IFERROR(VLOOKUP(TableHandbook[[#This Row],[UDC]],TableGCINTRNS[],7,FALSE),"")</f>
        <v/>
      </c>
    </row>
    <row r="120" spans="1:36" x14ac:dyDescent="0.25">
      <c r="A120" s="6" t="s">
        <v>67</v>
      </c>
      <c r="B120" s="7"/>
      <c r="C120" s="6"/>
      <c r="D120" s="6" t="s">
        <v>499</v>
      </c>
      <c r="E120" s="7">
        <v>25</v>
      </c>
      <c r="F120" s="186" t="s">
        <v>354</v>
      </c>
      <c r="G120" s="75" t="str">
        <f>IFERROR(IF(VLOOKUP(TableHandbook[[#This Row],[UDC]],TableAvailabilities[],2,FALSE)&gt;0,"Y",""),"")</f>
        <v/>
      </c>
      <c r="H120" s="116" t="str">
        <f>IFERROR(IF(VLOOKUP(TableHandbook[[#This Row],[UDC]],TableAvailabilities[],3,FALSE)&gt;0,"Y",""),"")</f>
        <v/>
      </c>
      <c r="I120" s="117" t="str">
        <f>IFERROR(IF(VLOOKUP(TableHandbook[[#This Row],[UDC]],TableAvailabilities[],4,FALSE)&gt;0,"Y",""),"")</f>
        <v/>
      </c>
      <c r="J120" s="76" t="str">
        <f>IFERROR(IF(VLOOKUP(TableHandbook[[#This Row],[UDC]],TableAvailabilities[],5,FALSE)&gt;0,"Y",""),"")</f>
        <v/>
      </c>
      <c r="K120" s="289"/>
      <c r="L120" s="183" t="str">
        <f>IFERROR(VLOOKUP(TableHandbook[[#This Row],[UDC]],TableMCARTS[],7,FALSE),"")</f>
        <v/>
      </c>
      <c r="M120" s="118" t="str">
        <f>IFERROR(VLOOKUP(TableHandbook[[#This Row],[UDC]],TableMJRPCWRIT[],7,FALSE),"")</f>
        <v/>
      </c>
      <c r="N120" s="118" t="str">
        <f>IFERROR(VLOOKUP(TableHandbook[[#This Row],[UDC]],TableMJRPFINAR[],7,FALSE),"")</f>
        <v>Option</v>
      </c>
      <c r="O120" s="118" t="str">
        <f>IFERROR(VLOOKUP(TableHandbook[[#This Row],[UDC]],TableMJRPPWRIT[],7,FALSE),"")</f>
        <v/>
      </c>
      <c r="P120" s="184" t="str">
        <f>IFERROR(VLOOKUP(TableHandbook[[#This Row],[UDC]],TableMJRPSCRAR[],7,FALSE),"")</f>
        <v/>
      </c>
      <c r="Q120" s="183" t="str">
        <f>IFERROR(VLOOKUP(TableHandbook[[#This Row],[UDC]],TableMCMMJRG[],7,FALSE),"")</f>
        <v/>
      </c>
      <c r="R120" s="118" t="str">
        <f>IFERROR(VLOOKUP(TableHandbook[[#This Row],[UDC]],TableMCMMJRN[],7,FALSE),"")</f>
        <v/>
      </c>
      <c r="S120" s="118" t="str">
        <f>IFERROR(VLOOKUP(TableHandbook[[#This Row],[UDC]],TableGDMMJRN[],7,FALSE),"")</f>
        <v/>
      </c>
      <c r="T120" s="184" t="str">
        <f>IFERROR(VLOOKUP(TableHandbook[[#This Row],[UDC]],TableGCMMJRN[],7,FALSE),"")</f>
        <v/>
      </c>
      <c r="U120" s="183" t="str">
        <f>IFERROR(VLOOKUP(TableHandbook[[#This Row],[UDC]],TableMCHRIGLO[],7,FALSE),"")</f>
        <v/>
      </c>
      <c r="V120" s="118" t="str">
        <f>IFERROR(VLOOKUP(TableHandbook[[#This Row],[UDC]],TableMCHRIGHT[],7,FALSE),"")</f>
        <v/>
      </c>
      <c r="W120" s="118" t="str">
        <f>IFERROR(VLOOKUP(TableHandbook[[#This Row],[UDC]],TableGDHRIGHT[],7,FALSE),"")</f>
        <v/>
      </c>
      <c r="X120" s="184" t="str">
        <f>IFERROR(VLOOKUP(TableHandbook[[#This Row],[UDC]],TableGCHRIGHT[],7,FALSE),"")</f>
        <v/>
      </c>
      <c r="Y120" s="183" t="str">
        <f>IFERROR(VLOOKUP(TableHandbook[[#This Row],[UDC]],TableMCGLOBL2[],7,FALSE),"")</f>
        <v/>
      </c>
      <c r="Z120" s="118" t="str">
        <f>IFERROR(VLOOKUP(TableHandbook[[#This Row],[UDC]],TableMCGLOBL[],7,FALSE),"")</f>
        <v/>
      </c>
      <c r="AA120" s="297" t="str">
        <f>IFERROR(VLOOKUP(TableHandbook[[#This Row],[UDC]],TableSTRPGLOBL[],7,FALSE),"")</f>
        <v/>
      </c>
      <c r="AB120" s="297" t="str">
        <f>IFERROR(VLOOKUP(TableHandbook[[#This Row],[UDC]],TableSTRPHRIGT[],7,FALSE),"")</f>
        <v/>
      </c>
      <c r="AC120" s="297" t="str">
        <f>IFERROR(VLOOKUP(TableHandbook[[#This Row],[UDC]],TableSTRPINTRN[],7,FALSE),"")</f>
        <v/>
      </c>
      <c r="AD120" s="184" t="str">
        <f>IFERROR(VLOOKUP(TableHandbook[[#This Row],[UDC]],TableGCGLOBL[],7,FALSE),"")</f>
        <v/>
      </c>
      <c r="AE120" s="183" t="str">
        <f>IFERROR(VLOOKUP(TableHandbook[[#This Row],[UDC]],TableMCNETSCM[],7,FALSE),"")</f>
        <v/>
      </c>
      <c r="AF120" s="118" t="str">
        <f>IFERROR(VLOOKUP(TableHandbook[[#This Row],[UDC]],TableGDNETSCM[],7,FALSE),"")</f>
        <v/>
      </c>
      <c r="AG120" s="184" t="str">
        <f>IFERROR(VLOOKUP(TableHandbook[[#This Row],[UDC]],TableGCNETSCM[],7,FALSE),"")</f>
        <v/>
      </c>
      <c r="AH120" s="183" t="str">
        <f>IFERROR(VLOOKUP(TableHandbook[[#This Row],[UDC]],TableMCINTRNS[],7,FALSE),"")</f>
        <v/>
      </c>
      <c r="AI120" s="118" t="str">
        <f>IFERROR(VLOOKUP(TableHandbook[[#This Row],[UDC]],TableGDINTRNS[],7,FALSE),"")</f>
        <v/>
      </c>
      <c r="AJ120" s="184" t="str">
        <f>IFERROR(VLOOKUP(TableHandbook[[#This Row],[UDC]],TableGCINTRNS[],7,FALSE),"")</f>
        <v/>
      </c>
    </row>
    <row r="121" spans="1:36" x14ac:dyDescent="0.25">
      <c r="A121" s="6" t="s">
        <v>94</v>
      </c>
      <c r="B121" s="7"/>
      <c r="C121" s="6"/>
      <c r="D121" s="6" t="s">
        <v>500</v>
      </c>
      <c r="E121" s="7">
        <v>25</v>
      </c>
      <c r="F121" s="186" t="s">
        <v>354</v>
      </c>
      <c r="G121" s="75" t="str">
        <f>IFERROR(IF(VLOOKUP(TableHandbook[[#This Row],[UDC]],TableAvailabilities[],2,FALSE)&gt;0,"Y",""),"")</f>
        <v/>
      </c>
      <c r="H121" s="116" t="str">
        <f>IFERROR(IF(VLOOKUP(TableHandbook[[#This Row],[UDC]],TableAvailabilities[],3,FALSE)&gt;0,"Y",""),"")</f>
        <v/>
      </c>
      <c r="I121" s="117" t="str">
        <f>IFERROR(IF(VLOOKUP(TableHandbook[[#This Row],[UDC]],TableAvailabilities[],4,FALSE)&gt;0,"Y",""),"")</f>
        <v/>
      </c>
      <c r="J121" s="76" t="str">
        <f>IFERROR(IF(VLOOKUP(TableHandbook[[#This Row],[UDC]],TableAvailabilities[],5,FALSE)&gt;0,"Y",""),"")</f>
        <v/>
      </c>
      <c r="K121" s="289"/>
      <c r="L121" s="183" t="str">
        <f>IFERROR(VLOOKUP(TableHandbook[[#This Row],[UDC]],TableMCARTS[],7,FALSE),"")</f>
        <v/>
      </c>
      <c r="M121" s="118" t="str">
        <f>IFERROR(VLOOKUP(TableHandbook[[#This Row],[UDC]],TableMJRPCWRIT[],7,FALSE),"")</f>
        <v/>
      </c>
      <c r="N121" s="118" t="str">
        <f>IFERROR(VLOOKUP(TableHandbook[[#This Row],[UDC]],TableMJRPFINAR[],7,FALSE),"")</f>
        <v>Option</v>
      </c>
      <c r="O121" s="118" t="str">
        <f>IFERROR(VLOOKUP(TableHandbook[[#This Row],[UDC]],TableMJRPPWRIT[],7,FALSE),"")</f>
        <v/>
      </c>
      <c r="P121" s="184" t="str">
        <f>IFERROR(VLOOKUP(TableHandbook[[#This Row],[UDC]],TableMJRPSCRAR[],7,FALSE),"")</f>
        <v/>
      </c>
      <c r="Q121" s="183" t="str">
        <f>IFERROR(VLOOKUP(TableHandbook[[#This Row],[UDC]],TableMCMMJRG[],7,FALSE),"")</f>
        <v/>
      </c>
      <c r="R121" s="118" t="str">
        <f>IFERROR(VLOOKUP(TableHandbook[[#This Row],[UDC]],TableMCMMJRN[],7,FALSE),"")</f>
        <v/>
      </c>
      <c r="S121" s="118" t="str">
        <f>IFERROR(VLOOKUP(TableHandbook[[#This Row],[UDC]],TableGDMMJRN[],7,FALSE),"")</f>
        <v/>
      </c>
      <c r="T121" s="184" t="str">
        <f>IFERROR(VLOOKUP(TableHandbook[[#This Row],[UDC]],TableGCMMJRN[],7,FALSE),"")</f>
        <v/>
      </c>
      <c r="U121" s="183" t="str">
        <f>IFERROR(VLOOKUP(TableHandbook[[#This Row],[UDC]],TableMCHRIGLO[],7,FALSE),"")</f>
        <v/>
      </c>
      <c r="V121" s="118" t="str">
        <f>IFERROR(VLOOKUP(TableHandbook[[#This Row],[UDC]],TableMCHRIGHT[],7,FALSE),"")</f>
        <v/>
      </c>
      <c r="W121" s="118" t="str">
        <f>IFERROR(VLOOKUP(TableHandbook[[#This Row],[UDC]],TableGDHRIGHT[],7,FALSE),"")</f>
        <v/>
      </c>
      <c r="X121" s="184" t="str">
        <f>IFERROR(VLOOKUP(TableHandbook[[#This Row],[UDC]],TableGCHRIGHT[],7,FALSE),"")</f>
        <v/>
      </c>
      <c r="Y121" s="183" t="str">
        <f>IFERROR(VLOOKUP(TableHandbook[[#This Row],[UDC]],TableMCGLOBL2[],7,FALSE),"")</f>
        <v/>
      </c>
      <c r="Z121" s="118" t="str">
        <f>IFERROR(VLOOKUP(TableHandbook[[#This Row],[UDC]],TableMCGLOBL[],7,FALSE),"")</f>
        <v/>
      </c>
      <c r="AA121" s="297" t="str">
        <f>IFERROR(VLOOKUP(TableHandbook[[#This Row],[UDC]],TableSTRPGLOBL[],7,FALSE),"")</f>
        <v/>
      </c>
      <c r="AB121" s="297" t="str">
        <f>IFERROR(VLOOKUP(TableHandbook[[#This Row],[UDC]],TableSTRPHRIGT[],7,FALSE),"")</f>
        <v/>
      </c>
      <c r="AC121" s="297" t="str">
        <f>IFERROR(VLOOKUP(TableHandbook[[#This Row],[UDC]],TableSTRPINTRN[],7,FALSE),"")</f>
        <v/>
      </c>
      <c r="AD121" s="184" t="str">
        <f>IFERROR(VLOOKUP(TableHandbook[[#This Row],[UDC]],TableGCGLOBL[],7,FALSE),"")</f>
        <v/>
      </c>
      <c r="AE121" s="183" t="str">
        <f>IFERROR(VLOOKUP(TableHandbook[[#This Row],[UDC]],TableMCNETSCM[],7,FALSE),"")</f>
        <v/>
      </c>
      <c r="AF121" s="118" t="str">
        <f>IFERROR(VLOOKUP(TableHandbook[[#This Row],[UDC]],TableGDNETSCM[],7,FALSE),"")</f>
        <v/>
      </c>
      <c r="AG121" s="184" t="str">
        <f>IFERROR(VLOOKUP(TableHandbook[[#This Row],[UDC]],TableGCNETSCM[],7,FALSE),"")</f>
        <v/>
      </c>
      <c r="AH121" s="183" t="str">
        <f>IFERROR(VLOOKUP(TableHandbook[[#This Row],[UDC]],TableMCINTRNS[],7,FALSE),"")</f>
        <v/>
      </c>
      <c r="AI121" s="118" t="str">
        <f>IFERROR(VLOOKUP(TableHandbook[[#This Row],[UDC]],TableGDINTRNS[],7,FALSE),"")</f>
        <v/>
      </c>
      <c r="AJ121" s="184" t="str">
        <f>IFERROR(VLOOKUP(TableHandbook[[#This Row],[UDC]],TableGCINTRNS[],7,FALSE),"")</f>
        <v/>
      </c>
    </row>
    <row r="122" spans="1:36" x14ac:dyDescent="0.25">
      <c r="A122" s="200" t="s">
        <v>649</v>
      </c>
      <c r="B122" s="301"/>
      <c r="C122" s="302"/>
      <c r="D122" s="302" t="s">
        <v>648</v>
      </c>
      <c r="E122" s="301">
        <v>25</v>
      </c>
      <c r="F122" s="303" t="s">
        <v>354</v>
      </c>
      <c r="G122" s="304" t="str">
        <f>IFERROR(IF(VLOOKUP(TableHandbook[[#This Row],[UDC]],TableAvailabilities[],2,FALSE)&gt;0,"Y",""),"")</f>
        <v/>
      </c>
      <c r="H122" s="305" t="str">
        <f>IFERROR(IF(VLOOKUP(TableHandbook[[#This Row],[UDC]],TableAvailabilities[],3,FALSE)&gt;0,"Y",""),"")</f>
        <v/>
      </c>
      <c r="I122" s="306" t="str">
        <f>IFERROR(IF(VLOOKUP(TableHandbook[[#This Row],[UDC]],TableAvailabilities[],4,FALSE)&gt;0,"Y",""),"")</f>
        <v/>
      </c>
      <c r="J122" s="307" t="str">
        <f>IFERROR(IF(VLOOKUP(TableHandbook[[#This Row],[UDC]],TableAvailabilities[],5,FALSE)&gt;0,"Y",""),"")</f>
        <v/>
      </c>
      <c r="K122" s="308"/>
      <c r="L122" s="309" t="str">
        <f>IFERROR(VLOOKUP(TableHandbook[[#This Row],[UDC]],TableMCARTS[],7,FALSE),"")</f>
        <v/>
      </c>
      <c r="M122" s="310" t="str">
        <f>IFERROR(VLOOKUP(TableHandbook[[#This Row],[UDC]],TableMJRPCWRIT[],7,FALSE),"")</f>
        <v/>
      </c>
      <c r="N122" s="310" t="str">
        <f>IFERROR(VLOOKUP(TableHandbook[[#This Row],[UDC]],TableMJRPFINAR[],7,FALSE),"")</f>
        <v/>
      </c>
      <c r="O122" s="310" t="str">
        <f>IFERROR(VLOOKUP(TableHandbook[[#This Row],[UDC]],TableMJRPPWRIT[],7,FALSE),"")</f>
        <v/>
      </c>
      <c r="P122" s="312" t="str">
        <f>IFERROR(VLOOKUP(TableHandbook[[#This Row],[UDC]],TableMJRPSCRAR[],7,FALSE),"")</f>
        <v/>
      </c>
      <c r="Q122" s="309" t="str">
        <f>IFERROR(VLOOKUP(TableHandbook[[#This Row],[UDC]],TableMCMMJRG[],7,FALSE),"")</f>
        <v/>
      </c>
      <c r="R122" s="310" t="str">
        <f>IFERROR(VLOOKUP(TableHandbook[[#This Row],[UDC]],TableMCMMJRN[],7,FALSE),"")</f>
        <v/>
      </c>
      <c r="S122" s="310" t="str">
        <f>IFERROR(VLOOKUP(TableHandbook[[#This Row],[UDC]],TableGDMMJRN[],7,FALSE),"")</f>
        <v/>
      </c>
      <c r="T122" s="312" t="str">
        <f>IFERROR(VLOOKUP(TableHandbook[[#This Row],[UDC]],TableGCMMJRN[],7,FALSE),"")</f>
        <v/>
      </c>
      <c r="U122" s="309" t="str">
        <f>IFERROR(VLOOKUP(TableHandbook[[#This Row],[UDC]],TableMCHRIGLO[],7,FALSE),"")</f>
        <v/>
      </c>
      <c r="V122" s="310" t="str">
        <f>IFERROR(VLOOKUP(TableHandbook[[#This Row],[UDC]],TableMCHRIGHT[],7,FALSE),"")</f>
        <v/>
      </c>
      <c r="W122" s="310" t="str">
        <f>IFERROR(VLOOKUP(TableHandbook[[#This Row],[UDC]],TableGDHRIGHT[],7,FALSE),"")</f>
        <v/>
      </c>
      <c r="X122" s="312" t="str">
        <f>IFERROR(VLOOKUP(TableHandbook[[#This Row],[UDC]],TableGCHRIGHT[],7,FALSE),"")</f>
        <v/>
      </c>
      <c r="Y122" s="309" t="str">
        <f>IFERROR(VLOOKUP(TableHandbook[[#This Row],[UDC]],TableMCGLOBL2[],7,FALSE),"")</f>
        <v/>
      </c>
      <c r="Z122" s="310" t="str">
        <f>IFERROR(VLOOKUP(TableHandbook[[#This Row],[UDC]],TableMCGLOBL[],7,FALSE),"")</f>
        <v/>
      </c>
      <c r="AA122" s="311" t="str">
        <f>IFERROR(VLOOKUP(TableHandbook[[#This Row],[UDC]],TableSTRPGLOBL[],7,FALSE),"")</f>
        <v/>
      </c>
      <c r="AB122" s="311" t="str">
        <f>IFERROR(VLOOKUP(TableHandbook[[#This Row],[UDC]],TableSTRPHRIGT[],7,FALSE),"")</f>
        <v/>
      </c>
      <c r="AC122" s="311" t="str">
        <f>IFERROR(VLOOKUP(TableHandbook[[#This Row],[UDC]],TableSTRPINTRN[],7,FALSE),"")</f>
        <v/>
      </c>
      <c r="AD122" s="312" t="str">
        <f>IFERROR(VLOOKUP(TableHandbook[[#This Row],[UDC]],TableGCGLOBL[],7,FALSE),"")</f>
        <v/>
      </c>
      <c r="AE122" s="309" t="str">
        <f>IFERROR(VLOOKUP(TableHandbook[[#This Row],[UDC]],TableMCNETSCM[],7,FALSE),"")</f>
        <v/>
      </c>
      <c r="AF122" s="310" t="str">
        <f>IFERROR(VLOOKUP(TableHandbook[[#This Row],[UDC]],TableGDNETSCM[],7,FALSE),"")</f>
        <v/>
      </c>
      <c r="AG122" s="312" t="str">
        <f>IFERROR(VLOOKUP(TableHandbook[[#This Row],[UDC]],TableGCNETSCM[],7,FALSE),"")</f>
        <v/>
      </c>
      <c r="AH122" s="309" t="str">
        <f>IFERROR(VLOOKUP(TableHandbook[[#This Row],[UDC]],TableMCINTRNS[],7,FALSE),"")</f>
        <v/>
      </c>
      <c r="AI122" s="310" t="str">
        <f>IFERROR(VLOOKUP(TableHandbook[[#This Row],[UDC]],TableGDINTRNS[],7,FALSE),"")</f>
        <v/>
      </c>
      <c r="AJ122" s="312" t="str">
        <f>IFERROR(VLOOKUP(TableHandbook[[#This Row],[UDC]],TableGCINTRNS[],7,FALSE),"")</f>
        <v/>
      </c>
    </row>
    <row r="123" spans="1:36" x14ac:dyDescent="0.25">
      <c r="A123" s="6" t="s">
        <v>501</v>
      </c>
      <c r="B123" s="7"/>
      <c r="C123" s="6"/>
      <c r="D123" s="6" t="s">
        <v>502</v>
      </c>
      <c r="E123" s="7">
        <v>25</v>
      </c>
      <c r="F123" s="186" t="s">
        <v>354</v>
      </c>
      <c r="G123" s="75" t="str">
        <f>IFERROR(IF(VLOOKUP(TableHandbook[[#This Row],[UDC]],TableAvailabilities[],2,FALSE)&gt;0,"Y",""),"")</f>
        <v/>
      </c>
      <c r="H123" s="116" t="str">
        <f>IFERROR(IF(VLOOKUP(TableHandbook[[#This Row],[UDC]],TableAvailabilities[],3,FALSE)&gt;0,"Y",""),"")</f>
        <v/>
      </c>
      <c r="I123" s="117" t="str">
        <f>IFERROR(IF(VLOOKUP(TableHandbook[[#This Row],[UDC]],TableAvailabilities[],4,FALSE)&gt;0,"Y",""),"")</f>
        <v/>
      </c>
      <c r="J123" s="76" t="str">
        <f>IFERROR(IF(VLOOKUP(TableHandbook[[#This Row],[UDC]],TableAvailabilities[],5,FALSE)&gt;0,"Y",""),"")</f>
        <v/>
      </c>
      <c r="K123" s="289"/>
      <c r="L123" s="183" t="str">
        <f>IFERROR(VLOOKUP(TableHandbook[[#This Row],[UDC]],TableMCARTS[],7,FALSE),"")</f>
        <v/>
      </c>
      <c r="M123" s="118" t="str">
        <f>IFERROR(VLOOKUP(TableHandbook[[#This Row],[UDC]],TableMJRPCWRIT[],7,FALSE),"")</f>
        <v/>
      </c>
      <c r="N123" s="118" t="str">
        <f>IFERROR(VLOOKUP(TableHandbook[[#This Row],[UDC]],TableMJRPFINAR[],7,FALSE),"")</f>
        <v/>
      </c>
      <c r="O123" s="118" t="str">
        <f>IFERROR(VLOOKUP(TableHandbook[[#This Row],[UDC]],TableMJRPPWRIT[],7,FALSE),"")</f>
        <v/>
      </c>
      <c r="P123" s="184" t="str">
        <f>IFERROR(VLOOKUP(TableHandbook[[#This Row],[UDC]],TableMJRPSCRAR[],7,FALSE),"")</f>
        <v/>
      </c>
      <c r="Q123" s="183" t="str">
        <f>IFERROR(VLOOKUP(TableHandbook[[#This Row],[UDC]],TableMCMMJRG[],7,FALSE),"")</f>
        <v/>
      </c>
      <c r="R123" s="118" t="str">
        <f>IFERROR(VLOOKUP(TableHandbook[[#This Row],[UDC]],TableMCMMJRN[],7,FALSE),"")</f>
        <v/>
      </c>
      <c r="S123" s="118" t="str">
        <f>IFERROR(VLOOKUP(TableHandbook[[#This Row],[UDC]],TableGDMMJRN[],7,FALSE),"")</f>
        <v/>
      </c>
      <c r="T123" s="184" t="str">
        <f>IFERROR(VLOOKUP(TableHandbook[[#This Row],[UDC]],TableGCMMJRN[],7,FALSE),"")</f>
        <v/>
      </c>
      <c r="U123" s="183" t="str">
        <f>IFERROR(VLOOKUP(TableHandbook[[#This Row],[UDC]],TableMCHRIGLO[],7,FALSE),"")</f>
        <v/>
      </c>
      <c r="V123" s="118" t="str">
        <f>IFERROR(VLOOKUP(TableHandbook[[#This Row],[UDC]],TableMCHRIGHT[],7,FALSE),"")</f>
        <v/>
      </c>
      <c r="W123" s="118" t="str">
        <f>IFERROR(VLOOKUP(TableHandbook[[#This Row],[UDC]],TableGDHRIGHT[],7,FALSE),"")</f>
        <v/>
      </c>
      <c r="X123" s="184" t="str">
        <f>IFERROR(VLOOKUP(TableHandbook[[#This Row],[UDC]],TableGCHRIGHT[],7,FALSE),"")</f>
        <v>Option</v>
      </c>
      <c r="Y123" s="183" t="str">
        <f>IFERROR(VLOOKUP(TableHandbook[[#This Row],[UDC]],TableMCGLOBL2[],7,FALSE),"")</f>
        <v/>
      </c>
      <c r="Z123" s="118" t="str">
        <f>IFERROR(VLOOKUP(TableHandbook[[#This Row],[UDC]],TableMCGLOBL[],7,FALSE),"")</f>
        <v/>
      </c>
      <c r="AA123" s="297" t="str">
        <f>IFERROR(VLOOKUP(TableHandbook[[#This Row],[UDC]],TableSTRPGLOBL[],7,FALSE),"")</f>
        <v/>
      </c>
      <c r="AB123" s="297" t="str">
        <f>IFERROR(VLOOKUP(TableHandbook[[#This Row],[UDC]],TableSTRPHRIGT[],7,FALSE),"")</f>
        <v/>
      </c>
      <c r="AC123" s="297" t="str">
        <f>IFERROR(VLOOKUP(TableHandbook[[#This Row],[UDC]],TableSTRPINTRN[],7,FALSE),"")</f>
        <v/>
      </c>
      <c r="AD123" s="184" t="str">
        <f>IFERROR(VLOOKUP(TableHandbook[[#This Row],[UDC]],TableGCGLOBL[],7,FALSE),"")</f>
        <v/>
      </c>
      <c r="AE123" s="183" t="str">
        <f>IFERROR(VLOOKUP(TableHandbook[[#This Row],[UDC]],TableMCNETSCM[],7,FALSE),"")</f>
        <v/>
      </c>
      <c r="AF123" s="118" t="str">
        <f>IFERROR(VLOOKUP(TableHandbook[[#This Row],[UDC]],TableGDNETSCM[],7,FALSE),"")</f>
        <v/>
      </c>
      <c r="AG123" s="184" t="str">
        <f>IFERROR(VLOOKUP(TableHandbook[[#This Row],[UDC]],TableGCNETSCM[],7,FALSE),"")</f>
        <v/>
      </c>
      <c r="AH123" s="183" t="str">
        <f>IFERROR(VLOOKUP(TableHandbook[[#This Row],[UDC]],TableMCINTRNS[],7,FALSE),"")</f>
        <v/>
      </c>
      <c r="AI123" s="118" t="str">
        <f>IFERROR(VLOOKUP(TableHandbook[[#This Row],[UDC]],TableGDINTRNS[],7,FALSE),"")</f>
        <v/>
      </c>
      <c r="AJ123" s="184" t="str">
        <f>IFERROR(VLOOKUP(TableHandbook[[#This Row],[UDC]],TableGCINTRNS[],7,FALSE),"")</f>
        <v/>
      </c>
    </row>
    <row r="124" spans="1:36" x14ac:dyDescent="0.25">
      <c r="A124" s="6" t="s">
        <v>336</v>
      </c>
      <c r="B124" s="7">
        <v>0</v>
      </c>
      <c r="C124" s="6"/>
      <c r="D124" s="6" t="s">
        <v>646</v>
      </c>
      <c r="E124" s="7">
        <v>100</v>
      </c>
      <c r="F124" s="186" t="s">
        <v>354</v>
      </c>
      <c r="G124" s="75" t="str">
        <f>IFERROR(IF(VLOOKUP(TableHandbook[[#This Row],[UDC]],TableAvailabilities[],2,FALSE)&gt;0,"Y",""),"")</f>
        <v/>
      </c>
      <c r="H124" s="116" t="str">
        <f>IFERROR(IF(VLOOKUP(TableHandbook[[#This Row],[UDC]],TableAvailabilities[],3,FALSE)&gt;0,"Y",""),"")</f>
        <v/>
      </c>
      <c r="I124" s="117" t="str">
        <f>IFERROR(IF(VLOOKUP(TableHandbook[[#This Row],[UDC]],TableAvailabilities[],4,FALSE)&gt;0,"Y",""),"")</f>
        <v/>
      </c>
      <c r="J124" s="76" t="str">
        <f>IFERROR(IF(VLOOKUP(TableHandbook[[#This Row],[UDC]],TableAvailabilities[],5,FALSE)&gt;0,"Y",""),"")</f>
        <v/>
      </c>
      <c r="K124" s="289" t="s">
        <v>497</v>
      </c>
      <c r="L124" s="183" t="str">
        <f>IFERROR(VLOOKUP(TableHandbook[[#This Row],[UDC]],TableMCARTS[],7,FALSE),"")</f>
        <v/>
      </c>
      <c r="M124" s="118" t="str">
        <f>IFERROR(VLOOKUP(TableHandbook[[#This Row],[UDC]],TableMJRPCWRIT[],7,FALSE),"")</f>
        <v/>
      </c>
      <c r="N124" s="118" t="str">
        <f>IFERROR(VLOOKUP(TableHandbook[[#This Row],[UDC]],TableMJRPFINAR[],7,FALSE),"")</f>
        <v/>
      </c>
      <c r="O124" s="118" t="str">
        <f>IFERROR(VLOOKUP(TableHandbook[[#This Row],[UDC]],TableMJRPPWRIT[],7,FALSE),"")</f>
        <v/>
      </c>
      <c r="P124" s="184" t="str">
        <f>IFERROR(VLOOKUP(TableHandbook[[#This Row],[UDC]],TableMJRPSCRAR[],7,FALSE),"")</f>
        <v/>
      </c>
      <c r="Q124" s="183" t="str">
        <f>IFERROR(VLOOKUP(TableHandbook[[#This Row],[UDC]],TableMCMMJRG[],7,FALSE),"")</f>
        <v/>
      </c>
      <c r="R124" s="118" t="str">
        <f>IFERROR(VLOOKUP(TableHandbook[[#This Row],[UDC]],TableMCMMJRN[],7,FALSE),"")</f>
        <v/>
      </c>
      <c r="S124" s="118" t="str">
        <f>IFERROR(VLOOKUP(TableHandbook[[#This Row],[UDC]],TableGDMMJRN[],7,FALSE),"")</f>
        <v/>
      </c>
      <c r="T124" s="184" t="str">
        <f>IFERROR(VLOOKUP(TableHandbook[[#This Row],[UDC]],TableGCMMJRN[],7,FALSE),"")</f>
        <v/>
      </c>
      <c r="U124" s="183" t="str">
        <f>IFERROR(VLOOKUP(TableHandbook[[#This Row],[UDC]],TableMCHRIGLO[],7,FALSE),"")</f>
        <v/>
      </c>
      <c r="V124" s="118" t="str">
        <f>IFERROR(VLOOKUP(TableHandbook[[#This Row],[UDC]],TableMCHRIGHT[],7,FALSE),"")</f>
        <v/>
      </c>
      <c r="W124" s="118" t="str">
        <f>IFERROR(VLOOKUP(TableHandbook[[#This Row],[UDC]],TableGDHRIGHT[],7,FALSE),"")</f>
        <v/>
      </c>
      <c r="X124" s="184" t="str">
        <f>IFERROR(VLOOKUP(TableHandbook[[#This Row],[UDC]],TableGCHRIGHT[],7,FALSE),"")</f>
        <v/>
      </c>
      <c r="Y124" s="183" t="str">
        <f>IFERROR(VLOOKUP(TableHandbook[[#This Row],[UDC]],TableMCGLOBL2[],7,FALSE),"")</f>
        <v/>
      </c>
      <c r="Z124" s="118" t="str">
        <f>IFERROR(VLOOKUP(TableHandbook[[#This Row],[UDC]],TableMCGLOBL[],7,FALSE),"")</f>
        <v/>
      </c>
      <c r="AA124" s="297" t="str">
        <f>IFERROR(VLOOKUP(TableHandbook[[#This Row],[UDC]],TableSTRPGLOBL[],7,FALSE),"")</f>
        <v/>
      </c>
      <c r="AB124" s="297" t="str">
        <f>IFERROR(VLOOKUP(TableHandbook[[#This Row],[UDC]],TableSTRPHRIGT[],7,FALSE),"")</f>
        <v>Option</v>
      </c>
      <c r="AC124" s="297" t="str">
        <f>IFERROR(VLOOKUP(TableHandbook[[#This Row],[UDC]],TableSTRPINTRN[],7,FALSE),"")</f>
        <v/>
      </c>
      <c r="AD124" s="184" t="str">
        <f>IFERROR(VLOOKUP(TableHandbook[[#This Row],[UDC]],TableGCGLOBL[],7,FALSE),"")</f>
        <v/>
      </c>
      <c r="AE124" s="183" t="str">
        <f>IFERROR(VLOOKUP(TableHandbook[[#This Row],[UDC]],TableMCNETSCM[],7,FALSE),"")</f>
        <v/>
      </c>
      <c r="AF124" s="118" t="str">
        <f>IFERROR(VLOOKUP(TableHandbook[[#This Row],[UDC]],TableGDNETSCM[],7,FALSE),"")</f>
        <v/>
      </c>
      <c r="AG124" s="184" t="str">
        <f>IFERROR(VLOOKUP(TableHandbook[[#This Row],[UDC]],TableGCNETSCM[],7,FALSE),"")</f>
        <v/>
      </c>
      <c r="AH124" s="183" t="str">
        <f>IFERROR(VLOOKUP(TableHandbook[[#This Row],[UDC]],TableMCINTRNS[],7,FALSE),"")</f>
        <v/>
      </c>
      <c r="AI124" s="118" t="str">
        <f>IFERROR(VLOOKUP(TableHandbook[[#This Row],[UDC]],TableGDINTRNS[],7,FALSE),"")</f>
        <v/>
      </c>
      <c r="AJ124" s="184" t="str">
        <f>IFERROR(VLOOKUP(TableHandbook[[#This Row],[UDC]],TableGCINTRNS[],7,FALSE),"")</f>
        <v/>
      </c>
    </row>
    <row r="125" spans="1:36" x14ac:dyDescent="0.25">
      <c r="A125" s="6" t="s">
        <v>305</v>
      </c>
      <c r="B125" s="7"/>
      <c r="C125" s="6"/>
      <c r="D125" s="6" t="s">
        <v>502</v>
      </c>
      <c r="E125" s="7">
        <v>25</v>
      </c>
      <c r="F125" s="186" t="s">
        <v>354</v>
      </c>
      <c r="G125" s="75" t="str">
        <f>IFERROR(IF(VLOOKUP(TableHandbook[[#This Row],[UDC]],TableAvailabilities[],2,FALSE)&gt;0,"Y",""),"")</f>
        <v/>
      </c>
      <c r="H125" s="116" t="str">
        <f>IFERROR(IF(VLOOKUP(TableHandbook[[#This Row],[UDC]],TableAvailabilities[],3,FALSE)&gt;0,"Y",""),"")</f>
        <v/>
      </c>
      <c r="I125" s="117" t="str">
        <f>IFERROR(IF(VLOOKUP(TableHandbook[[#This Row],[UDC]],TableAvailabilities[],4,FALSE)&gt;0,"Y",""),"")</f>
        <v/>
      </c>
      <c r="J125" s="76" t="str">
        <f>IFERROR(IF(VLOOKUP(TableHandbook[[#This Row],[UDC]],TableAvailabilities[],5,FALSE)&gt;0,"Y",""),"")</f>
        <v/>
      </c>
      <c r="K125" s="289"/>
      <c r="L125" s="183" t="str">
        <f>IFERROR(VLOOKUP(TableHandbook[[#This Row],[UDC]],TableMCARTS[],7,FALSE),"")</f>
        <v/>
      </c>
      <c r="M125" s="118" t="str">
        <f>IFERROR(VLOOKUP(TableHandbook[[#This Row],[UDC]],TableMJRPCWRIT[],7,FALSE),"")</f>
        <v/>
      </c>
      <c r="N125" s="118" t="str">
        <f>IFERROR(VLOOKUP(TableHandbook[[#This Row],[UDC]],TableMJRPFINAR[],7,FALSE),"")</f>
        <v/>
      </c>
      <c r="O125" s="118" t="str">
        <f>IFERROR(VLOOKUP(TableHandbook[[#This Row],[UDC]],TableMJRPPWRIT[],7,FALSE),"")</f>
        <v/>
      </c>
      <c r="P125" s="184" t="str">
        <f>IFERROR(VLOOKUP(TableHandbook[[#This Row],[UDC]],TableMJRPSCRAR[],7,FALSE),"")</f>
        <v/>
      </c>
      <c r="Q125" s="183" t="str">
        <f>IFERROR(VLOOKUP(TableHandbook[[#This Row],[UDC]],TableMCMMJRG[],7,FALSE),"")</f>
        <v/>
      </c>
      <c r="R125" s="118" t="str">
        <f>IFERROR(VLOOKUP(TableHandbook[[#This Row],[UDC]],TableMCMMJRN[],7,FALSE),"")</f>
        <v/>
      </c>
      <c r="S125" s="118" t="str">
        <f>IFERROR(VLOOKUP(TableHandbook[[#This Row],[UDC]],TableGDMMJRN[],7,FALSE),"")</f>
        <v/>
      </c>
      <c r="T125" s="184" t="str">
        <f>IFERROR(VLOOKUP(TableHandbook[[#This Row],[UDC]],TableGCMMJRN[],7,FALSE),"")</f>
        <v/>
      </c>
      <c r="U125" s="183" t="str">
        <f>IFERROR(VLOOKUP(TableHandbook[[#This Row],[UDC]],TableMCHRIGLO[],7,FALSE),"")</f>
        <v/>
      </c>
      <c r="V125" s="118" t="str">
        <f>IFERROR(VLOOKUP(TableHandbook[[#This Row],[UDC]],TableMCHRIGHT[],7,FALSE),"")</f>
        <v/>
      </c>
      <c r="W125" s="118" t="str">
        <f>IFERROR(VLOOKUP(TableHandbook[[#This Row],[UDC]],TableGDHRIGHT[],7,FALSE),"")</f>
        <v/>
      </c>
      <c r="X125" s="184" t="str">
        <f>IFERROR(VLOOKUP(TableHandbook[[#This Row],[UDC]],TableGCHRIGHT[],7,FALSE),"")</f>
        <v/>
      </c>
      <c r="Y125" s="183" t="str">
        <f>IFERROR(VLOOKUP(TableHandbook[[#This Row],[UDC]],TableMCGLOBL2[],7,FALSE),"")</f>
        <v/>
      </c>
      <c r="Z125" s="118" t="str">
        <f>IFERROR(VLOOKUP(TableHandbook[[#This Row],[UDC]],TableMCGLOBL[],7,FALSE),"")</f>
        <v/>
      </c>
      <c r="AA125" s="297" t="str">
        <f>IFERROR(VLOOKUP(TableHandbook[[#This Row],[UDC]],TableSTRPGLOBL[],7,FALSE),"")</f>
        <v/>
      </c>
      <c r="AB125" s="297" t="str">
        <f>IFERROR(VLOOKUP(TableHandbook[[#This Row],[UDC]],TableSTRPHRIGT[],7,FALSE),"")</f>
        <v/>
      </c>
      <c r="AC125" s="297" t="str">
        <f>IFERROR(VLOOKUP(TableHandbook[[#This Row],[UDC]],TableSTRPINTRN[],7,FALSE),"")</f>
        <v/>
      </c>
      <c r="AD125" s="184" t="str">
        <f>IFERROR(VLOOKUP(TableHandbook[[#This Row],[UDC]],TableGCGLOBL[],7,FALSE),"")</f>
        <v/>
      </c>
      <c r="AE125" s="183" t="str">
        <f>IFERROR(VLOOKUP(TableHandbook[[#This Row],[UDC]],TableMCNETSCM[],7,FALSE),"")</f>
        <v/>
      </c>
      <c r="AF125" s="118" t="str">
        <f>IFERROR(VLOOKUP(TableHandbook[[#This Row],[UDC]],TableGDNETSCM[],7,FALSE),"")</f>
        <v/>
      </c>
      <c r="AG125" s="184" t="str">
        <f>IFERROR(VLOOKUP(TableHandbook[[#This Row],[UDC]],TableGCNETSCM[],7,FALSE),"")</f>
        <v/>
      </c>
      <c r="AH125" s="183" t="str">
        <f>IFERROR(VLOOKUP(TableHandbook[[#This Row],[UDC]],TableMCINTRNS[],7,FALSE),"")</f>
        <v/>
      </c>
      <c r="AI125" s="118" t="str">
        <f>IFERROR(VLOOKUP(TableHandbook[[#This Row],[UDC]],TableGDINTRNS[],7,FALSE),"")</f>
        <v>Option</v>
      </c>
      <c r="AJ125" s="184" t="str">
        <f>IFERROR(VLOOKUP(TableHandbook[[#This Row],[UDC]],TableGCINTRNS[],7,FALSE),"")</f>
        <v>Option</v>
      </c>
    </row>
    <row r="126" spans="1:36" x14ac:dyDescent="0.25">
      <c r="A126" s="6" t="s">
        <v>320</v>
      </c>
      <c r="B126" s="7"/>
      <c r="C126" s="6"/>
      <c r="D126" s="6" t="s">
        <v>503</v>
      </c>
      <c r="E126" s="7"/>
      <c r="F126" s="186"/>
      <c r="G126" s="75" t="str">
        <f>IFERROR(IF(VLOOKUP(TableHandbook[[#This Row],[UDC]],TableAvailabilities[],2,FALSE)&gt;0,"Y",""),"")</f>
        <v/>
      </c>
      <c r="H126" s="116" t="str">
        <f>IFERROR(IF(VLOOKUP(TableHandbook[[#This Row],[UDC]],TableAvailabilities[],3,FALSE)&gt;0,"Y",""),"")</f>
        <v/>
      </c>
      <c r="I126" s="117" t="str">
        <f>IFERROR(IF(VLOOKUP(TableHandbook[[#This Row],[UDC]],TableAvailabilities[],4,FALSE)&gt;0,"Y",""),"")</f>
        <v/>
      </c>
      <c r="J126" s="76" t="str">
        <f>IFERROR(IF(VLOOKUP(TableHandbook[[#This Row],[UDC]],TableAvailabilities[],5,FALSE)&gt;0,"Y",""),"")</f>
        <v/>
      </c>
      <c r="K126" s="289" t="s">
        <v>497</v>
      </c>
      <c r="L126" s="183" t="str">
        <f>IFERROR(VLOOKUP(TableHandbook[[#This Row],[UDC]],TableMCARTS[],7,FALSE),"")</f>
        <v/>
      </c>
      <c r="M126" s="118" t="str">
        <f>IFERROR(VLOOKUP(TableHandbook[[#This Row],[UDC]],TableMJRPCWRIT[],7,FALSE),"")</f>
        <v/>
      </c>
      <c r="N126" s="118" t="str">
        <f>IFERROR(VLOOKUP(TableHandbook[[#This Row],[UDC]],TableMJRPFINAR[],7,FALSE),"")</f>
        <v/>
      </c>
      <c r="O126" s="118" t="str">
        <f>IFERROR(VLOOKUP(TableHandbook[[#This Row],[UDC]],TableMJRPPWRIT[],7,FALSE),"")</f>
        <v/>
      </c>
      <c r="P126" s="184" t="str">
        <f>IFERROR(VLOOKUP(TableHandbook[[#This Row],[UDC]],TableMJRPSCRAR[],7,FALSE),"")</f>
        <v/>
      </c>
      <c r="Q126" s="183" t="str">
        <f>IFERROR(VLOOKUP(TableHandbook[[#This Row],[UDC]],TableMCMMJRG[],7,FALSE),"")</f>
        <v/>
      </c>
      <c r="R126" s="118" t="str">
        <f>IFERROR(VLOOKUP(TableHandbook[[#This Row],[UDC]],TableMCMMJRN[],7,FALSE),"")</f>
        <v/>
      </c>
      <c r="S126" s="118" t="str">
        <f>IFERROR(VLOOKUP(TableHandbook[[#This Row],[UDC]],TableGDMMJRN[],7,FALSE),"")</f>
        <v/>
      </c>
      <c r="T126" s="184" t="str">
        <f>IFERROR(VLOOKUP(TableHandbook[[#This Row],[UDC]],TableGCMMJRN[],7,FALSE),"")</f>
        <v/>
      </c>
      <c r="U126" s="183" t="str">
        <f>IFERROR(VLOOKUP(TableHandbook[[#This Row],[UDC]],TableMCHRIGLO[],7,FALSE),"")</f>
        <v/>
      </c>
      <c r="V126" s="118" t="str">
        <f>IFERROR(VLOOKUP(TableHandbook[[#This Row],[UDC]],TableMCHRIGHT[],7,FALSE),"")</f>
        <v/>
      </c>
      <c r="W126" s="118" t="str">
        <f>IFERROR(VLOOKUP(TableHandbook[[#This Row],[UDC]],TableGDHRIGHT[],7,FALSE),"")</f>
        <v/>
      </c>
      <c r="X126" s="184" t="str">
        <f>IFERROR(VLOOKUP(TableHandbook[[#This Row],[UDC]],TableGCHRIGHT[],7,FALSE),"")</f>
        <v/>
      </c>
      <c r="Y126" s="183" t="str">
        <f>IFERROR(VLOOKUP(TableHandbook[[#This Row],[UDC]],TableMCGLOBL2[],7,FALSE),"")</f>
        <v/>
      </c>
      <c r="Z126" s="118" t="str">
        <f>IFERROR(VLOOKUP(TableHandbook[[#This Row],[UDC]],TableMCGLOBL[],7,FALSE),"")</f>
        <v/>
      </c>
      <c r="AA126" s="297" t="str">
        <f>IFERROR(VLOOKUP(TableHandbook[[#This Row],[UDC]],TableSTRPGLOBL[],7,FALSE),"")</f>
        <v/>
      </c>
      <c r="AB126" s="297" t="str">
        <f>IFERROR(VLOOKUP(TableHandbook[[#This Row],[UDC]],TableSTRPHRIGT[],7,FALSE),"")</f>
        <v/>
      </c>
      <c r="AC126" s="297" t="str">
        <f>IFERROR(VLOOKUP(TableHandbook[[#This Row],[UDC]],TableSTRPINTRN[],7,FALSE),"")</f>
        <v/>
      </c>
      <c r="AD126" s="184" t="str">
        <f>IFERROR(VLOOKUP(TableHandbook[[#This Row],[UDC]],TableGCGLOBL[],7,FALSE),"")</f>
        <v/>
      </c>
      <c r="AE126" s="183" t="str">
        <f>IFERROR(VLOOKUP(TableHandbook[[#This Row],[UDC]],TableMCNETSCM[],7,FALSE),"")</f>
        <v/>
      </c>
      <c r="AF126" s="118" t="str">
        <f>IFERROR(VLOOKUP(TableHandbook[[#This Row],[UDC]],TableGDNETSCM[],7,FALSE),"")</f>
        <v/>
      </c>
      <c r="AG126" s="184" t="str">
        <f>IFERROR(VLOOKUP(TableHandbook[[#This Row],[UDC]],TableGCNETSCM[],7,FALSE),"")</f>
        <v/>
      </c>
      <c r="AH126" s="183" t="str">
        <f>IFERROR(VLOOKUP(TableHandbook[[#This Row],[UDC]],TableMCINTRNS[],7,FALSE),"")</f>
        <v/>
      </c>
      <c r="AI126" s="118" t="str">
        <f>IFERROR(VLOOKUP(TableHandbook[[#This Row],[UDC]],TableGDINTRNS[],7,FALSE),"")</f>
        <v/>
      </c>
      <c r="AJ126" s="184" t="str">
        <f>IFERROR(VLOOKUP(TableHandbook[[#This Row],[UDC]],TableGCINTRNS[],7,FALSE),"")</f>
        <v/>
      </c>
    </row>
    <row r="127" spans="1:36" x14ac:dyDescent="0.25">
      <c r="A127" s="6" t="s">
        <v>333</v>
      </c>
      <c r="B127" s="7">
        <v>0</v>
      </c>
      <c r="C127" s="6"/>
      <c r="D127" s="6" t="s">
        <v>647</v>
      </c>
      <c r="E127" s="7">
        <v>75</v>
      </c>
      <c r="F127" s="186" t="s">
        <v>354</v>
      </c>
      <c r="G127" s="75" t="str">
        <f>IFERROR(IF(VLOOKUP(TableHandbook[[#This Row],[UDC]],TableAvailabilities[],2,FALSE)&gt;0,"Y",""),"")</f>
        <v/>
      </c>
      <c r="H127" s="116" t="str">
        <f>IFERROR(IF(VLOOKUP(TableHandbook[[#This Row],[UDC]],TableAvailabilities[],3,FALSE)&gt;0,"Y",""),"")</f>
        <v/>
      </c>
      <c r="I127" s="117" t="str">
        <f>IFERROR(IF(VLOOKUP(TableHandbook[[#This Row],[UDC]],TableAvailabilities[],4,FALSE)&gt;0,"Y",""),"")</f>
        <v/>
      </c>
      <c r="J127" s="76" t="str">
        <f>IFERROR(IF(VLOOKUP(TableHandbook[[#This Row],[UDC]],TableAvailabilities[],5,FALSE)&gt;0,"Y",""),"")</f>
        <v/>
      </c>
      <c r="K127" s="289"/>
      <c r="L127" s="183" t="str">
        <f>IFERROR(VLOOKUP(TableHandbook[[#This Row],[UDC]],TableMCARTS[],7,FALSE),"")</f>
        <v/>
      </c>
      <c r="M127" s="118" t="str">
        <f>IFERROR(VLOOKUP(TableHandbook[[#This Row],[UDC]],TableMJRPCWRIT[],7,FALSE),"")</f>
        <v/>
      </c>
      <c r="N127" s="118" t="str">
        <f>IFERROR(VLOOKUP(TableHandbook[[#This Row],[UDC]],TableMJRPFINAR[],7,FALSE),"")</f>
        <v/>
      </c>
      <c r="O127" s="118" t="str">
        <f>IFERROR(VLOOKUP(TableHandbook[[#This Row],[UDC]],TableMJRPPWRIT[],7,FALSE),"")</f>
        <v/>
      </c>
      <c r="P127" s="184" t="str">
        <f>IFERROR(VLOOKUP(TableHandbook[[#This Row],[UDC]],TableMJRPSCRAR[],7,FALSE),"")</f>
        <v/>
      </c>
      <c r="Q127" s="183" t="str">
        <f>IFERROR(VLOOKUP(TableHandbook[[#This Row],[UDC]],TableMCMMJRG[],7,FALSE),"")</f>
        <v/>
      </c>
      <c r="R127" s="118" t="str">
        <f>IFERROR(VLOOKUP(TableHandbook[[#This Row],[UDC]],TableMCMMJRN[],7,FALSE),"")</f>
        <v/>
      </c>
      <c r="S127" s="118" t="str">
        <f>IFERROR(VLOOKUP(TableHandbook[[#This Row],[UDC]],TableGDMMJRN[],7,FALSE),"")</f>
        <v/>
      </c>
      <c r="T127" s="184" t="str">
        <f>IFERROR(VLOOKUP(TableHandbook[[#This Row],[UDC]],TableGCMMJRN[],7,FALSE),"")</f>
        <v/>
      </c>
      <c r="U127" s="183" t="str">
        <f>IFERROR(VLOOKUP(TableHandbook[[#This Row],[UDC]],TableMCHRIGLO[],7,FALSE),"")</f>
        <v/>
      </c>
      <c r="V127" s="118" t="str">
        <f>IFERROR(VLOOKUP(TableHandbook[[#This Row],[UDC]],TableMCHRIGHT[],7,FALSE),"")</f>
        <v/>
      </c>
      <c r="W127" s="118" t="str">
        <f>IFERROR(VLOOKUP(TableHandbook[[#This Row],[UDC]],TableGDHRIGHT[],7,FALSE),"")</f>
        <v/>
      </c>
      <c r="X127" s="184" t="str">
        <f>IFERROR(VLOOKUP(TableHandbook[[#This Row],[UDC]],TableGCHRIGHT[],7,FALSE),"")</f>
        <v/>
      </c>
      <c r="Y127" s="183" t="str">
        <f>IFERROR(VLOOKUP(TableHandbook[[#This Row],[UDC]],TableMCGLOBL2[],7,FALSE),"")</f>
        <v/>
      </c>
      <c r="Z127" s="118" t="str">
        <f>IFERROR(VLOOKUP(TableHandbook[[#This Row],[UDC]],TableMCGLOBL[],7,FALSE),"")</f>
        <v/>
      </c>
      <c r="AA127" s="297" t="str">
        <f>IFERROR(VLOOKUP(TableHandbook[[#This Row],[UDC]],TableSTRPGLOBL[],7,FALSE),"")</f>
        <v/>
      </c>
      <c r="AB127" s="297" t="str">
        <f>IFERROR(VLOOKUP(TableHandbook[[#This Row],[UDC]],TableSTRPHRIGT[],7,FALSE),"")</f>
        <v/>
      </c>
      <c r="AC127" s="297" t="str">
        <f>IFERROR(VLOOKUP(TableHandbook[[#This Row],[UDC]],TableSTRPINTRN[],7,FALSE),"")</f>
        <v>Option</v>
      </c>
      <c r="AD127" s="184" t="str">
        <f>IFERROR(VLOOKUP(TableHandbook[[#This Row],[UDC]],TableGCGLOBL[],7,FALSE),"")</f>
        <v/>
      </c>
      <c r="AE127" s="183" t="str">
        <f>IFERROR(VLOOKUP(TableHandbook[[#This Row],[UDC]],TableMCNETSCM[],7,FALSE),"")</f>
        <v/>
      </c>
      <c r="AF127" s="118" t="str">
        <f>IFERROR(VLOOKUP(TableHandbook[[#This Row],[UDC]],TableGDNETSCM[],7,FALSE),"")</f>
        <v/>
      </c>
      <c r="AG127" s="184" t="str">
        <f>IFERROR(VLOOKUP(TableHandbook[[#This Row],[UDC]],TableGCNETSCM[],7,FALSE),"")</f>
        <v/>
      </c>
      <c r="AH127" s="183" t="str">
        <f>IFERROR(VLOOKUP(TableHandbook[[#This Row],[UDC]],TableMCINTRNS[],7,FALSE),"")</f>
        <v/>
      </c>
      <c r="AI127" s="118" t="str">
        <f>IFERROR(VLOOKUP(TableHandbook[[#This Row],[UDC]],TableGDINTRNS[],7,FALSE),"")</f>
        <v/>
      </c>
      <c r="AJ127" s="184" t="str">
        <f>IFERROR(VLOOKUP(TableHandbook[[#This Row],[UDC]],TableGCINTRNS[],7,FALSE),"")</f>
        <v/>
      </c>
    </row>
    <row r="128" spans="1:36" x14ac:dyDescent="0.25">
      <c r="A128" s="6" t="s">
        <v>312</v>
      </c>
      <c r="B128" s="7"/>
      <c r="C128" s="6"/>
      <c r="D128" s="6" t="s">
        <v>504</v>
      </c>
      <c r="E128" s="7"/>
      <c r="F128" s="186"/>
      <c r="G128" s="75" t="str">
        <f>IFERROR(IF(VLOOKUP(TableHandbook[[#This Row],[UDC]],TableAvailabilities[],2,FALSE)&gt;0,"Y",""),"")</f>
        <v/>
      </c>
      <c r="H128" s="116" t="str">
        <f>IFERROR(IF(VLOOKUP(TableHandbook[[#This Row],[UDC]],TableAvailabilities[],3,FALSE)&gt;0,"Y",""),"")</f>
        <v/>
      </c>
      <c r="I128" s="117" t="str">
        <f>IFERROR(IF(VLOOKUP(TableHandbook[[#This Row],[UDC]],TableAvailabilities[],4,FALSE)&gt;0,"Y",""),"")</f>
        <v/>
      </c>
      <c r="J128" s="76" t="str">
        <f>IFERROR(IF(VLOOKUP(TableHandbook[[#This Row],[UDC]],TableAvailabilities[],5,FALSE)&gt;0,"Y",""),"")</f>
        <v/>
      </c>
      <c r="K128" s="289" t="s">
        <v>497</v>
      </c>
      <c r="L128" s="183" t="str">
        <f>IFERROR(VLOOKUP(TableHandbook[[#This Row],[UDC]],TableMCARTS[],7,FALSE),"")</f>
        <v/>
      </c>
      <c r="M128" s="118" t="str">
        <f>IFERROR(VLOOKUP(TableHandbook[[#This Row],[UDC]],TableMJRPCWRIT[],7,FALSE),"")</f>
        <v/>
      </c>
      <c r="N128" s="118" t="str">
        <f>IFERROR(VLOOKUP(TableHandbook[[#This Row],[UDC]],TableMJRPFINAR[],7,FALSE),"")</f>
        <v/>
      </c>
      <c r="O128" s="118" t="str">
        <f>IFERROR(VLOOKUP(TableHandbook[[#This Row],[UDC]],TableMJRPPWRIT[],7,FALSE),"")</f>
        <v/>
      </c>
      <c r="P128" s="184" t="str">
        <f>IFERROR(VLOOKUP(TableHandbook[[#This Row],[UDC]],TableMJRPSCRAR[],7,FALSE),"")</f>
        <v/>
      </c>
      <c r="Q128" s="183" t="str">
        <f>IFERROR(VLOOKUP(TableHandbook[[#This Row],[UDC]],TableMCMMJRG[],7,FALSE),"")</f>
        <v/>
      </c>
      <c r="R128" s="118" t="str">
        <f>IFERROR(VLOOKUP(TableHandbook[[#This Row],[UDC]],TableMCMMJRN[],7,FALSE),"")</f>
        <v/>
      </c>
      <c r="S128" s="118" t="str">
        <f>IFERROR(VLOOKUP(TableHandbook[[#This Row],[UDC]],TableGDMMJRN[],7,FALSE),"")</f>
        <v/>
      </c>
      <c r="T128" s="184" t="str">
        <f>IFERROR(VLOOKUP(TableHandbook[[#This Row],[UDC]],TableGCMMJRN[],7,FALSE),"")</f>
        <v/>
      </c>
      <c r="U128" s="183" t="str">
        <f>IFERROR(VLOOKUP(TableHandbook[[#This Row],[UDC]],TableMCHRIGLO[],7,FALSE),"")</f>
        <v/>
      </c>
      <c r="V128" s="118" t="str">
        <f>IFERROR(VLOOKUP(TableHandbook[[#This Row],[UDC]],TableMCHRIGHT[],7,FALSE),"")</f>
        <v/>
      </c>
      <c r="W128" s="118" t="str">
        <f>IFERROR(VLOOKUP(TableHandbook[[#This Row],[UDC]],TableGDHRIGHT[],7,FALSE),"")</f>
        <v/>
      </c>
      <c r="X128" s="184" t="str">
        <f>IFERROR(VLOOKUP(TableHandbook[[#This Row],[UDC]],TableGCHRIGHT[],7,FALSE),"")</f>
        <v/>
      </c>
      <c r="Y128" s="183" t="str">
        <f>IFERROR(VLOOKUP(TableHandbook[[#This Row],[UDC]],TableMCGLOBL2[],7,FALSE),"")</f>
        <v/>
      </c>
      <c r="Z128" s="118" t="str">
        <f>IFERROR(VLOOKUP(TableHandbook[[#This Row],[UDC]],TableMCGLOBL[],7,FALSE),"")</f>
        <v/>
      </c>
      <c r="AA128" s="297" t="str">
        <f>IFERROR(VLOOKUP(TableHandbook[[#This Row],[UDC]],TableSTRPGLOBL[],7,FALSE),"")</f>
        <v/>
      </c>
      <c r="AB128" s="297" t="str">
        <f>IFERROR(VLOOKUP(TableHandbook[[#This Row],[UDC]],TableSTRPHRIGT[],7,FALSE),"")</f>
        <v/>
      </c>
      <c r="AC128" s="297" t="str">
        <f>IFERROR(VLOOKUP(TableHandbook[[#This Row],[UDC]],TableSTRPINTRN[],7,FALSE),"")</f>
        <v/>
      </c>
      <c r="AD128" s="184" t="str">
        <f>IFERROR(VLOOKUP(TableHandbook[[#This Row],[UDC]],TableGCGLOBL[],7,FALSE),"")</f>
        <v/>
      </c>
      <c r="AE128" s="183" t="str">
        <f>IFERROR(VLOOKUP(TableHandbook[[#This Row],[UDC]],TableMCNETSCM[],7,FALSE),"")</f>
        <v/>
      </c>
      <c r="AF128" s="118" t="str">
        <f>IFERROR(VLOOKUP(TableHandbook[[#This Row],[UDC]],TableGDNETSCM[],7,FALSE),"")</f>
        <v/>
      </c>
      <c r="AG128" s="184" t="str">
        <f>IFERROR(VLOOKUP(TableHandbook[[#This Row],[UDC]],TableGCNETSCM[],7,FALSE),"")</f>
        <v/>
      </c>
      <c r="AH128" s="183" t="str">
        <f>IFERROR(VLOOKUP(TableHandbook[[#This Row],[UDC]],TableMCINTRNS[],7,FALSE),"")</f>
        <v>Option</v>
      </c>
      <c r="AI128" s="118" t="str">
        <f>IFERROR(VLOOKUP(TableHandbook[[#This Row],[UDC]],TableGDINTRNS[],7,FALSE),"")</f>
        <v/>
      </c>
      <c r="AJ128" s="184" t="str">
        <f>IFERROR(VLOOKUP(TableHandbook[[#This Row],[UDC]],TableGCINTRNS[],7,FALSE),"")</f>
        <v/>
      </c>
    </row>
    <row r="129" spans="1:36" x14ac:dyDescent="0.25">
      <c r="A129" s="6" t="s">
        <v>316</v>
      </c>
      <c r="B129" s="7"/>
      <c r="C129" s="6"/>
      <c r="D129" s="6" t="s">
        <v>505</v>
      </c>
      <c r="E129" s="7"/>
      <c r="F129" s="186"/>
      <c r="G129" s="75" t="str">
        <f>IFERROR(IF(VLOOKUP(TableHandbook[[#This Row],[UDC]],TableAvailabilities[],2,FALSE)&gt;0,"Y",""),"")</f>
        <v/>
      </c>
      <c r="H129" s="116" t="str">
        <f>IFERROR(IF(VLOOKUP(TableHandbook[[#This Row],[UDC]],TableAvailabilities[],3,FALSE)&gt;0,"Y",""),"")</f>
        <v/>
      </c>
      <c r="I129" s="117" t="str">
        <f>IFERROR(IF(VLOOKUP(TableHandbook[[#This Row],[UDC]],TableAvailabilities[],4,FALSE)&gt;0,"Y",""),"")</f>
        <v/>
      </c>
      <c r="J129" s="76" t="str">
        <f>IFERROR(IF(VLOOKUP(TableHandbook[[#This Row],[UDC]],TableAvailabilities[],5,FALSE)&gt;0,"Y",""),"")</f>
        <v/>
      </c>
      <c r="K129" s="289" t="s">
        <v>497</v>
      </c>
      <c r="L129" s="183" t="str">
        <f>IFERROR(VLOOKUP(TableHandbook[[#This Row],[UDC]],TableMCARTS[],7,FALSE),"")</f>
        <v/>
      </c>
      <c r="M129" s="118" t="str">
        <f>IFERROR(VLOOKUP(TableHandbook[[#This Row],[UDC]],TableMJRPCWRIT[],7,FALSE),"")</f>
        <v/>
      </c>
      <c r="N129" s="118" t="str">
        <f>IFERROR(VLOOKUP(TableHandbook[[#This Row],[UDC]],TableMJRPFINAR[],7,FALSE),"")</f>
        <v/>
      </c>
      <c r="O129" s="118" t="str">
        <f>IFERROR(VLOOKUP(TableHandbook[[#This Row],[UDC]],TableMJRPPWRIT[],7,FALSE),"")</f>
        <v/>
      </c>
      <c r="P129" s="184" t="str">
        <f>IFERROR(VLOOKUP(TableHandbook[[#This Row],[UDC]],TableMJRPSCRAR[],7,FALSE),"")</f>
        <v/>
      </c>
      <c r="Q129" s="183" t="str">
        <f>IFERROR(VLOOKUP(TableHandbook[[#This Row],[UDC]],TableMCMMJRG[],7,FALSE),"")</f>
        <v/>
      </c>
      <c r="R129" s="118" t="str">
        <f>IFERROR(VLOOKUP(TableHandbook[[#This Row],[UDC]],TableMCMMJRN[],7,FALSE),"")</f>
        <v/>
      </c>
      <c r="S129" s="118" t="str">
        <f>IFERROR(VLOOKUP(TableHandbook[[#This Row],[UDC]],TableGDMMJRN[],7,FALSE),"")</f>
        <v/>
      </c>
      <c r="T129" s="184" t="str">
        <f>IFERROR(VLOOKUP(TableHandbook[[#This Row],[UDC]],TableGCMMJRN[],7,FALSE),"")</f>
        <v/>
      </c>
      <c r="U129" s="183" t="str">
        <f>IFERROR(VLOOKUP(TableHandbook[[#This Row],[UDC]],TableMCHRIGLO[],7,FALSE),"")</f>
        <v/>
      </c>
      <c r="V129" s="118" t="str">
        <f>IFERROR(VLOOKUP(TableHandbook[[#This Row],[UDC]],TableMCHRIGHT[],7,FALSE),"")</f>
        <v/>
      </c>
      <c r="W129" s="118" t="str">
        <f>IFERROR(VLOOKUP(TableHandbook[[#This Row],[UDC]],TableGDHRIGHT[],7,FALSE),"")</f>
        <v/>
      </c>
      <c r="X129" s="184" t="str">
        <f>IFERROR(VLOOKUP(TableHandbook[[#This Row],[UDC]],TableGCHRIGHT[],7,FALSE),"")</f>
        <v/>
      </c>
      <c r="Y129" s="183" t="str">
        <f>IFERROR(VLOOKUP(TableHandbook[[#This Row],[UDC]],TableMCGLOBL2[],7,FALSE),"")</f>
        <v/>
      </c>
      <c r="Z129" s="118" t="str">
        <f>IFERROR(VLOOKUP(TableHandbook[[#This Row],[UDC]],TableMCGLOBL[],7,FALSE),"")</f>
        <v/>
      </c>
      <c r="AA129" s="297" t="str">
        <f>IFERROR(VLOOKUP(TableHandbook[[#This Row],[UDC]],TableSTRPGLOBL[],7,FALSE),"")</f>
        <v/>
      </c>
      <c r="AB129" s="297" t="str">
        <f>IFERROR(VLOOKUP(TableHandbook[[#This Row],[UDC]],TableSTRPHRIGT[],7,FALSE),"")</f>
        <v/>
      </c>
      <c r="AC129" s="297" t="str">
        <f>IFERROR(VLOOKUP(TableHandbook[[#This Row],[UDC]],TableSTRPINTRN[],7,FALSE),"")</f>
        <v/>
      </c>
      <c r="AD129" s="184" t="str">
        <f>IFERROR(VLOOKUP(TableHandbook[[#This Row],[UDC]],TableGCGLOBL[],7,FALSE),"")</f>
        <v/>
      </c>
      <c r="AE129" s="183" t="str">
        <f>IFERROR(VLOOKUP(TableHandbook[[#This Row],[UDC]],TableMCNETSCM[],7,FALSE),"")</f>
        <v/>
      </c>
      <c r="AF129" s="118" t="str">
        <f>IFERROR(VLOOKUP(TableHandbook[[#This Row],[UDC]],TableGDNETSCM[],7,FALSE),"")</f>
        <v/>
      </c>
      <c r="AG129" s="184" t="str">
        <f>IFERROR(VLOOKUP(TableHandbook[[#This Row],[UDC]],TableGCNETSCM[],7,FALSE),"")</f>
        <v/>
      </c>
      <c r="AH129" s="183" t="str">
        <f>IFERROR(VLOOKUP(TableHandbook[[#This Row],[UDC]],TableMCINTRNS[],7,FALSE),"")</f>
        <v>Option</v>
      </c>
      <c r="AI129" s="118" t="str">
        <f>IFERROR(VLOOKUP(TableHandbook[[#This Row],[UDC]],TableGDINTRNS[],7,FALSE),"")</f>
        <v/>
      </c>
      <c r="AJ129" s="184" t="str">
        <f>IFERROR(VLOOKUP(TableHandbook[[#This Row],[UDC]],TableGCINTRNS[],7,FALSE),"")</f>
        <v/>
      </c>
    </row>
    <row r="130" spans="1:36" x14ac:dyDescent="0.25">
      <c r="A130" s="6" t="s">
        <v>267</v>
      </c>
      <c r="B130" s="7"/>
      <c r="C130" s="6"/>
      <c r="D130" s="6" t="s">
        <v>502</v>
      </c>
      <c r="E130" s="7">
        <v>25</v>
      </c>
      <c r="F130" s="186" t="s">
        <v>354</v>
      </c>
      <c r="G130" s="75" t="str">
        <f>IFERROR(IF(VLOOKUP(TableHandbook[[#This Row],[UDC]],TableAvailabilities[],2,FALSE)&gt;0,"Y",""),"")</f>
        <v/>
      </c>
      <c r="H130" s="116" t="str">
        <f>IFERROR(IF(VLOOKUP(TableHandbook[[#This Row],[UDC]],TableAvailabilities[],3,FALSE)&gt;0,"Y",""),"")</f>
        <v/>
      </c>
      <c r="I130" s="117" t="str">
        <f>IFERROR(IF(VLOOKUP(TableHandbook[[#This Row],[UDC]],TableAvailabilities[],4,FALSE)&gt;0,"Y",""),"")</f>
        <v/>
      </c>
      <c r="J130" s="76" t="str">
        <f>IFERROR(IF(VLOOKUP(TableHandbook[[#This Row],[UDC]],TableAvailabilities[],5,FALSE)&gt;0,"Y",""),"")</f>
        <v/>
      </c>
      <c r="K130" s="289"/>
      <c r="L130" s="183" t="str">
        <f>IFERROR(VLOOKUP(TableHandbook[[#This Row],[UDC]],TableMCARTS[],7,FALSE),"")</f>
        <v/>
      </c>
      <c r="M130" s="118" t="str">
        <f>IFERROR(VLOOKUP(TableHandbook[[#This Row],[UDC]],TableMJRPCWRIT[],7,FALSE),"")</f>
        <v/>
      </c>
      <c r="N130" s="118" t="str">
        <f>IFERROR(VLOOKUP(TableHandbook[[#This Row],[UDC]],TableMJRPFINAR[],7,FALSE),"")</f>
        <v/>
      </c>
      <c r="O130" s="118" t="str">
        <f>IFERROR(VLOOKUP(TableHandbook[[#This Row],[UDC]],TableMJRPPWRIT[],7,FALSE),"")</f>
        <v/>
      </c>
      <c r="P130" s="184" t="str">
        <f>IFERROR(VLOOKUP(TableHandbook[[#This Row],[UDC]],TableMJRPSCRAR[],7,FALSE),"")</f>
        <v/>
      </c>
      <c r="Q130" s="183" t="str">
        <f>IFERROR(VLOOKUP(TableHandbook[[#This Row],[UDC]],TableMCMMJRG[],7,FALSE),"")</f>
        <v>Option</v>
      </c>
      <c r="R130" s="118" t="str">
        <f>IFERROR(VLOOKUP(TableHandbook[[#This Row],[UDC]],TableMCMMJRN[],7,FALSE),"")</f>
        <v/>
      </c>
      <c r="S130" s="118" t="str">
        <f>IFERROR(VLOOKUP(TableHandbook[[#This Row],[UDC]],TableGDMMJRN[],7,FALSE),"")</f>
        <v/>
      </c>
      <c r="T130" s="184" t="str">
        <f>IFERROR(VLOOKUP(TableHandbook[[#This Row],[UDC]],TableGCMMJRN[],7,FALSE),"")</f>
        <v/>
      </c>
      <c r="U130" s="183" t="str">
        <f>IFERROR(VLOOKUP(TableHandbook[[#This Row],[UDC]],TableMCHRIGLO[],7,FALSE),"")</f>
        <v/>
      </c>
      <c r="V130" s="118" t="str">
        <f>IFERROR(VLOOKUP(TableHandbook[[#This Row],[UDC]],TableMCHRIGHT[],7,FALSE),"")</f>
        <v/>
      </c>
      <c r="W130" s="118" t="str">
        <f>IFERROR(VLOOKUP(TableHandbook[[#This Row],[UDC]],TableGDHRIGHT[],7,FALSE),"")</f>
        <v/>
      </c>
      <c r="X130" s="184" t="str">
        <f>IFERROR(VLOOKUP(TableHandbook[[#This Row],[UDC]],TableGCHRIGHT[],7,FALSE),"")</f>
        <v/>
      </c>
      <c r="Y130" s="183" t="str">
        <f>IFERROR(VLOOKUP(TableHandbook[[#This Row],[UDC]],TableMCGLOBL2[],7,FALSE),"")</f>
        <v/>
      </c>
      <c r="Z130" s="118" t="str">
        <f>IFERROR(VLOOKUP(TableHandbook[[#This Row],[UDC]],TableMCGLOBL[],7,FALSE),"")</f>
        <v/>
      </c>
      <c r="AA130" s="297" t="str">
        <f>IFERROR(VLOOKUP(TableHandbook[[#This Row],[UDC]],TableSTRPGLOBL[],7,FALSE),"")</f>
        <v/>
      </c>
      <c r="AB130" s="297" t="str">
        <f>IFERROR(VLOOKUP(TableHandbook[[#This Row],[UDC]],TableSTRPHRIGT[],7,FALSE),"")</f>
        <v/>
      </c>
      <c r="AC130" s="297" t="str">
        <f>IFERROR(VLOOKUP(TableHandbook[[#This Row],[UDC]],TableSTRPINTRN[],7,FALSE),"")</f>
        <v/>
      </c>
      <c r="AD130" s="184" t="str">
        <f>IFERROR(VLOOKUP(TableHandbook[[#This Row],[UDC]],TableGCGLOBL[],7,FALSE),"")</f>
        <v/>
      </c>
      <c r="AE130" s="183" t="str">
        <f>IFERROR(VLOOKUP(TableHandbook[[#This Row],[UDC]],TableMCNETSCM[],7,FALSE),"")</f>
        <v/>
      </c>
      <c r="AF130" s="118" t="str">
        <f>IFERROR(VLOOKUP(TableHandbook[[#This Row],[UDC]],TableGDNETSCM[],7,FALSE),"")</f>
        <v/>
      </c>
      <c r="AG130" s="184" t="str">
        <f>IFERROR(VLOOKUP(TableHandbook[[#This Row],[UDC]],TableGCNETSCM[],7,FALSE),"")</f>
        <v/>
      </c>
      <c r="AH130" s="183" t="str">
        <f>IFERROR(VLOOKUP(TableHandbook[[#This Row],[UDC]],TableMCINTRNS[],7,FALSE),"")</f>
        <v/>
      </c>
      <c r="AI130" s="118" t="str">
        <f>IFERROR(VLOOKUP(TableHandbook[[#This Row],[UDC]],TableGDINTRNS[],7,FALSE),"")</f>
        <v/>
      </c>
      <c r="AJ130" s="184" t="str">
        <f>IFERROR(VLOOKUP(TableHandbook[[#This Row],[UDC]],TableGCINTRNS[],7,FALSE),"")</f>
        <v/>
      </c>
    </row>
    <row r="131" spans="1:36" x14ac:dyDescent="0.25">
      <c r="A131" s="6" t="s">
        <v>287</v>
      </c>
      <c r="B131" s="7"/>
      <c r="C131" s="6"/>
      <c r="D131" s="6" t="s">
        <v>502</v>
      </c>
      <c r="E131" s="7">
        <v>25</v>
      </c>
      <c r="F131" s="186" t="s">
        <v>354</v>
      </c>
      <c r="G131" s="75" t="str">
        <f>IFERROR(IF(VLOOKUP(TableHandbook[[#This Row],[UDC]],TableAvailabilities[],2,FALSE)&gt;0,"Y",""),"")</f>
        <v/>
      </c>
      <c r="H131" s="116" t="str">
        <f>IFERROR(IF(VLOOKUP(TableHandbook[[#This Row],[UDC]],TableAvailabilities[],3,FALSE)&gt;0,"Y",""),"")</f>
        <v/>
      </c>
      <c r="I131" s="117" t="str">
        <f>IFERROR(IF(VLOOKUP(TableHandbook[[#This Row],[UDC]],TableAvailabilities[],4,FALSE)&gt;0,"Y",""),"")</f>
        <v/>
      </c>
      <c r="J131" s="76" t="str">
        <f>IFERROR(IF(VLOOKUP(TableHandbook[[#This Row],[UDC]],TableAvailabilities[],5,FALSE)&gt;0,"Y",""),"")</f>
        <v/>
      </c>
      <c r="K131" s="289"/>
      <c r="L131" s="183" t="str">
        <f>IFERROR(VLOOKUP(TableHandbook[[#This Row],[UDC]],TableMCARTS[],7,FALSE),"")</f>
        <v/>
      </c>
      <c r="M131" s="118" t="str">
        <f>IFERROR(VLOOKUP(TableHandbook[[#This Row],[UDC]],TableMJRPCWRIT[],7,FALSE),"")</f>
        <v/>
      </c>
      <c r="N131" s="118" t="str">
        <f>IFERROR(VLOOKUP(TableHandbook[[#This Row],[UDC]],TableMJRPFINAR[],7,FALSE),"")</f>
        <v/>
      </c>
      <c r="O131" s="118" t="str">
        <f>IFERROR(VLOOKUP(TableHandbook[[#This Row],[UDC]],TableMJRPPWRIT[],7,FALSE),"")</f>
        <v/>
      </c>
      <c r="P131" s="184" t="str">
        <f>IFERROR(VLOOKUP(TableHandbook[[#This Row],[UDC]],TableMJRPSCRAR[],7,FALSE),"")</f>
        <v/>
      </c>
      <c r="Q131" s="183" t="str">
        <f>IFERROR(VLOOKUP(TableHandbook[[#This Row],[UDC]],TableMCMMJRG[],7,FALSE),"")</f>
        <v/>
      </c>
      <c r="R131" s="118" t="str">
        <f>IFERROR(VLOOKUP(TableHandbook[[#This Row],[UDC]],TableMCMMJRN[],7,FALSE),"")</f>
        <v/>
      </c>
      <c r="S131" s="118" t="str">
        <f>IFERROR(VLOOKUP(TableHandbook[[#This Row],[UDC]],TableGDMMJRN[],7,FALSE),"")</f>
        <v/>
      </c>
      <c r="T131" s="184" t="str">
        <f>IFERROR(VLOOKUP(TableHandbook[[#This Row],[UDC]],TableGCMMJRN[],7,FALSE),"")</f>
        <v/>
      </c>
      <c r="U131" s="183" t="str">
        <f>IFERROR(VLOOKUP(TableHandbook[[#This Row],[UDC]],TableMCHRIGLO[],7,FALSE),"")</f>
        <v/>
      </c>
      <c r="V131" s="118" t="str">
        <f>IFERROR(VLOOKUP(TableHandbook[[#This Row],[UDC]],TableMCHRIGHT[],7,FALSE),"")</f>
        <v/>
      </c>
      <c r="W131" s="118" t="str">
        <f>IFERROR(VLOOKUP(TableHandbook[[#This Row],[UDC]],TableGDHRIGHT[],7,FALSE),"")</f>
        <v/>
      </c>
      <c r="X131" s="184" t="str">
        <f>IFERROR(VLOOKUP(TableHandbook[[#This Row],[UDC]],TableGCHRIGHT[],7,FALSE),"")</f>
        <v/>
      </c>
      <c r="Y131" s="183" t="str">
        <f>IFERROR(VLOOKUP(TableHandbook[[#This Row],[UDC]],TableMCGLOBL2[],7,FALSE),"")</f>
        <v/>
      </c>
      <c r="Z131" s="118" t="str">
        <f>IFERROR(VLOOKUP(TableHandbook[[#This Row],[UDC]],TableMCGLOBL[],7,FALSE),"")</f>
        <v/>
      </c>
      <c r="AA131" s="297" t="str">
        <f>IFERROR(VLOOKUP(TableHandbook[[#This Row],[UDC]],TableSTRPGLOBL[],7,FALSE),"")</f>
        <v/>
      </c>
      <c r="AB131" s="297" t="str">
        <f>IFERROR(VLOOKUP(TableHandbook[[#This Row],[UDC]],TableSTRPHRIGT[],7,FALSE),"")</f>
        <v/>
      </c>
      <c r="AC131" s="297" t="str">
        <f>IFERROR(VLOOKUP(TableHandbook[[#This Row],[UDC]],TableSTRPINTRN[],7,FALSE),"")</f>
        <v/>
      </c>
      <c r="AD131" s="184" t="str">
        <f>IFERROR(VLOOKUP(TableHandbook[[#This Row],[UDC]],TableGCGLOBL[],7,FALSE),"")</f>
        <v/>
      </c>
      <c r="AE131" s="183" t="str">
        <f>IFERROR(VLOOKUP(TableHandbook[[#This Row],[UDC]],TableMCNETSCM[],7,FALSE),"")</f>
        <v>Option</v>
      </c>
      <c r="AF131" s="118" t="str">
        <f>IFERROR(VLOOKUP(TableHandbook[[#This Row],[UDC]],TableGDNETSCM[],7,FALSE),"")</f>
        <v>Option</v>
      </c>
      <c r="AG131" s="184" t="str">
        <f>IFERROR(VLOOKUP(TableHandbook[[#This Row],[UDC]],TableGCNETSCM[],7,FALSE),"")</f>
        <v>Option</v>
      </c>
      <c r="AH131" s="183" t="str">
        <f>IFERROR(VLOOKUP(TableHandbook[[#This Row],[UDC]],TableMCINTRNS[],7,FALSE),"")</f>
        <v/>
      </c>
      <c r="AI131" s="118" t="str">
        <f>IFERROR(VLOOKUP(TableHandbook[[#This Row],[UDC]],TableGDINTRNS[],7,FALSE),"")</f>
        <v/>
      </c>
      <c r="AJ131" s="184" t="str">
        <f>IFERROR(VLOOKUP(TableHandbook[[#This Row],[UDC]],TableGCINTRNS[],7,FALSE),"")</f>
        <v/>
      </c>
    </row>
    <row r="132" spans="1:36" x14ac:dyDescent="0.25">
      <c r="A132" s="6" t="s">
        <v>158</v>
      </c>
      <c r="B132" s="7"/>
      <c r="C132" s="6"/>
      <c r="D132" s="6" t="s">
        <v>506</v>
      </c>
      <c r="E132" s="7">
        <v>150</v>
      </c>
      <c r="F132" s="186"/>
      <c r="G132" s="75" t="str">
        <f>IFERROR(IF(VLOOKUP(TableHandbook[[#This Row],[UDC]],TableAvailabilities[],2,FALSE)&gt;0,"Y",""),"")</f>
        <v/>
      </c>
      <c r="H132" s="116" t="str">
        <f>IFERROR(IF(VLOOKUP(TableHandbook[[#This Row],[UDC]],TableAvailabilities[],3,FALSE)&gt;0,"Y",""),"")</f>
        <v/>
      </c>
      <c r="I132" s="117" t="str">
        <f>IFERROR(IF(VLOOKUP(TableHandbook[[#This Row],[UDC]],TableAvailabilities[],4,FALSE)&gt;0,"Y",""),"")</f>
        <v/>
      </c>
      <c r="J132" s="76" t="str">
        <f>IFERROR(IF(VLOOKUP(TableHandbook[[#This Row],[UDC]],TableAvailabilities[],5,FALSE)&gt;0,"Y",""),"")</f>
        <v/>
      </c>
      <c r="K132" s="289" t="s">
        <v>497</v>
      </c>
      <c r="L132" s="183" t="str">
        <f>IFERROR(VLOOKUP(TableHandbook[[#This Row],[UDC]],TableMCARTS[],7,FALSE),"")</f>
        <v/>
      </c>
      <c r="M132" s="118" t="str">
        <f>IFERROR(VLOOKUP(TableHandbook[[#This Row],[UDC]],TableMJRPCWRIT[],7,FALSE),"")</f>
        <v/>
      </c>
      <c r="N132" s="118" t="str">
        <f>IFERROR(VLOOKUP(TableHandbook[[#This Row],[UDC]],TableMJRPFINAR[],7,FALSE),"")</f>
        <v/>
      </c>
      <c r="O132" s="118" t="str">
        <f>IFERROR(VLOOKUP(TableHandbook[[#This Row],[UDC]],TableMJRPPWRIT[],7,FALSE),"")</f>
        <v/>
      </c>
      <c r="P132" s="184" t="str">
        <f>IFERROR(VLOOKUP(TableHandbook[[#This Row],[UDC]],TableMJRPSCRAR[],7,FALSE),"")</f>
        <v/>
      </c>
      <c r="Q132" s="183" t="str">
        <f>IFERROR(VLOOKUP(TableHandbook[[#This Row],[UDC]],TableMCMMJRG[],7,FALSE),"")</f>
        <v/>
      </c>
      <c r="R132" s="118" t="str">
        <f>IFERROR(VLOOKUP(TableHandbook[[#This Row],[UDC]],TableMCMMJRN[],7,FALSE),"")</f>
        <v/>
      </c>
      <c r="S132" s="118" t="str">
        <f>IFERROR(VLOOKUP(TableHandbook[[#This Row],[UDC]],TableGDMMJRN[],7,FALSE),"")</f>
        <v/>
      </c>
      <c r="T132" s="184" t="str">
        <f>IFERROR(VLOOKUP(TableHandbook[[#This Row],[UDC]],TableGCMMJRN[],7,FALSE),"")</f>
        <v/>
      </c>
      <c r="U132" s="183" t="str">
        <f>IFERROR(VLOOKUP(TableHandbook[[#This Row],[UDC]],TableMCHRIGLO[],7,FALSE),"")</f>
        <v/>
      </c>
      <c r="V132" s="118" t="str">
        <f>IFERROR(VLOOKUP(TableHandbook[[#This Row],[UDC]],TableMCHRIGHT[],7,FALSE),"")</f>
        <v/>
      </c>
      <c r="W132" s="118" t="str">
        <f>IFERROR(VLOOKUP(TableHandbook[[#This Row],[UDC]],TableGDHRIGHT[],7,FALSE),"")</f>
        <v/>
      </c>
      <c r="X132" s="184" t="str">
        <f>IFERROR(VLOOKUP(TableHandbook[[#This Row],[UDC]],TableGCHRIGHT[],7,FALSE),"")</f>
        <v/>
      </c>
      <c r="Y132" s="183" t="str">
        <f>IFERROR(VLOOKUP(TableHandbook[[#This Row],[UDC]],TableMCGLOBL2[],7,FALSE),"")</f>
        <v/>
      </c>
      <c r="Z132" s="118" t="str">
        <f>IFERROR(VLOOKUP(TableHandbook[[#This Row],[UDC]],TableMCGLOBL[],7,FALSE),"")</f>
        <v/>
      </c>
      <c r="AA132" s="297" t="str">
        <f>IFERROR(VLOOKUP(TableHandbook[[#This Row],[UDC]],TableSTRPGLOBL[],7,FALSE),"")</f>
        <v/>
      </c>
      <c r="AB132" s="297" t="str">
        <f>IFERROR(VLOOKUP(TableHandbook[[#This Row],[UDC]],TableSTRPHRIGT[],7,FALSE),"")</f>
        <v/>
      </c>
      <c r="AC132" s="297" t="str">
        <f>IFERROR(VLOOKUP(TableHandbook[[#This Row],[UDC]],TableSTRPINTRN[],7,FALSE),"")</f>
        <v/>
      </c>
      <c r="AD132" s="184" t="str">
        <f>IFERROR(VLOOKUP(TableHandbook[[#This Row],[UDC]],TableGCGLOBL[],7,FALSE),"")</f>
        <v/>
      </c>
      <c r="AE132" s="183" t="str">
        <f>IFERROR(VLOOKUP(TableHandbook[[#This Row],[UDC]],TableMCNETSCM[],7,FALSE),"")</f>
        <v/>
      </c>
      <c r="AF132" s="118" t="str">
        <f>IFERROR(VLOOKUP(TableHandbook[[#This Row],[UDC]],TableGDNETSCM[],7,FALSE),"")</f>
        <v/>
      </c>
      <c r="AG132" s="184" t="str">
        <f>IFERROR(VLOOKUP(TableHandbook[[#This Row],[UDC]],TableGCNETSCM[],7,FALSE),"")</f>
        <v/>
      </c>
      <c r="AH132" s="183" t="str">
        <f>IFERROR(VLOOKUP(TableHandbook[[#This Row],[UDC]],TableMCINTRNS[],7,FALSE),"")</f>
        <v/>
      </c>
      <c r="AI132" s="118" t="str">
        <f>IFERROR(VLOOKUP(TableHandbook[[#This Row],[UDC]],TableGDINTRNS[],7,FALSE),"")</f>
        <v/>
      </c>
      <c r="AJ132" s="184" t="str">
        <f>IFERROR(VLOOKUP(TableHandbook[[#This Row],[UDC]],TableGCINTRNS[],7,FALSE),"")</f>
        <v/>
      </c>
    </row>
    <row r="133" spans="1:36" x14ac:dyDescent="0.25">
      <c r="A133" s="6" t="s">
        <v>192</v>
      </c>
      <c r="B133" s="7"/>
      <c r="C133" s="6"/>
      <c r="D133" s="6" t="s">
        <v>507</v>
      </c>
      <c r="E133" s="7">
        <v>150</v>
      </c>
      <c r="F133" s="186"/>
      <c r="G133" s="75" t="str">
        <f>IFERROR(IF(VLOOKUP(TableHandbook[[#This Row],[UDC]],TableAvailabilities[],2,FALSE)&gt;0,"Y",""),"")</f>
        <v/>
      </c>
      <c r="H133" s="116" t="str">
        <f>IFERROR(IF(VLOOKUP(TableHandbook[[#This Row],[UDC]],TableAvailabilities[],3,FALSE)&gt;0,"Y",""),"")</f>
        <v/>
      </c>
      <c r="I133" s="117" t="str">
        <f>IFERROR(IF(VLOOKUP(TableHandbook[[#This Row],[UDC]],TableAvailabilities[],4,FALSE)&gt;0,"Y",""),"")</f>
        <v/>
      </c>
      <c r="J133" s="76" t="str">
        <f>IFERROR(IF(VLOOKUP(TableHandbook[[#This Row],[UDC]],TableAvailabilities[],5,FALSE)&gt;0,"Y",""),"")</f>
        <v/>
      </c>
      <c r="K133" s="289" t="s">
        <v>497</v>
      </c>
      <c r="L133" s="183" t="str">
        <f>IFERROR(VLOOKUP(TableHandbook[[#This Row],[UDC]],TableMCARTS[],7,FALSE),"")</f>
        <v/>
      </c>
      <c r="M133" s="118" t="str">
        <f>IFERROR(VLOOKUP(TableHandbook[[#This Row],[UDC]],TableMJRPCWRIT[],7,FALSE),"")</f>
        <v/>
      </c>
      <c r="N133" s="118" t="str">
        <f>IFERROR(VLOOKUP(TableHandbook[[#This Row],[UDC]],TableMJRPFINAR[],7,FALSE),"")</f>
        <v/>
      </c>
      <c r="O133" s="118" t="str">
        <f>IFERROR(VLOOKUP(TableHandbook[[#This Row],[UDC]],TableMJRPPWRIT[],7,FALSE),"")</f>
        <v/>
      </c>
      <c r="P133" s="184" t="str">
        <f>IFERROR(VLOOKUP(TableHandbook[[#This Row],[UDC]],TableMJRPSCRAR[],7,FALSE),"")</f>
        <v/>
      </c>
      <c r="Q133" s="183" t="str">
        <f>IFERROR(VLOOKUP(TableHandbook[[#This Row],[UDC]],TableMCMMJRG[],7,FALSE),"")</f>
        <v/>
      </c>
      <c r="R133" s="118" t="str">
        <f>IFERROR(VLOOKUP(TableHandbook[[#This Row],[UDC]],TableMCMMJRN[],7,FALSE),"")</f>
        <v/>
      </c>
      <c r="S133" s="118" t="str">
        <f>IFERROR(VLOOKUP(TableHandbook[[#This Row],[UDC]],TableGDMMJRN[],7,FALSE),"")</f>
        <v/>
      </c>
      <c r="T133" s="184" t="str">
        <f>IFERROR(VLOOKUP(TableHandbook[[#This Row],[UDC]],TableGCMMJRN[],7,FALSE),"")</f>
        <v/>
      </c>
      <c r="U133" s="183" t="str">
        <f>IFERROR(VLOOKUP(TableHandbook[[#This Row],[UDC]],TableMCHRIGLO[],7,FALSE),"")</f>
        <v/>
      </c>
      <c r="V133" s="118" t="str">
        <f>IFERROR(VLOOKUP(TableHandbook[[#This Row],[UDC]],TableMCHRIGHT[],7,FALSE),"")</f>
        <v/>
      </c>
      <c r="W133" s="118" t="str">
        <f>IFERROR(VLOOKUP(TableHandbook[[#This Row],[UDC]],TableGDHRIGHT[],7,FALSE),"")</f>
        <v/>
      </c>
      <c r="X133" s="184" t="str">
        <f>IFERROR(VLOOKUP(TableHandbook[[#This Row],[UDC]],TableGCHRIGHT[],7,FALSE),"")</f>
        <v/>
      </c>
      <c r="Y133" s="183" t="str">
        <f>IFERROR(VLOOKUP(TableHandbook[[#This Row],[UDC]],TableMCGLOBL2[],7,FALSE),"")</f>
        <v/>
      </c>
      <c r="Z133" s="118" t="str">
        <f>IFERROR(VLOOKUP(TableHandbook[[#This Row],[UDC]],TableMCGLOBL[],7,FALSE),"")</f>
        <v/>
      </c>
      <c r="AA133" s="297" t="str">
        <f>IFERROR(VLOOKUP(TableHandbook[[#This Row],[UDC]],TableSTRPGLOBL[],7,FALSE),"")</f>
        <v/>
      </c>
      <c r="AB133" s="297" t="str">
        <f>IFERROR(VLOOKUP(TableHandbook[[#This Row],[UDC]],TableSTRPHRIGT[],7,FALSE),"")</f>
        <v/>
      </c>
      <c r="AC133" s="297" t="str">
        <f>IFERROR(VLOOKUP(TableHandbook[[#This Row],[UDC]],TableSTRPINTRN[],7,FALSE),"")</f>
        <v/>
      </c>
      <c r="AD133" s="184" t="str">
        <f>IFERROR(VLOOKUP(TableHandbook[[#This Row],[UDC]],TableGCGLOBL[],7,FALSE),"")</f>
        <v/>
      </c>
      <c r="AE133" s="183" t="str">
        <f>IFERROR(VLOOKUP(TableHandbook[[#This Row],[UDC]],TableMCNETSCM[],7,FALSE),"")</f>
        <v/>
      </c>
      <c r="AF133" s="118" t="str">
        <f>IFERROR(VLOOKUP(TableHandbook[[#This Row],[UDC]],TableGDNETSCM[],7,FALSE),"")</f>
        <v/>
      </c>
      <c r="AG133" s="184" t="str">
        <f>IFERROR(VLOOKUP(TableHandbook[[#This Row],[UDC]],TableGCNETSCM[],7,FALSE),"")</f>
        <v/>
      </c>
      <c r="AH133" s="183" t="str">
        <f>IFERROR(VLOOKUP(TableHandbook[[#This Row],[UDC]],TableMCINTRNS[],7,FALSE),"")</f>
        <v/>
      </c>
      <c r="AI133" s="118" t="str">
        <f>IFERROR(VLOOKUP(TableHandbook[[#This Row],[UDC]],TableGDINTRNS[],7,FALSE),"")</f>
        <v/>
      </c>
      <c r="AJ133" s="184" t="str">
        <f>IFERROR(VLOOKUP(TableHandbook[[#This Row],[UDC]],TableGCINTRNS[],7,FALSE),"")</f>
        <v/>
      </c>
    </row>
    <row r="134" spans="1:36" x14ac:dyDescent="0.25">
      <c r="A134" s="6" t="s">
        <v>61</v>
      </c>
      <c r="B134" s="7"/>
      <c r="C134" s="6"/>
      <c r="D134" s="6" t="s">
        <v>508</v>
      </c>
      <c r="E134" s="7">
        <v>25</v>
      </c>
      <c r="F134" s="186" t="s">
        <v>354</v>
      </c>
      <c r="G134" s="75" t="str">
        <f>IFERROR(IF(VLOOKUP(TableHandbook[[#This Row],[UDC]],TableAvailabilities[],2,FALSE)&gt;0,"Y",""),"")</f>
        <v/>
      </c>
      <c r="H134" s="116" t="str">
        <f>IFERROR(IF(VLOOKUP(TableHandbook[[#This Row],[UDC]],TableAvailabilities[],3,FALSE)&gt;0,"Y",""),"")</f>
        <v/>
      </c>
      <c r="I134" s="117" t="str">
        <f>IFERROR(IF(VLOOKUP(TableHandbook[[#This Row],[UDC]],TableAvailabilities[],4,FALSE)&gt;0,"Y",""),"")</f>
        <v/>
      </c>
      <c r="J134" s="76" t="str">
        <f>IFERROR(IF(VLOOKUP(TableHandbook[[#This Row],[UDC]],TableAvailabilities[],5,FALSE)&gt;0,"Y",""),"")</f>
        <v/>
      </c>
      <c r="K134" s="289"/>
      <c r="L134" s="183" t="str">
        <f>IFERROR(VLOOKUP(TableHandbook[[#This Row],[UDC]],TableMCARTS[],7,FALSE),"")</f>
        <v/>
      </c>
      <c r="M134" s="118" t="str">
        <f>IFERROR(VLOOKUP(TableHandbook[[#This Row],[UDC]],TableMJRPCWRIT[],7,FALSE),"")</f>
        <v/>
      </c>
      <c r="N134" s="118" t="str">
        <f>IFERROR(VLOOKUP(TableHandbook[[#This Row],[UDC]],TableMJRPFINAR[],7,FALSE),"")</f>
        <v/>
      </c>
      <c r="O134" s="118" t="str">
        <f>IFERROR(VLOOKUP(TableHandbook[[#This Row],[UDC]],TableMJRPPWRIT[],7,FALSE),"")</f>
        <v>Option</v>
      </c>
      <c r="P134" s="184" t="str">
        <f>IFERROR(VLOOKUP(TableHandbook[[#This Row],[UDC]],TableMJRPSCRAR[],7,FALSE),"")</f>
        <v/>
      </c>
      <c r="Q134" s="183" t="str">
        <f>IFERROR(VLOOKUP(TableHandbook[[#This Row],[UDC]],TableMCMMJRG[],7,FALSE),"")</f>
        <v/>
      </c>
      <c r="R134" s="118" t="str">
        <f>IFERROR(VLOOKUP(TableHandbook[[#This Row],[UDC]],TableMCMMJRN[],7,FALSE),"")</f>
        <v/>
      </c>
      <c r="S134" s="118" t="str">
        <f>IFERROR(VLOOKUP(TableHandbook[[#This Row],[UDC]],TableGDMMJRN[],7,FALSE),"")</f>
        <v/>
      </c>
      <c r="T134" s="184" t="str">
        <f>IFERROR(VLOOKUP(TableHandbook[[#This Row],[UDC]],TableGCMMJRN[],7,FALSE),"")</f>
        <v/>
      </c>
      <c r="U134" s="183" t="str">
        <f>IFERROR(VLOOKUP(TableHandbook[[#This Row],[UDC]],TableMCHRIGLO[],7,FALSE),"")</f>
        <v/>
      </c>
      <c r="V134" s="118" t="str">
        <f>IFERROR(VLOOKUP(TableHandbook[[#This Row],[UDC]],TableMCHRIGHT[],7,FALSE),"")</f>
        <v/>
      </c>
      <c r="W134" s="118" t="str">
        <f>IFERROR(VLOOKUP(TableHandbook[[#This Row],[UDC]],TableGDHRIGHT[],7,FALSE),"")</f>
        <v/>
      </c>
      <c r="X134" s="184" t="str">
        <f>IFERROR(VLOOKUP(TableHandbook[[#This Row],[UDC]],TableGCHRIGHT[],7,FALSE),"")</f>
        <v/>
      </c>
      <c r="Y134" s="183" t="str">
        <f>IFERROR(VLOOKUP(TableHandbook[[#This Row],[UDC]],TableMCGLOBL2[],7,FALSE),"")</f>
        <v/>
      </c>
      <c r="Z134" s="118" t="str">
        <f>IFERROR(VLOOKUP(TableHandbook[[#This Row],[UDC]],TableMCGLOBL[],7,FALSE),"")</f>
        <v/>
      </c>
      <c r="AA134" s="297" t="str">
        <f>IFERROR(VLOOKUP(TableHandbook[[#This Row],[UDC]],TableSTRPGLOBL[],7,FALSE),"")</f>
        <v/>
      </c>
      <c r="AB134" s="297" t="str">
        <f>IFERROR(VLOOKUP(TableHandbook[[#This Row],[UDC]],TableSTRPHRIGT[],7,FALSE),"")</f>
        <v/>
      </c>
      <c r="AC134" s="297" t="str">
        <f>IFERROR(VLOOKUP(TableHandbook[[#This Row],[UDC]],TableSTRPINTRN[],7,FALSE),"")</f>
        <v/>
      </c>
      <c r="AD134" s="184" t="str">
        <f>IFERROR(VLOOKUP(TableHandbook[[#This Row],[UDC]],TableGCGLOBL[],7,FALSE),"")</f>
        <v/>
      </c>
      <c r="AE134" s="183" t="str">
        <f>IFERROR(VLOOKUP(TableHandbook[[#This Row],[UDC]],TableMCNETSCM[],7,FALSE),"")</f>
        <v/>
      </c>
      <c r="AF134" s="118" t="str">
        <f>IFERROR(VLOOKUP(TableHandbook[[#This Row],[UDC]],TableGDNETSCM[],7,FALSE),"")</f>
        <v/>
      </c>
      <c r="AG134" s="184" t="str">
        <f>IFERROR(VLOOKUP(TableHandbook[[#This Row],[UDC]],TableGCNETSCM[],7,FALSE),"")</f>
        <v/>
      </c>
      <c r="AH134" s="183" t="str">
        <f>IFERROR(VLOOKUP(TableHandbook[[#This Row],[UDC]],TableMCINTRNS[],7,FALSE),"")</f>
        <v/>
      </c>
      <c r="AI134" s="118" t="str">
        <f>IFERROR(VLOOKUP(TableHandbook[[#This Row],[UDC]],TableGDINTRNS[],7,FALSE),"")</f>
        <v/>
      </c>
      <c r="AJ134" s="184" t="str">
        <f>IFERROR(VLOOKUP(TableHandbook[[#This Row],[UDC]],TableGCINTRNS[],7,FALSE),"")</f>
        <v/>
      </c>
    </row>
    <row r="135" spans="1:36" x14ac:dyDescent="0.25">
      <c r="A135" s="6" t="s">
        <v>95</v>
      </c>
      <c r="B135" s="7"/>
      <c r="C135" s="6"/>
      <c r="D135" s="6" t="s">
        <v>509</v>
      </c>
      <c r="E135" s="7">
        <v>25</v>
      </c>
      <c r="F135" s="186" t="s">
        <v>354</v>
      </c>
      <c r="G135" s="75" t="str">
        <f>IFERROR(IF(VLOOKUP(TableHandbook[[#This Row],[UDC]],TableAvailabilities[],2,FALSE)&gt;0,"Y",""),"")</f>
        <v/>
      </c>
      <c r="H135" s="116" t="str">
        <f>IFERROR(IF(VLOOKUP(TableHandbook[[#This Row],[UDC]],TableAvailabilities[],3,FALSE)&gt;0,"Y",""),"")</f>
        <v/>
      </c>
      <c r="I135" s="117" t="str">
        <f>IFERROR(IF(VLOOKUP(TableHandbook[[#This Row],[UDC]],TableAvailabilities[],4,FALSE)&gt;0,"Y",""),"")</f>
        <v/>
      </c>
      <c r="J135" s="76" t="str">
        <f>IFERROR(IF(VLOOKUP(TableHandbook[[#This Row],[UDC]],TableAvailabilities[],5,FALSE)&gt;0,"Y",""),"")</f>
        <v/>
      </c>
      <c r="K135" s="289"/>
      <c r="L135" s="183" t="str">
        <f>IFERROR(VLOOKUP(TableHandbook[[#This Row],[UDC]],TableMCARTS[],7,FALSE),"")</f>
        <v/>
      </c>
      <c r="M135" s="118" t="str">
        <f>IFERROR(VLOOKUP(TableHandbook[[#This Row],[UDC]],TableMJRPCWRIT[],7,FALSE),"")</f>
        <v/>
      </c>
      <c r="N135" s="118" t="str">
        <f>IFERROR(VLOOKUP(TableHandbook[[#This Row],[UDC]],TableMJRPFINAR[],7,FALSE),"")</f>
        <v/>
      </c>
      <c r="O135" s="118" t="str">
        <f>IFERROR(VLOOKUP(TableHandbook[[#This Row],[UDC]],TableMJRPPWRIT[],7,FALSE),"")</f>
        <v>Option</v>
      </c>
      <c r="P135" s="184" t="str">
        <f>IFERROR(VLOOKUP(TableHandbook[[#This Row],[UDC]],TableMJRPSCRAR[],7,FALSE),"")</f>
        <v/>
      </c>
      <c r="Q135" s="183" t="str">
        <f>IFERROR(VLOOKUP(TableHandbook[[#This Row],[UDC]],TableMCMMJRG[],7,FALSE),"")</f>
        <v/>
      </c>
      <c r="R135" s="118" t="str">
        <f>IFERROR(VLOOKUP(TableHandbook[[#This Row],[UDC]],TableMCMMJRN[],7,FALSE),"")</f>
        <v/>
      </c>
      <c r="S135" s="118" t="str">
        <f>IFERROR(VLOOKUP(TableHandbook[[#This Row],[UDC]],TableGDMMJRN[],7,FALSE),"")</f>
        <v/>
      </c>
      <c r="T135" s="184" t="str">
        <f>IFERROR(VLOOKUP(TableHandbook[[#This Row],[UDC]],TableGCMMJRN[],7,FALSE),"")</f>
        <v/>
      </c>
      <c r="U135" s="183" t="str">
        <f>IFERROR(VLOOKUP(TableHandbook[[#This Row],[UDC]],TableMCHRIGLO[],7,FALSE),"")</f>
        <v/>
      </c>
      <c r="V135" s="118" t="str">
        <f>IFERROR(VLOOKUP(TableHandbook[[#This Row],[UDC]],TableMCHRIGHT[],7,FALSE),"")</f>
        <v/>
      </c>
      <c r="W135" s="118" t="str">
        <f>IFERROR(VLOOKUP(TableHandbook[[#This Row],[UDC]],TableGDHRIGHT[],7,FALSE),"")</f>
        <v/>
      </c>
      <c r="X135" s="184" t="str">
        <f>IFERROR(VLOOKUP(TableHandbook[[#This Row],[UDC]],TableGCHRIGHT[],7,FALSE),"")</f>
        <v/>
      </c>
      <c r="Y135" s="183" t="str">
        <f>IFERROR(VLOOKUP(TableHandbook[[#This Row],[UDC]],TableMCGLOBL2[],7,FALSE),"")</f>
        <v/>
      </c>
      <c r="Z135" s="118" t="str">
        <f>IFERROR(VLOOKUP(TableHandbook[[#This Row],[UDC]],TableMCGLOBL[],7,FALSE),"")</f>
        <v/>
      </c>
      <c r="AA135" s="297" t="str">
        <f>IFERROR(VLOOKUP(TableHandbook[[#This Row],[UDC]],TableSTRPGLOBL[],7,FALSE),"")</f>
        <v/>
      </c>
      <c r="AB135" s="297" t="str">
        <f>IFERROR(VLOOKUP(TableHandbook[[#This Row],[UDC]],TableSTRPHRIGT[],7,FALSE),"")</f>
        <v/>
      </c>
      <c r="AC135" s="297" t="str">
        <f>IFERROR(VLOOKUP(TableHandbook[[#This Row],[UDC]],TableSTRPINTRN[],7,FALSE),"")</f>
        <v/>
      </c>
      <c r="AD135" s="184" t="str">
        <f>IFERROR(VLOOKUP(TableHandbook[[#This Row],[UDC]],TableGCGLOBL[],7,FALSE),"")</f>
        <v/>
      </c>
      <c r="AE135" s="183" t="str">
        <f>IFERROR(VLOOKUP(TableHandbook[[#This Row],[UDC]],TableMCNETSCM[],7,FALSE),"")</f>
        <v/>
      </c>
      <c r="AF135" s="118" t="str">
        <f>IFERROR(VLOOKUP(TableHandbook[[#This Row],[UDC]],TableGDNETSCM[],7,FALSE),"")</f>
        <v/>
      </c>
      <c r="AG135" s="184" t="str">
        <f>IFERROR(VLOOKUP(TableHandbook[[#This Row],[UDC]],TableGCNETSCM[],7,FALSE),"")</f>
        <v/>
      </c>
      <c r="AH135" s="183" t="str">
        <f>IFERROR(VLOOKUP(TableHandbook[[#This Row],[UDC]],TableMCINTRNS[],7,FALSE),"")</f>
        <v/>
      </c>
      <c r="AI135" s="118" t="str">
        <f>IFERROR(VLOOKUP(TableHandbook[[#This Row],[UDC]],TableGDINTRNS[],7,FALSE),"")</f>
        <v/>
      </c>
      <c r="AJ135" s="184" t="str">
        <f>IFERROR(VLOOKUP(TableHandbook[[#This Row],[UDC]],TableGCINTRNS[],7,FALSE),"")</f>
        <v/>
      </c>
    </row>
    <row r="136" spans="1:36" x14ac:dyDescent="0.25">
      <c r="A136" s="6" t="s">
        <v>97</v>
      </c>
      <c r="B136" s="7"/>
      <c r="C136" s="6"/>
      <c r="D136" s="6" t="s">
        <v>510</v>
      </c>
      <c r="E136" s="7">
        <v>25</v>
      </c>
      <c r="F136" s="186" t="s">
        <v>354</v>
      </c>
      <c r="G136" s="75" t="str">
        <f>IFERROR(IF(VLOOKUP(TableHandbook[[#This Row],[UDC]],TableAvailabilities[],2,FALSE)&gt;0,"Y",""),"")</f>
        <v/>
      </c>
      <c r="H136" s="116" t="str">
        <f>IFERROR(IF(VLOOKUP(TableHandbook[[#This Row],[UDC]],TableAvailabilities[],3,FALSE)&gt;0,"Y",""),"")</f>
        <v/>
      </c>
      <c r="I136" s="117" t="str">
        <f>IFERROR(IF(VLOOKUP(TableHandbook[[#This Row],[UDC]],TableAvailabilities[],4,FALSE)&gt;0,"Y",""),"")</f>
        <v/>
      </c>
      <c r="J136" s="76" t="str">
        <f>IFERROR(IF(VLOOKUP(TableHandbook[[#This Row],[UDC]],TableAvailabilities[],5,FALSE)&gt;0,"Y",""),"")</f>
        <v/>
      </c>
      <c r="K136" s="289"/>
      <c r="L136" s="183" t="str">
        <f>IFERROR(VLOOKUP(TableHandbook[[#This Row],[UDC]],TableMCARTS[],7,FALSE),"")</f>
        <v/>
      </c>
      <c r="M136" s="118" t="str">
        <f>IFERROR(VLOOKUP(TableHandbook[[#This Row],[UDC]],TableMJRPCWRIT[],7,FALSE),"")</f>
        <v/>
      </c>
      <c r="N136" s="118" t="str">
        <f>IFERROR(VLOOKUP(TableHandbook[[#This Row],[UDC]],TableMJRPFINAR[],7,FALSE),"")</f>
        <v/>
      </c>
      <c r="O136" s="118" t="str">
        <f>IFERROR(VLOOKUP(TableHandbook[[#This Row],[UDC]],TableMJRPPWRIT[],7,FALSE),"")</f>
        <v/>
      </c>
      <c r="P136" s="184" t="str">
        <f>IFERROR(VLOOKUP(TableHandbook[[#This Row],[UDC]],TableMJRPSCRAR[],7,FALSE),"")</f>
        <v>Option</v>
      </c>
      <c r="Q136" s="183" t="str">
        <f>IFERROR(VLOOKUP(TableHandbook[[#This Row],[UDC]],TableMCMMJRG[],7,FALSE),"")</f>
        <v/>
      </c>
      <c r="R136" s="118" t="str">
        <f>IFERROR(VLOOKUP(TableHandbook[[#This Row],[UDC]],TableMCMMJRN[],7,FALSE),"")</f>
        <v/>
      </c>
      <c r="S136" s="118" t="str">
        <f>IFERROR(VLOOKUP(TableHandbook[[#This Row],[UDC]],TableGDMMJRN[],7,FALSE),"")</f>
        <v/>
      </c>
      <c r="T136" s="184" t="str">
        <f>IFERROR(VLOOKUP(TableHandbook[[#This Row],[UDC]],TableGCMMJRN[],7,FALSE),"")</f>
        <v/>
      </c>
      <c r="U136" s="183" t="str">
        <f>IFERROR(VLOOKUP(TableHandbook[[#This Row],[UDC]],TableMCHRIGLO[],7,FALSE),"")</f>
        <v/>
      </c>
      <c r="V136" s="118" t="str">
        <f>IFERROR(VLOOKUP(TableHandbook[[#This Row],[UDC]],TableMCHRIGHT[],7,FALSE),"")</f>
        <v/>
      </c>
      <c r="W136" s="118" t="str">
        <f>IFERROR(VLOOKUP(TableHandbook[[#This Row],[UDC]],TableGDHRIGHT[],7,FALSE),"")</f>
        <v/>
      </c>
      <c r="X136" s="184" t="str">
        <f>IFERROR(VLOOKUP(TableHandbook[[#This Row],[UDC]],TableGCHRIGHT[],7,FALSE),"")</f>
        <v/>
      </c>
      <c r="Y136" s="183" t="str">
        <f>IFERROR(VLOOKUP(TableHandbook[[#This Row],[UDC]],TableMCGLOBL2[],7,FALSE),"")</f>
        <v/>
      </c>
      <c r="Z136" s="118" t="str">
        <f>IFERROR(VLOOKUP(TableHandbook[[#This Row],[UDC]],TableMCGLOBL[],7,FALSE),"")</f>
        <v/>
      </c>
      <c r="AA136" s="297" t="str">
        <f>IFERROR(VLOOKUP(TableHandbook[[#This Row],[UDC]],TableSTRPGLOBL[],7,FALSE),"")</f>
        <v/>
      </c>
      <c r="AB136" s="297" t="str">
        <f>IFERROR(VLOOKUP(TableHandbook[[#This Row],[UDC]],TableSTRPHRIGT[],7,FALSE),"")</f>
        <v/>
      </c>
      <c r="AC136" s="297" t="str">
        <f>IFERROR(VLOOKUP(TableHandbook[[#This Row],[UDC]],TableSTRPINTRN[],7,FALSE),"")</f>
        <v/>
      </c>
      <c r="AD136" s="184" t="str">
        <f>IFERROR(VLOOKUP(TableHandbook[[#This Row],[UDC]],TableGCGLOBL[],7,FALSE),"")</f>
        <v/>
      </c>
      <c r="AE136" s="183" t="str">
        <f>IFERROR(VLOOKUP(TableHandbook[[#This Row],[UDC]],TableMCNETSCM[],7,FALSE),"")</f>
        <v/>
      </c>
      <c r="AF136" s="118" t="str">
        <f>IFERROR(VLOOKUP(TableHandbook[[#This Row],[UDC]],TableGDNETSCM[],7,FALSE),"")</f>
        <v/>
      </c>
      <c r="AG136" s="184" t="str">
        <f>IFERROR(VLOOKUP(TableHandbook[[#This Row],[UDC]],TableGCNETSCM[],7,FALSE),"")</f>
        <v/>
      </c>
      <c r="AH136" s="183" t="str">
        <f>IFERROR(VLOOKUP(TableHandbook[[#This Row],[UDC]],TableMCINTRNS[],7,FALSE),"")</f>
        <v/>
      </c>
      <c r="AI136" s="118" t="str">
        <f>IFERROR(VLOOKUP(TableHandbook[[#This Row],[UDC]],TableGDINTRNS[],7,FALSE),"")</f>
        <v/>
      </c>
      <c r="AJ136" s="184" t="str">
        <f>IFERROR(VLOOKUP(TableHandbook[[#This Row],[UDC]],TableGCINTRNS[],7,FALSE),"")</f>
        <v/>
      </c>
    </row>
    <row r="137" spans="1:36" x14ac:dyDescent="0.25">
      <c r="A137" s="6" t="s">
        <v>277</v>
      </c>
      <c r="B137" s="7">
        <v>2</v>
      </c>
      <c r="C137" s="6"/>
      <c r="D137" s="6" t="s">
        <v>511</v>
      </c>
      <c r="E137" s="7">
        <v>25</v>
      </c>
      <c r="F137" s="186" t="s">
        <v>368</v>
      </c>
      <c r="G137" s="75" t="str">
        <f>IFERROR(IF(VLOOKUP(TableHandbook[[#This Row],[UDC]],TableAvailabilities[],2,FALSE)&gt;0,"Y",""),"")</f>
        <v/>
      </c>
      <c r="H137" s="116" t="str">
        <f>IFERROR(IF(VLOOKUP(TableHandbook[[#This Row],[UDC]],TableAvailabilities[],3,FALSE)&gt;0,"Y",""),"")</f>
        <v/>
      </c>
      <c r="I137" s="117" t="str">
        <f>IFERROR(IF(VLOOKUP(TableHandbook[[#This Row],[UDC]],TableAvailabilities[],4,FALSE)&gt;0,"Y",""),"")</f>
        <v>Y</v>
      </c>
      <c r="J137" s="76" t="str">
        <f>IFERROR(IF(VLOOKUP(TableHandbook[[#This Row],[UDC]],TableAvailabilities[],5,FALSE)&gt;0,"Y",""),"")</f>
        <v>Y</v>
      </c>
      <c r="K137" s="289"/>
      <c r="L137" s="183" t="str">
        <f>IFERROR(VLOOKUP(TableHandbook[[#This Row],[UDC]],TableMCARTS[],7,FALSE),"")</f>
        <v/>
      </c>
      <c r="M137" s="118" t="str">
        <f>IFERROR(VLOOKUP(TableHandbook[[#This Row],[UDC]],TableMJRPCWRIT[],7,FALSE),"")</f>
        <v/>
      </c>
      <c r="N137" s="118" t="str">
        <f>IFERROR(VLOOKUP(TableHandbook[[#This Row],[UDC]],TableMJRPFINAR[],7,FALSE),"")</f>
        <v/>
      </c>
      <c r="O137" s="118" t="str">
        <f>IFERROR(VLOOKUP(TableHandbook[[#This Row],[UDC]],TableMJRPPWRIT[],7,FALSE),"")</f>
        <v/>
      </c>
      <c r="P137" s="184" t="str">
        <f>IFERROR(VLOOKUP(TableHandbook[[#This Row],[UDC]],TableMJRPSCRAR[],7,FALSE),"")</f>
        <v/>
      </c>
      <c r="Q137" s="183" t="str">
        <f>IFERROR(VLOOKUP(TableHandbook[[#This Row],[UDC]],TableMCMMJRG[],7,FALSE),"")</f>
        <v>Option</v>
      </c>
      <c r="R137" s="118" t="str">
        <f>IFERROR(VLOOKUP(TableHandbook[[#This Row],[UDC]],TableMCMMJRN[],7,FALSE),"")</f>
        <v/>
      </c>
      <c r="S137" s="118" t="str">
        <f>IFERROR(VLOOKUP(TableHandbook[[#This Row],[UDC]],TableGDMMJRN[],7,FALSE),"")</f>
        <v/>
      </c>
      <c r="T137" s="184" t="str">
        <f>IFERROR(VLOOKUP(TableHandbook[[#This Row],[UDC]],TableGCMMJRN[],7,FALSE),"")</f>
        <v/>
      </c>
      <c r="U137" s="183" t="str">
        <f>IFERROR(VLOOKUP(TableHandbook[[#This Row],[UDC]],TableMCHRIGLO[],7,FALSE),"")</f>
        <v/>
      </c>
      <c r="V137" s="118" t="str">
        <f>IFERROR(VLOOKUP(TableHandbook[[#This Row],[UDC]],TableMCHRIGHT[],7,FALSE),"")</f>
        <v/>
      </c>
      <c r="W137" s="118" t="str">
        <f>IFERROR(VLOOKUP(TableHandbook[[#This Row],[UDC]],TableGDHRIGHT[],7,FALSE),"")</f>
        <v/>
      </c>
      <c r="X137" s="184" t="str">
        <f>IFERROR(VLOOKUP(TableHandbook[[#This Row],[UDC]],TableGCHRIGHT[],7,FALSE),"")</f>
        <v/>
      </c>
      <c r="Y137" s="183" t="str">
        <f>IFERROR(VLOOKUP(TableHandbook[[#This Row],[UDC]],TableMCGLOBL2[],7,FALSE),"")</f>
        <v/>
      </c>
      <c r="Z137" s="118" t="str">
        <f>IFERROR(VLOOKUP(TableHandbook[[#This Row],[UDC]],TableMCGLOBL[],7,FALSE),"")</f>
        <v/>
      </c>
      <c r="AA137" s="297" t="str">
        <f>IFERROR(VLOOKUP(TableHandbook[[#This Row],[UDC]],TableSTRPGLOBL[],7,FALSE),"")</f>
        <v/>
      </c>
      <c r="AB137" s="297" t="str">
        <f>IFERROR(VLOOKUP(TableHandbook[[#This Row],[UDC]],TableSTRPHRIGT[],7,FALSE),"")</f>
        <v/>
      </c>
      <c r="AC137" s="297" t="str">
        <f>IFERROR(VLOOKUP(TableHandbook[[#This Row],[UDC]],TableSTRPINTRN[],7,FALSE),"")</f>
        <v>AltCore</v>
      </c>
      <c r="AD137" s="184" t="str">
        <f>IFERROR(VLOOKUP(TableHandbook[[#This Row],[UDC]],TableGCGLOBL[],7,FALSE),"")</f>
        <v/>
      </c>
      <c r="AE137" s="183" t="str">
        <f>IFERROR(VLOOKUP(TableHandbook[[#This Row],[UDC]],TableMCNETSCM[],7,FALSE),"")</f>
        <v/>
      </c>
      <c r="AF137" s="118" t="str">
        <f>IFERROR(VLOOKUP(TableHandbook[[#This Row],[UDC]],TableGDNETSCM[],7,FALSE),"")</f>
        <v/>
      </c>
      <c r="AG137" s="184" t="str">
        <f>IFERROR(VLOOKUP(TableHandbook[[#This Row],[UDC]],TableGCNETSCM[],7,FALSE),"")</f>
        <v/>
      </c>
      <c r="AH137" s="183" t="str">
        <f>IFERROR(VLOOKUP(TableHandbook[[#This Row],[UDC]],TableMCINTRNS[],7,FALSE),"")</f>
        <v>Core</v>
      </c>
      <c r="AI137" s="118" t="str">
        <f>IFERROR(VLOOKUP(TableHandbook[[#This Row],[UDC]],TableGDINTRNS[],7,FALSE),"")</f>
        <v>Core</v>
      </c>
      <c r="AJ137" s="184" t="str">
        <f>IFERROR(VLOOKUP(TableHandbook[[#This Row],[UDC]],TableGCINTRNS[],7,FALSE),"")</f>
        <v>AltCore</v>
      </c>
    </row>
    <row r="138" spans="1:36" x14ac:dyDescent="0.25">
      <c r="A138" s="6" t="s">
        <v>319</v>
      </c>
      <c r="B138" s="7">
        <v>1</v>
      </c>
      <c r="C138" s="6"/>
      <c r="D138" s="6" t="s">
        <v>512</v>
      </c>
      <c r="E138" s="7">
        <v>25</v>
      </c>
      <c r="F138" s="186" t="s">
        <v>368</v>
      </c>
      <c r="G138" s="75" t="str">
        <f>IFERROR(IF(VLOOKUP(TableHandbook[[#This Row],[UDC]],TableAvailabilities[],2,FALSE)&gt;0,"Y",""),"")</f>
        <v>Y</v>
      </c>
      <c r="H138" s="116" t="str">
        <f>IFERROR(IF(VLOOKUP(TableHandbook[[#This Row],[UDC]],TableAvailabilities[],3,FALSE)&gt;0,"Y",""),"")</f>
        <v>Y</v>
      </c>
      <c r="I138" s="117" t="str">
        <f>IFERROR(IF(VLOOKUP(TableHandbook[[#This Row],[UDC]],TableAvailabilities[],4,FALSE)&gt;0,"Y",""),"")</f>
        <v/>
      </c>
      <c r="J138" s="76" t="str">
        <f>IFERROR(IF(VLOOKUP(TableHandbook[[#This Row],[UDC]],TableAvailabilities[],5,FALSE)&gt;0,"Y",""),"")</f>
        <v/>
      </c>
      <c r="K138" s="289"/>
      <c r="L138" s="183" t="str">
        <f>IFERROR(VLOOKUP(TableHandbook[[#This Row],[UDC]],TableMCARTS[],7,FALSE),"")</f>
        <v/>
      </c>
      <c r="M138" s="118" t="str">
        <f>IFERROR(VLOOKUP(TableHandbook[[#This Row],[UDC]],TableMJRPCWRIT[],7,FALSE),"")</f>
        <v/>
      </c>
      <c r="N138" s="118" t="str">
        <f>IFERROR(VLOOKUP(TableHandbook[[#This Row],[UDC]],TableMJRPFINAR[],7,FALSE),"")</f>
        <v/>
      </c>
      <c r="O138" s="118" t="str">
        <f>IFERROR(VLOOKUP(TableHandbook[[#This Row],[UDC]],TableMJRPPWRIT[],7,FALSE),"")</f>
        <v/>
      </c>
      <c r="P138" s="184" t="str">
        <f>IFERROR(VLOOKUP(TableHandbook[[#This Row],[UDC]],TableMJRPSCRAR[],7,FALSE),"")</f>
        <v/>
      </c>
      <c r="Q138" s="183" t="str">
        <f>IFERROR(VLOOKUP(TableHandbook[[#This Row],[UDC]],TableMCMMJRG[],7,FALSE),"")</f>
        <v/>
      </c>
      <c r="R138" s="118" t="str">
        <f>IFERROR(VLOOKUP(TableHandbook[[#This Row],[UDC]],TableMCMMJRN[],7,FALSE),"")</f>
        <v/>
      </c>
      <c r="S138" s="118" t="str">
        <f>IFERROR(VLOOKUP(TableHandbook[[#This Row],[UDC]],TableGDMMJRN[],7,FALSE),"")</f>
        <v/>
      </c>
      <c r="T138" s="184" t="str">
        <f>IFERROR(VLOOKUP(TableHandbook[[#This Row],[UDC]],TableGCMMJRN[],7,FALSE),"")</f>
        <v/>
      </c>
      <c r="U138" s="183" t="str">
        <f>IFERROR(VLOOKUP(TableHandbook[[#This Row],[UDC]],TableMCHRIGLO[],7,FALSE),"")</f>
        <v/>
      </c>
      <c r="V138" s="118" t="str">
        <f>IFERROR(VLOOKUP(TableHandbook[[#This Row],[UDC]],TableMCHRIGHT[],7,FALSE),"")</f>
        <v/>
      </c>
      <c r="W138" s="118" t="str">
        <f>IFERROR(VLOOKUP(TableHandbook[[#This Row],[UDC]],TableGDHRIGHT[],7,FALSE),"")</f>
        <v/>
      </c>
      <c r="X138" s="184" t="str">
        <f>IFERROR(VLOOKUP(TableHandbook[[#This Row],[UDC]],TableGCHRIGHT[],7,FALSE),"")</f>
        <v/>
      </c>
      <c r="Y138" s="183" t="str">
        <f>IFERROR(VLOOKUP(TableHandbook[[#This Row],[UDC]],TableMCGLOBL2[],7,FALSE),"")</f>
        <v/>
      </c>
      <c r="Z138" s="118" t="str">
        <f>IFERROR(VLOOKUP(TableHandbook[[#This Row],[UDC]],TableMCGLOBL[],7,FALSE),"")</f>
        <v/>
      </c>
      <c r="AA138" s="297" t="str">
        <f>IFERROR(VLOOKUP(TableHandbook[[#This Row],[UDC]],TableSTRPGLOBL[],7,FALSE),"")</f>
        <v/>
      </c>
      <c r="AB138" s="297" t="str">
        <f>IFERROR(VLOOKUP(TableHandbook[[#This Row],[UDC]],TableSTRPHRIGT[],7,FALSE),"")</f>
        <v/>
      </c>
      <c r="AC138" s="297" t="str">
        <f>IFERROR(VLOOKUP(TableHandbook[[#This Row],[UDC]],TableSTRPINTRN[],7,FALSE),"")</f>
        <v>Option</v>
      </c>
      <c r="AD138" s="184" t="str">
        <f>IFERROR(VLOOKUP(TableHandbook[[#This Row],[UDC]],TableGCGLOBL[],7,FALSE),"")</f>
        <v/>
      </c>
      <c r="AE138" s="183" t="str">
        <f>IFERROR(VLOOKUP(TableHandbook[[#This Row],[UDC]],TableMCNETSCM[],7,FALSE),"")</f>
        <v/>
      </c>
      <c r="AF138" s="118" t="str">
        <f>IFERROR(VLOOKUP(TableHandbook[[#This Row],[UDC]],TableGDNETSCM[],7,FALSE),"")</f>
        <v/>
      </c>
      <c r="AG138" s="184" t="str">
        <f>IFERROR(VLOOKUP(TableHandbook[[#This Row],[UDC]],TableGCNETSCM[],7,FALSE),"")</f>
        <v/>
      </c>
      <c r="AH138" s="183" t="str">
        <f>IFERROR(VLOOKUP(TableHandbook[[#This Row],[UDC]],TableMCINTRNS[],7,FALSE),"")</f>
        <v>Option</v>
      </c>
      <c r="AI138" s="118" t="str">
        <f>IFERROR(VLOOKUP(TableHandbook[[#This Row],[UDC]],TableGDINTRNS[],7,FALSE),"")</f>
        <v>Option</v>
      </c>
      <c r="AJ138" s="184" t="str">
        <f>IFERROR(VLOOKUP(TableHandbook[[#This Row],[UDC]],TableGCINTRNS[],7,FALSE),"")</f>
        <v>Option</v>
      </c>
    </row>
    <row r="139" spans="1:36" x14ac:dyDescent="0.25">
      <c r="A139" s="6" t="s">
        <v>304</v>
      </c>
      <c r="B139" s="7">
        <v>1</v>
      </c>
      <c r="C139" s="6"/>
      <c r="D139" s="6" t="s">
        <v>513</v>
      </c>
      <c r="E139" s="7">
        <v>25</v>
      </c>
      <c r="F139" s="186" t="s">
        <v>368</v>
      </c>
      <c r="G139" s="75" t="str">
        <f>IFERROR(IF(VLOOKUP(TableHandbook[[#This Row],[UDC]],TableAvailabilities[],2,FALSE)&gt;0,"Y",""),"")</f>
        <v>Y</v>
      </c>
      <c r="H139" s="116" t="str">
        <f>IFERROR(IF(VLOOKUP(TableHandbook[[#This Row],[UDC]],TableAvailabilities[],3,FALSE)&gt;0,"Y",""),"")</f>
        <v>Y</v>
      </c>
      <c r="I139" s="117" t="str">
        <f>IFERROR(IF(VLOOKUP(TableHandbook[[#This Row],[UDC]],TableAvailabilities[],4,FALSE)&gt;0,"Y",""),"")</f>
        <v/>
      </c>
      <c r="J139" s="76" t="str">
        <f>IFERROR(IF(VLOOKUP(TableHandbook[[#This Row],[UDC]],TableAvailabilities[],5,FALSE)&gt;0,"Y",""),"")</f>
        <v/>
      </c>
      <c r="K139" s="289"/>
      <c r="L139" s="183" t="str">
        <f>IFERROR(VLOOKUP(TableHandbook[[#This Row],[UDC]],TableMCARTS[],7,FALSE),"")</f>
        <v/>
      </c>
      <c r="M139" s="118" t="str">
        <f>IFERROR(VLOOKUP(TableHandbook[[#This Row],[UDC]],TableMJRPCWRIT[],7,FALSE),"")</f>
        <v/>
      </c>
      <c r="N139" s="118" t="str">
        <f>IFERROR(VLOOKUP(TableHandbook[[#This Row],[UDC]],TableMJRPFINAR[],7,FALSE),"")</f>
        <v/>
      </c>
      <c r="O139" s="118" t="str">
        <f>IFERROR(VLOOKUP(TableHandbook[[#This Row],[UDC]],TableMJRPPWRIT[],7,FALSE),"")</f>
        <v/>
      </c>
      <c r="P139" s="184" t="str">
        <f>IFERROR(VLOOKUP(TableHandbook[[#This Row],[UDC]],TableMJRPSCRAR[],7,FALSE),"")</f>
        <v/>
      </c>
      <c r="Q139" s="183" t="str">
        <f>IFERROR(VLOOKUP(TableHandbook[[#This Row],[UDC]],TableMCMMJRG[],7,FALSE),"")</f>
        <v/>
      </c>
      <c r="R139" s="118" t="str">
        <f>IFERROR(VLOOKUP(TableHandbook[[#This Row],[UDC]],TableMCMMJRN[],7,FALSE),"")</f>
        <v/>
      </c>
      <c r="S139" s="118" t="str">
        <f>IFERROR(VLOOKUP(TableHandbook[[#This Row],[UDC]],TableGDMMJRN[],7,FALSE),"")</f>
        <v/>
      </c>
      <c r="T139" s="184" t="str">
        <f>IFERROR(VLOOKUP(TableHandbook[[#This Row],[UDC]],TableGCMMJRN[],7,FALSE),"")</f>
        <v/>
      </c>
      <c r="U139" s="183" t="str">
        <f>IFERROR(VLOOKUP(TableHandbook[[#This Row],[UDC]],TableMCHRIGLO[],7,FALSE),"")</f>
        <v/>
      </c>
      <c r="V139" s="118" t="str">
        <f>IFERROR(VLOOKUP(TableHandbook[[#This Row],[UDC]],TableMCHRIGHT[],7,FALSE),"")</f>
        <v/>
      </c>
      <c r="W139" s="118" t="str">
        <f>IFERROR(VLOOKUP(TableHandbook[[#This Row],[UDC]],TableGDHRIGHT[],7,FALSE),"")</f>
        <v/>
      </c>
      <c r="X139" s="184" t="str">
        <f>IFERROR(VLOOKUP(TableHandbook[[#This Row],[UDC]],TableGCHRIGHT[],7,FALSE),"")</f>
        <v/>
      </c>
      <c r="Y139" s="183" t="str">
        <f>IFERROR(VLOOKUP(TableHandbook[[#This Row],[UDC]],TableMCGLOBL2[],7,FALSE),"")</f>
        <v/>
      </c>
      <c r="Z139" s="118" t="str">
        <f>IFERROR(VLOOKUP(TableHandbook[[#This Row],[UDC]],TableMCGLOBL[],7,FALSE),"")</f>
        <v/>
      </c>
      <c r="AA139" s="297" t="str">
        <f>IFERROR(VLOOKUP(TableHandbook[[#This Row],[UDC]],TableSTRPGLOBL[],7,FALSE),"")</f>
        <v/>
      </c>
      <c r="AB139" s="297" t="str">
        <f>IFERROR(VLOOKUP(TableHandbook[[#This Row],[UDC]],TableSTRPHRIGT[],7,FALSE),"")</f>
        <v/>
      </c>
      <c r="AC139" s="297" t="str">
        <f>IFERROR(VLOOKUP(TableHandbook[[#This Row],[UDC]],TableSTRPINTRN[],7,FALSE),"")</f>
        <v>AltCore</v>
      </c>
      <c r="AD139" s="184" t="str">
        <f>IFERROR(VLOOKUP(TableHandbook[[#This Row],[UDC]],TableGCGLOBL[],7,FALSE),"")</f>
        <v/>
      </c>
      <c r="AE139" s="183" t="str">
        <f>IFERROR(VLOOKUP(TableHandbook[[#This Row],[UDC]],TableMCNETSCM[],7,FALSE),"")</f>
        <v/>
      </c>
      <c r="AF139" s="118" t="str">
        <f>IFERROR(VLOOKUP(TableHandbook[[#This Row],[UDC]],TableGDNETSCM[],7,FALSE),"")</f>
        <v/>
      </c>
      <c r="AG139" s="184" t="str">
        <f>IFERROR(VLOOKUP(TableHandbook[[#This Row],[UDC]],TableGCNETSCM[],7,FALSE),"")</f>
        <v/>
      </c>
      <c r="AH139" s="183" t="str">
        <f>IFERROR(VLOOKUP(TableHandbook[[#This Row],[UDC]],TableMCINTRNS[],7,FALSE),"")</f>
        <v>AltCore</v>
      </c>
      <c r="AI139" s="118" t="str">
        <f>IFERROR(VLOOKUP(TableHandbook[[#This Row],[UDC]],TableGDINTRNS[],7,FALSE),"")</f>
        <v>AltCore</v>
      </c>
      <c r="AJ139" s="184" t="str">
        <f>IFERROR(VLOOKUP(TableHandbook[[#This Row],[UDC]],TableGCINTRNS[],7,FALSE),"")</f>
        <v>AltCore</v>
      </c>
    </row>
    <row r="140" spans="1:36" x14ac:dyDescent="0.25">
      <c r="A140" s="6" t="s">
        <v>278</v>
      </c>
      <c r="B140" s="7">
        <v>1</v>
      </c>
      <c r="C140" s="6"/>
      <c r="D140" s="6" t="s">
        <v>514</v>
      </c>
      <c r="E140" s="7">
        <v>25</v>
      </c>
      <c r="F140" s="186" t="s">
        <v>368</v>
      </c>
      <c r="G140" s="75" t="str">
        <f>IFERROR(IF(VLOOKUP(TableHandbook[[#This Row],[UDC]],TableAvailabilities[],2,FALSE)&gt;0,"Y",""),"")</f>
        <v/>
      </c>
      <c r="H140" s="116" t="str">
        <f>IFERROR(IF(VLOOKUP(TableHandbook[[#This Row],[UDC]],TableAvailabilities[],3,FALSE)&gt;0,"Y",""),"")</f>
        <v/>
      </c>
      <c r="I140" s="117" t="str">
        <f>IFERROR(IF(VLOOKUP(TableHandbook[[#This Row],[UDC]],TableAvailabilities[],4,FALSE)&gt;0,"Y",""),"")</f>
        <v>Y</v>
      </c>
      <c r="J140" s="76" t="str">
        <f>IFERROR(IF(VLOOKUP(TableHandbook[[#This Row],[UDC]],TableAvailabilities[],5,FALSE)&gt;0,"Y",""),"")</f>
        <v>Y</v>
      </c>
      <c r="K140" s="289"/>
      <c r="L140" s="183" t="str">
        <f>IFERROR(VLOOKUP(TableHandbook[[#This Row],[UDC]],TableMCARTS[],7,FALSE),"")</f>
        <v/>
      </c>
      <c r="M140" s="118" t="str">
        <f>IFERROR(VLOOKUP(TableHandbook[[#This Row],[UDC]],TableMJRPCWRIT[],7,FALSE),"")</f>
        <v/>
      </c>
      <c r="N140" s="118" t="str">
        <f>IFERROR(VLOOKUP(TableHandbook[[#This Row],[UDC]],TableMJRPFINAR[],7,FALSE),"")</f>
        <v/>
      </c>
      <c r="O140" s="118" t="str">
        <f>IFERROR(VLOOKUP(TableHandbook[[#This Row],[UDC]],TableMJRPPWRIT[],7,FALSE),"")</f>
        <v/>
      </c>
      <c r="P140" s="184" t="str">
        <f>IFERROR(VLOOKUP(TableHandbook[[#This Row],[UDC]],TableMJRPSCRAR[],7,FALSE),"")</f>
        <v/>
      </c>
      <c r="Q140" s="183" t="str">
        <f>IFERROR(VLOOKUP(TableHandbook[[#This Row],[UDC]],TableMCMMJRG[],7,FALSE),"")</f>
        <v>Option</v>
      </c>
      <c r="R140" s="118" t="str">
        <f>IFERROR(VLOOKUP(TableHandbook[[#This Row],[UDC]],TableMCMMJRN[],7,FALSE),"")</f>
        <v/>
      </c>
      <c r="S140" s="118" t="str">
        <f>IFERROR(VLOOKUP(TableHandbook[[#This Row],[UDC]],TableGDMMJRN[],7,FALSE),"")</f>
        <v/>
      </c>
      <c r="T140" s="184" t="str">
        <f>IFERROR(VLOOKUP(TableHandbook[[#This Row],[UDC]],TableGCMMJRN[],7,FALSE),"")</f>
        <v/>
      </c>
      <c r="U140" s="183" t="str">
        <f>IFERROR(VLOOKUP(TableHandbook[[#This Row],[UDC]],TableMCHRIGLO[],7,FALSE),"")</f>
        <v/>
      </c>
      <c r="V140" s="118" t="str">
        <f>IFERROR(VLOOKUP(TableHandbook[[#This Row],[UDC]],TableMCHRIGHT[],7,FALSE),"")</f>
        <v/>
      </c>
      <c r="W140" s="118" t="str">
        <f>IFERROR(VLOOKUP(TableHandbook[[#This Row],[UDC]],TableGDHRIGHT[],7,FALSE),"")</f>
        <v/>
      </c>
      <c r="X140" s="184" t="str">
        <f>IFERROR(VLOOKUP(TableHandbook[[#This Row],[UDC]],TableGCHRIGHT[],7,FALSE),"")</f>
        <v/>
      </c>
      <c r="Y140" s="183" t="str">
        <f>IFERROR(VLOOKUP(TableHandbook[[#This Row],[UDC]],TableMCGLOBL2[],7,FALSE),"")</f>
        <v/>
      </c>
      <c r="Z140" s="118" t="str">
        <f>IFERROR(VLOOKUP(TableHandbook[[#This Row],[UDC]],TableMCGLOBL[],7,FALSE),"")</f>
        <v/>
      </c>
      <c r="AA140" s="297" t="str">
        <f>IFERROR(VLOOKUP(TableHandbook[[#This Row],[UDC]],TableSTRPGLOBL[],7,FALSE),"")</f>
        <v/>
      </c>
      <c r="AB140" s="297" t="str">
        <f>IFERROR(VLOOKUP(TableHandbook[[#This Row],[UDC]],TableSTRPHRIGT[],7,FALSE),"")</f>
        <v/>
      </c>
      <c r="AC140" s="297" t="str">
        <f>IFERROR(VLOOKUP(TableHandbook[[#This Row],[UDC]],TableSTRPINTRN[],7,FALSE),"")</f>
        <v>Option</v>
      </c>
      <c r="AD140" s="184" t="str">
        <f>IFERROR(VLOOKUP(TableHandbook[[#This Row],[UDC]],TableGCGLOBL[],7,FALSE),"")</f>
        <v/>
      </c>
      <c r="AE140" s="183" t="str">
        <f>IFERROR(VLOOKUP(TableHandbook[[#This Row],[UDC]],TableMCNETSCM[],7,FALSE),"")</f>
        <v/>
      </c>
      <c r="AF140" s="118" t="str">
        <f>IFERROR(VLOOKUP(TableHandbook[[#This Row],[UDC]],TableGDNETSCM[],7,FALSE),"")</f>
        <v/>
      </c>
      <c r="AG140" s="184" t="str">
        <f>IFERROR(VLOOKUP(TableHandbook[[#This Row],[UDC]],TableGCNETSCM[],7,FALSE),"")</f>
        <v/>
      </c>
      <c r="AH140" s="183" t="str">
        <f>IFERROR(VLOOKUP(TableHandbook[[#This Row],[UDC]],TableMCINTRNS[],7,FALSE),"")</f>
        <v>Option</v>
      </c>
      <c r="AI140" s="118" t="str">
        <f>IFERROR(VLOOKUP(TableHandbook[[#This Row],[UDC]],TableGDINTRNS[],7,FALSE),"")</f>
        <v>Option</v>
      </c>
      <c r="AJ140" s="184" t="str">
        <f>IFERROR(VLOOKUP(TableHandbook[[#This Row],[UDC]],TableGCINTRNS[],7,FALSE),"")</f>
        <v>Option</v>
      </c>
    </row>
    <row r="141" spans="1:36" x14ac:dyDescent="0.25">
      <c r="A141" s="6" t="s">
        <v>203</v>
      </c>
      <c r="B141" s="7">
        <v>2</v>
      </c>
      <c r="C141" s="6"/>
      <c r="D141" s="6" t="s">
        <v>515</v>
      </c>
      <c r="E141" s="7">
        <v>25</v>
      </c>
      <c r="F141" s="186" t="s">
        <v>516</v>
      </c>
      <c r="G141" s="75" t="str">
        <f>IFERROR(IF(VLOOKUP(TableHandbook[[#This Row],[UDC]],TableAvailabilities[],2,FALSE)&gt;0,"Y",""),"")</f>
        <v>Y</v>
      </c>
      <c r="H141" s="116" t="str">
        <f>IFERROR(IF(VLOOKUP(TableHandbook[[#This Row],[UDC]],TableAvailabilities[],3,FALSE)&gt;0,"Y",""),"")</f>
        <v/>
      </c>
      <c r="I141" s="117" t="str">
        <f>IFERROR(IF(VLOOKUP(TableHandbook[[#This Row],[UDC]],TableAvailabilities[],4,FALSE)&gt;0,"Y",""),"")</f>
        <v/>
      </c>
      <c r="J141" s="76" t="str">
        <f>IFERROR(IF(VLOOKUP(TableHandbook[[#This Row],[UDC]],TableAvailabilities[],5,FALSE)&gt;0,"Y",""),"")</f>
        <v/>
      </c>
      <c r="K141" s="289" t="s">
        <v>462</v>
      </c>
      <c r="L141" s="183" t="str">
        <f>IFERROR(VLOOKUP(TableHandbook[[#This Row],[UDC]],TableMCARTS[],7,FALSE),"")</f>
        <v/>
      </c>
      <c r="M141" s="118" t="str">
        <f>IFERROR(VLOOKUP(TableHandbook[[#This Row],[UDC]],TableMJRPCWRIT[],7,FALSE),"")</f>
        <v/>
      </c>
      <c r="N141" s="118" t="str">
        <f>IFERROR(VLOOKUP(TableHandbook[[#This Row],[UDC]],TableMJRPFINAR[],7,FALSE),"")</f>
        <v/>
      </c>
      <c r="O141" s="118" t="str">
        <f>IFERROR(VLOOKUP(TableHandbook[[#This Row],[UDC]],TableMJRPPWRIT[],7,FALSE),"")</f>
        <v>Option</v>
      </c>
      <c r="P141" s="184" t="str">
        <f>IFERROR(VLOOKUP(TableHandbook[[#This Row],[UDC]],TableMJRPSCRAR[],7,FALSE),"")</f>
        <v/>
      </c>
      <c r="Q141" s="183" t="str">
        <f>IFERROR(VLOOKUP(TableHandbook[[#This Row],[UDC]],TableMCMMJRG[],7,FALSE),"")</f>
        <v/>
      </c>
      <c r="R141" s="118" t="str">
        <f>IFERROR(VLOOKUP(TableHandbook[[#This Row],[UDC]],TableMCMMJRN[],7,FALSE),"")</f>
        <v/>
      </c>
      <c r="S141" s="118" t="str">
        <f>IFERROR(VLOOKUP(TableHandbook[[#This Row],[UDC]],TableGDMMJRN[],7,FALSE),"")</f>
        <v/>
      </c>
      <c r="T141" s="184" t="str">
        <f>IFERROR(VLOOKUP(TableHandbook[[#This Row],[UDC]],TableGCMMJRN[],7,FALSE),"")</f>
        <v/>
      </c>
      <c r="U141" s="183" t="str">
        <f>IFERROR(VLOOKUP(TableHandbook[[#This Row],[UDC]],TableMCHRIGLO[],7,FALSE),"")</f>
        <v/>
      </c>
      <c r="V141" s="118" t="str">
        <f>IFERROR(VLOOKUP(TableHandbook[[#This Row],[UDC]],TableMCHRIGHT[],7,FALSE),"")</f>
        <v/>
      </c>
      <c r="W141" s="118" t="str">
        <f>IFERROR(VLOOKUP(TableHandbook[[#This Row],[UDC]],TableGDHRIGHT[],7,FALSE),"")</f>
        <v/>
      </c>
      <c r="X141" s="184" t="str">
        <f>IFERROR(VLOOKUP(TableHandbook[[#This Row],[UDC]],TableGCHRIGHT[],7,FALSE),"")</f>
        <v/>
      </c>
      <c r="Y141" s="183" t="str">
        <f>IFERROR(VLOOKUP(TableHandbook[[#This Row],[UDC]],TableMCGLOBL2[],7,FALSE),"")</f>
        <v/>
      </c>
      <c r="Z141" s="118" t="str">
        <f>IFERROR(VLOOKUP(TableHandbook[[#This Row],[UDC]],TableMCGLOBL[],7,FALSE),"")</f>
        <v/>
      </c>
      <c r="AA141" s="297" t="str">
        <f>IFERROR(VLOOKUP(TableHandbook[[#This Row],[UDC]],TableSTRPGLOBL[],7,FALSE),"")</f>
        <v/>
      </c>
      <c r="AB141" s="297" t="str">
        <f>IFERROR(VLOOKUP(TableHandbook[[#This Row],[UDC]],TableSTRPHRIGT[],7,FALSE),"")</f>
        <v/>
      </c>
      <c r="AC141" s="297" t="str">
        <f>IFERROR(VLOOKUP(TableHandbook[[#This Row],[UDC]],TableSTRPINTRN[],7,FALSE),"")</f>
        <v/>
      </c>
      <c r="AD141" s="184" t="str">
        <f>IFERROR(VLOOKUP(TableHandbook[[#This Row],[UDC]],TableGCGLOBL[],7,FALSE),"")</f>
        <v/>
      </c>
      <c r="AE141" s="183" t="str">
        <f>IFERROR(VLOOKUP(TableHandbook[[#This Row],[UDC]],TableMCNETSCM[],7,FALSE),"")</f>
        <v/>
      </c>
      <c r="AF141" s="118" t="str">
        <f>IFERROR(VLOOKUP(TableHandbook[[#This Row],[UDC]],TableGDNETSCM[],7,FALSE),"")</f>
        <v/>
      </c>
      <c r="AG141" s="184" t="str">
        <f>IFERROR(VLOOKUP(TableHandbook[[#This Row],[UDC]],TableGCNETSCM[],7,FALSE),"")</f>
        <v/>
      </c>
      <c r="AH141" s="183" t="str">
        <f>IFERROR(VLOOKUP(TableHandbook[[#This Row],[UDC]],TableMCINTRNS[],7,FALSE),"")</f>
        <v/>
      </c>
      <c r="AI141" s="118" t="str">
        <f>IFERROR(VLOOKUP(TableHandbook[[#This Row],[UDC]],TableGDINTRNS[],7,FALSE),"")</f>
        <v/>
      </c>
      <c r="AJ141" s="184" t="str">
        <f>IFERROR(VLOOKUP(TableHandbook[[#This Row],[UDC]],TableGCINTRNS[],7,FALSE),"")</f>
        <v/>
      </c>
    </row>
    <row r="142" spans="1:36" x14ac:dyDescent="0.25">
      <c r="A142" s="6" t="s">
        <v>517</v>
      </c>
      <c r="B142" s="7">
        <v>1</v>
      </c>
      <c r="C142" s="6"/>
      <c r="D142" s="6" t="s">
        <v>518</v>
      </c>
      <c r="E142" s="7">
        <v>25</v>
      </c>
      <c r="F142" s="186" t="s">
        <v>368</v>
      </c>
      <c r="G142" s="75" t="str">
        <f>IFERROR(IF(VLOOKUP(TableHandbook[[#This Row],[UDC]],TableAvailabilities[],2,FALSE)&gt;0,"Y",""),"")</f>
        <v/>
      </c>
      <c r="H142" s="116" t="str">
        <f>IFERROR(IF(VLOOKUP(TableHandbook[[#This Row],[UDC]],TableAvailabilities[],3,FALSE)&gt;0,"Y",""),"")</f>
        <v/>
      </c>
      <c r="I142" s="117" t="str">
        <f>IFERROR(IF(VLOOKUP(TableHandbook[[#This Row],[UDC]],TableAvailabilities[],4,FALSE)&gt;0,"Y",""),"")</f>
        <v/>
      </c>
      <c r="J142" s="76" t="str">
        <f>IFERROR(IF(VLOOKUP(TableHandbook[[#This Row],[UDC]],TableAvailabilities[],5,FALSE)&gt;0,"Y",""),"")</f>
        <v/>
      </c>
      <c r="K142" s="289" t="s">
        <v>375</v>
      </c>
      <c r="L142" s="183" t="str">
        <f>IFERROR(VLOOKUP(TableHandbook[[#This Row],[UDC]],TableMCARTS[],7,FALSE),"")</f>
        <v/>
      </c>
      <c r="M142" s="118" t="str">
        <f>IFERROR(VLOOKUP(TableHandbook[[#This Row],[UDC]],TableMJRPCWRIT[],7,FALSE),"")</f>
        <v/>
      </c>
      <c r="N142" s="118" t="str">
        <f>IFERROR(VLOOKUP(TableHandbook[[#This Row],[UDC]],TableMJRPFINAR[],7,FALSE),"")</f>
        <v/>
      </c>
      <c r="O142" s="118" t="str">
        <f>IFERROR(VLOOKUP(TableHandbook[[#This Row],[UDC]],TableMJRPPWRIT[],7,FALSE),"")</f>
        <v/>
      </c>
      <c r="P142" s="184" t="str">
        <f>IFERROR(VLOOKUP(TableHandbook[[#This Row],[UDC]],TableMJRPSCRAR[],7,FALSE),"")</f>
        <v/>
      </c>
      <c r="Q142" s="183" t="str">
        <f>IFERROR(VLOOKUP(TableHandbook[[#This Row],[UDC]],TableMCMMJRG[],7,FALSE),"")</f>
        <v/>
      </c>
      <c r="R142" s="118" t="str">
        <f>IFERROR(VLOOKUP(TableHandbook[[#This Row],[UDC]],TableMCMMJRN[],7,FALSE),"")</f>
        <v/>
      </c>
      <c r="S142" s="118" t="str">
        <f>IFERROR(VLOOKUP(TableHandbook[[#This Row],[UDC]],TableGDMMJRN[],7,FALSE),"")</f>
        <v/>
      </c>
      <c r="T142" s="184" t="str">
        <f>IFERROR(VLOOKUP(TableHandbook[[#This Row],[UDC]],TableGCMMJRN[],7,FALSE),"")</f>
        <v/>
      </c>
      <c r="U142" s="183" t="str">
        <f>IFERROR(VLOOKUP(TableHandbook[[#This Row],[UDC]],TableMCHRIGLO[],7,FALSE),"")</f>
        <v/>
      </c>
      <c r="V142" s="118" t="str">
        <f>IFERROR(VLOOKUP(TableHandbook[[#This Row],[UDC]],TableMCHRIGHT[],7,FALSE),"")</f>
        <v/>
      </c>
      <c r="W142" s="118" t="str">
        <f>IFERROR(VLOOKUP(TableHandbook[[#This Row],[UDC]],TableGDHRIGHT[],7,FALSE),"")</f>
        <v/>
      </c>
      <c r="X142" s="184" t="str">
        <f>IFERROR(VLOOKUP(TableHandbook[[#This Row],[UDC]],TableGCHRIGHT[],7,FALSE),"")</f>
        <v/>
      </c>
      <c r="Y142" s="183" t="str">
        <f>IFERROR(VLOOKUP(TableHandbook[[#This Row],[UDC]],TableMCGLOBL2[],7,FALSE),"")</f>
        <v/>
      </c>
      <c r="Z142" s="118" t="str">
        <f>IFERROR(VLOOKUP(TableHandbook[[#This Row],[UDC]],TableMCGLOBL[],7,FALSE),"")</f>
        <v/>
      </c>
      <c r="AA142" s="297" t="str">
        <f>IFERROR(VLOOKUP(TableHandbook[[#This Row],[UDC]],TableSTRPGLOBL[],7,FALSE),"")</f>
        <v/>
      </c>
      <c r="AB142" s="297" t="str">
        <f>IFERROR(VLOOKUP(TableHandbook[[#This Row],[UDC]],TableSTRPHRIGT[],7,FALSE),"")</f>
        <v/>
      </c>
      <c r="AC142" s="297" t="str">
        <f>IFERROR(VLOOKUP(TableHandbook[[#This Row],[UDC]],TableSTRPINTRN[],7,FALSE),"")</f>
        <v/>
      </c>
      <c r="AD142" s="184" t="str">
        <f>IFERROR(VLOOKUP(TableHandbook[[#This Row],[UDC]],TableGCGLOBL[],7,FALSE),"")</f>
        <v/>
      </c>
      <c r="AE142" s="183" t="str">
        <f>IFERROR(VLOOKUP(TableHandbook[[#This Row],[UDC]],TableMCNETSCM[],7,FALSE),"")</f>
        <v/>
      </c>
      <c r="AF142" s="118" t="str">
        <f>IFERROR(VLOOKUP(TableHandbook[[#This Row],[UDC]],TableGDNETSCM[],7,FALSE),"")</f>
        <v/>
      </c>
      <c r="AG142" s="184" t="str">
        <f>IFERROR(VLOOKUP(TableHandbook[[#This Row],[UDC]],TableGCNETSCM[],7,FALSE),"")</f>
        <v/>
      </c>
      <c r="AH142" s="183" t="str">
        <f>IFERROR(VLOOKUP(TableHandbook[[#This Row],[UDC]],TableMCINTRNS[],7,FALSE),"")</f>
        <v/>
      </c>
      <c r="AI142" s="118" t="str">
        <f>IFERROR(VLOOKUP(TableHandbook[[#This Row],[UDC]],TableGDINTRNS[],7,FALSE),"")</f>
        <v/>
      </c>
      <c r="AJ142" s="184" t="str">
        <f>IFERROR(VLOOKUP(TableHandbook[[#This Row],[UDC]],TableGCINTRNS[],7,FALSE),"")</f>
        <v/>
      </c>
    </row>
    <row r="143" spans="1:36" x14ac:dyDescent="0.25">
      <c r="A143" s="6" t="s">
        <v>519</v>
      </c>
      <c r="B143" s="7">
        <v>2</v>
      </c>
      <c r="C143" s="6"/>
      <c r="D143" s="6" t="s">
        <v>520</v>
      </c>
      <c r="E143" s="7">
        <v>25</v>
      </c>
      <c r="F143" s="186" t="s">
        <v>368</v>
      </c>
      <c r="G143" s="75" t="str">
        <f>IFERROR(IF(VLOOKUP(TableHandbook[[#This Row],[UDC]],TableAvailabilities[],2,FALSE)&gt;0,"Y",""),"")</f>
        <v/>
      </c>
      <c r="H143" s="116" t="str">
        <f>IFERROR(IF(VLOOKUP(TableHandbook[[#This Row],[UDC]],TableAvailabilities[],3,FALSE)&gt;0,"Y",""),"")</f>
        <v/>
      </c>
      <c r="I143" s="117" t="str">
        <f>IFERROR(IF(VLOOKUP(TableHandbook[[#This Row],[UDC]],TableAvailabilities[],4,FALSE)&gt;0,"Y",""),"")</f>
        <v/>
      </c>
      <c r="J143" s="76" t="str">
        <f>IFERROR(IF(VLOOKUP(TableHandbook[[#This Row],[UDC]],TableAvailabilities[],5,FALSE)&gt;0,"Y",""),"")</f>
        <v/>
      </c>
      <c r="K143" s="289" t="s">
        <v>420</v>
      </c>
      <c r="L143" s="183" t="str">
        <f>IFERROR(VLOOKUP(TableHandbook[[#This Row],[UDC]],TableMCARTS[],7,FALSE),"")</f>
        <v/>
      </c>
      <c r="M143" s="118" t="str">
        <f>IFERROR(VLOOKUP(TableHandbook[[#This Row],[UDC]],TableMJRPCWRIT[],7,FALSE),"")</f>
        <v/>
      </c>
      <c r="N143" s="118" t="str">
        <f>IFERROR(VLOOKUP(TableHandbook[[#This Row],[UDC]],TableMJRPFINAR[],7,FALSE),"")</f>
        <v/>
      </c>
      <c r="O143" s="118" t="str">
        <f>IFERROR(VLOOKUP(TableHandbook[[#This Row],[UDC]],TableMJRPPWRIT[],7,FALSE),"")</f>
        <v/>
      </c>
      <c r="P143" s="184" t="str">
        <f>IFERROR(VLOOKUP(TableHandbook[[#This Row],[UDC]],TableMJRPSCRAR[],7,FALSE),"")</f>
        <v/>
      </c>
      <c r="Q143" s="183" t="str">
        <f>IFERROR(VLOOKUP(TableHandbook[[#This Row],[UDC]],TableMCMMJRG[],7,FALSE),"")</f>
        <v/>
      </c>
      <c r="R143" s="118" t="str">
        <f>IFERROR(VLOOKUP(TableHandbook[[#This Row],[UDC]],TableMCMMJRN[],7,FALSE),"")</f>
        <v/>
      </c>
      <c r="S143" s="118" t="str">
        <f>IFERROR(VLOOKUP(TableHandbook[[#This Row],[UDC]],TableGDMMJRN[],7,FALSE),"")</f>
        <v/>
      </c>
      <c r="T143" s="184" t="str">
        <f>IFERROR(VLOOKUP(TableHandbook[[#This Row],[UDC]],TableGCMMJRN[],7,FALSE),"")</f>
        <v/>
      </c>
      <c r="U143" s="183" t="str">
        <f>IFERROR(VLOOKUP(TableHandbook[[#This Row],[UDC]],TableMCHRIGLO[],7,FALSE),"")</f>
        <v/>
      </c>
      <c r="V143" s="118" t="str">
        <f>IFERROR(VLOOKUP(TableHandbook[[#This Row],[UDC]],TableMCHRIGHT[],7,FALSE),"")</f>
        <v/>
      </c>
      <c r="W143" s="118" t="str">
        <f>IFERROR(VLOOKUP(TableHandbook[[#This Row],[UDC]],TableGDHRIGHT[],7,FALSE),"")</f>
        <v/>
      </c>
      <c r="X143" s="184" t="str">
        <f>IFERROR(VLOOKUP(TableHandbook[[#This Row],[UDC]],TableGCHRIGHT[],7,FALSE),"")</f>
        <v/>
      </c>
      <c r="Y143" s="183" t="str">
        <f>IFERROR(VLOOKUP(TableHandbook[[#This Row],[UDC]],TableMCGLOBL2[],7,FALSE),"")</f>
        <v/>
      </c>
      <c r="Z143" s="118" t="str">
        <f>IFERROR(VLOOKUP(TableHandbook[[#This Row],[UDC]],TableMCGLOBL[],7,FALSE),"")</f>
        <v/>
      </c>
      <c r="AA143" s="297" t="str">
        <f>IFERROR(VLOOKUP(TableHandbook[[#This Row],[UDC]],TableSTRPGLOBL[],7,FALSE),"")</f>
        <v/>
      </c>
      <c r="AB143" s="297" t="str">
        <f>IFERROR(VLOOKUP(TableHandbook[[#This Row],[UDC]],TableSTRPHRIGT[],7,FALSE),"")</f>
        <v/>
      </c>
      <c r="AC143" s="297" t="str">
        <f>IFERROR(VLOOKUP(TableHandbook[[#This Row],[UDC]],TableSTRPINTRN[],7,FALSE),"")</f>
        <v/>
      </c>
      <c r="AD143" s="184" t="str">
        <f>IFERROR(VLOOKUP(TableHandbook[[#This Row],[UDC]],TableGCGLOBL[],7,FALSE),"")</f>
        <v/>
      </c>
      <c r="AE143" s="183" t="str">
        <f>IFERROR(VLOOKUP(TableHandbook[[#This Row],[UDC]],TableMCNETSCM[],7,FALSE),"")</f>
        <v/>
      </c>
      <c r="AF143" s="118" t="str">
        <f>IFERROR(VLOOKUP(TableHandbook[[#This Row],[UDC]],TableGDNETSCM[],7,FALSE),"")</f>
        <v/>
      </c>
      <c r="AG143" s="184" t="str">
        <f>IFERROR(VLOOKUP(TableHandbook[[#This Row],[UDC]],TableGCNETSCM[],7,FALSE),"")</f>
        <v/>
      </c>
      <c r="AH143" s="183" t="str">
        <f>IFERROR(VLOOKUP(TableHandbook[[#This Row],[UDC]],TableMCINTRNS[],7,FALSE),"")</f>
        <v/>
      </c>
      <c r="AI143" s="118" t="str">
        <f>IFERROR(VLOOKUP(TableHandbook[[#This Row],[UDC]],TableGDINTRNS[],7,FALSE),"")</f>
        <v/>
      </c>
      <c r="AJ143" s="184" t="str">
        <f>IFERROR(VLOOKUP(TableHandbook[[#This Row],[UDC]],TableGCINTRNS[],7,FALSE),"")</f>
        <v/>
      </c>
    </row>
    <row r="144" spans="1:36" x14ac:dyDescent="0.25">
      <c r="A144" s="6" t="s">
        <v>169</v>
      </c>
      <c r="B144" s="7">
        <v>2</v>
      </c>
      <c r="C144" s="6"/>
      <c r="D144" s="6" t="s">
        <v>521</v>
      </c>
      <c r="E144" s="7">
        <v>25</v>
      </c>
      <c r="F144" s="186" t="s">
        <v>368</v>
      </c>
      <c r="G144" s="75" t="str">
        <f>IFERROR(IF(VLOOKUP(TableHandbook[[#This Row],[UDC]],TableAvailabilities[],2,FALSE)&gt;0,"Y",""),"")</f>
        <v>Y</v>
      </c>
      <c r="H144" s="116" t="str">
        <f>IFERROR(IF(VLOOKUP(TableHandbook[[#This Row],[UDC]],TableAvailabilities[],3,FALSE)&gt;0,"Y",""),"")</f>
        <v/>
      </c>
      <c r="I144" s="117" t="str">
        <f>IFERROR(IF(VLOOKUP(TableHandbook[[#This Row],[UDC]],TableAvailabilities[],4,FALSE)&gt;0,"Y",""),"")</f>
        <v/>
      </c>
      <c r="J144" s="76" t="str">
        <f>IFERROR(IF(VLOOKUP(TableHandbook[[#This Row],[UDC]],TableAvailabilities[],5,FALSE)&gt;0,"Y",""),"")</f>
        <v/>
      </c>
      <c r="K144" s="289" t="s">
        <v>371</v>
      </c>
      <c r="L144" s="183" t="str">
        <f>IFERROR(VLOOKUP(TableHandbook[[#This Row],[UDC]],TableMCARTS[],7,FALSE),"")</f>
        <v/>
      </c>
      <c r="M144" s="118" t="str">
        <f>IFERROR(VLOOKUP(TableHandbook[[#This Row],[UDC]],TableMJRPCWRIT[],7,FALSE),"")</f>
        <v/>
      </c>
      <c r="N144" s="118" t="str">
        <f>IFERROR(VLOOKUP(TableHandbook[[#This Row],[UDC]],TableMJRPFINAR[],7,FALSE),"")</f>
        <v/>
      </c>
      <c r="O144" s="118" t="str">
        <f>IFERROR(VLOOKUP(TableHandbook[[#This Row],[UDC]],TableMJRPPWRIT[],7,FALSE),"")</f>
        <v>Option</v>
      </c>
      <c r="P144" s="184" t="str">
        <f>IFERROR(VLOOKUP(TableHandbook[[#This Row],[UDC]],TableMJRPSCRAR[],7,FALSE),"")</f>
        <v/>
      </c>
      <c r="Q144" s="183" t="str">
        <f>IFERROR(VLOOKUP(TableHandbook[[#This Row],[UDC]],TableMCMMJRG[],7,FALSE),"")</f>
        <v/>
      </c>
      <c r="R144" s="118" t="str">
        <f>IFERROR(VLOOKUP(TableHandbook[[#This Row],[UDC]],TableMCMMJRN[],7,FALSE),"")</f>
        <v/>
      </c>
      <c r="S144" s="118" t="str">
        <f>IFERROR(VLOOKUP(TableHandbook[[#This Row],[UDC]],TableGDMMJRN[],7,FALSE),"")</f>
        <v/>
      </c>
      <c r="T144" s="184" t="str">
        <f>IFERROR(VLOOKUP(TableHandbook[[#This Row],[UDC]],TableGCMMJRN[],7,FALSE),"")</f>
        <v/>
      </c>
      <c r="U144" s="183" t="str">
        <f>IFERROR(VLOOKUP(TableHandbook[[#This Row],[UDC]],TableMCHRIGLO[],7,FALSE),"")</f>
        <v/>
      </c>
      <c r="V144" s="118" t="str">
        <f>IFERROR(VLOOKUP(TableHandbook[[#This Row],[UDC]],TableMCHRIGHT[],7,FALSE),"")</f>
        <v/>
      </c>
      <c r="W144" s="118" t="str">
        <f>IFERROR(VLOOKUP(TableHandbook[[#This Row],[UDC]],TableGDHRIGHT[],7,FALSE),"")</f>
        <v/>
      </c>
      <c r="X144" s="184" t="str">
        <f>IFERROR(VLOOKUP(TableHandbook[[#This Row],[UDC]],TableGCHRIGHT[],7,FALSE),"")</f>
        <v/>
      </c>
      <c r="Y144" s="183" t="str">
        <f>IFERROR(VLOOKUP(TableHandbook[[#This Row],[UDC]],TableMCGLOBL2[],7,FALSE),"")</f>
        <v/>
      </c>
      <c r="Z144" s="118" t="str">
        <f>IFERROR(VLOOKUP(TableHandbook[[#This Row],[UDC]],TableMCGLOBL[],7,FALSE),"")</f>
        <v/>
      </c>
      <c r="AA144" s="297" t="str">
        <f>IFERROR(VLOOKUP(TableHandbook[[#This Row],[UDC]],TableSTRPGLOBL[],7,FALSE),"")</f>
        <v/>
      </c>
      <c r="AB144" s="297" t="str">
        <f>IFERROR(VLOOKUP(TableHandbook[[#This Row],[UDC]],TableSTRPHRIGT[],7,FALSE),"")</f>
        <v/>
      </c>
      <c r="AC144" s="297" t="str">
        <f>IFERROR(VLOOKUP(TableHandbook[[#This Row],[UDC]],TableSTRPINTRN[],7,FALSE),"")</f>
        <v/>
      </c>
      <c r="AD144" s="184" t="str">
        <f>IFERROR(VLOOKUP(TableHandbook[[#This Row],[UDC]],TableGCGLOBL[],7,FALSE),"")</f>
        <v/>
      </c>
      <c r="AE144" s="183" t="str">
        <f>IFERROR(VLOOKUP(TableHandbook[[#This Row],[UDC]],TableMCNETSCM[],7,FALSE),"")</f>
        <v/>
      </c>
      <c r="AF144" s="118" t="str">
        <f>IFERROR(VLOOKUP(TableHandbook[[#This Row],[UDC]],TableGDNETSCM[],7,FALSE),"")</f>
        <v/>
      </c>
      <c r="AG144" s="184" t="str">
        <f>IFERROR(VLOOKUP(TableHandbook[[#This Row],[UDC]],TableGCNETSCM[],7,FALSE),"")</f>
        <v/>
      </c>
      <c r="AH144" s="183" t="str">
        <f>IFERROR(VLOOKUP(TableHandbook[[#This Row],[UDC]],TableMCINTRNS[],7,FALSE),"")</f>
        <v/>
      </c>
      <c r="AI144" s="118" t="str">
        <f>IFERROR(VLOOKUP(TableHandbook[[#This Row],[UDC]],TableGDINTRNS[],7,FALSE),"")</f>
        <v/>
      </c>
      <c r="AJ144" s="184" t="str">
        <f>IFERROR(VLOOKUP(TableHandbook[[#This Row],[UDC]],TableGCINTRNS[],7,FALSE),"")</f>
        <v/>
      </c>
    </row>
    <row r="145" spans="1:36" x14ac:dyDescent="0.25">
      <c r="A145" s="6" t="s">
        <v>522</v>
      </c>
      <c r="B145" s="7">
        <v>1</v>
      </c>
      <c r="C145" s="6"/>
      <c r="D145" s="6" t="s">
        <v>523</v>
      </c>
      <c r="E145" s="7">
        <v>25</v>
      </c>
      <c r="F145" s="186" t="s">
        <v>368</v>
      </c>
      <c r="G145" s="75" t="str">
        <f>IFERROR(IF(VLOOKUP(TableHandbook[[#This Row],[UDC]],TableAvailabilities[],2,FALSE)&gt;0,"Y",""),"")</f>
        <v/>
      </c>
      <c r="H145" s="116" t="str">
        <f>IFERROR(IF(VLOOKUP(TableHandbook[[#This Row],[UDC]],TableAvailabilities[],3,FALSE)&gt;0,"Y",""),"")</f>
        <v/>
      </c>
      <c r="I145" s="117" t="str">
        <f>IFERROR(IF(VLOOKUP(TableHandbook[[#This Row],[UDC]],TableAvailabilities[],4,FALSE)&gt;0,"Y",""),"")</f>
        <v/>
      </c>
      <c r="J145" s="76" t="str">
        <f>IFERROR(IF(VLOOKUP(TableHandbook[[#This Row],[UDC]],TableAvailabilities[],5,FALSE)&gt;0,"Y",""),"")</f>
        <v/>
      </c>
      <c r="K145" s="289" t="s">
        <v>375</v>
      </c>
      <c r="L145" s="183" t="str">
        <f>IFERROR(VLOOKUP(TableHandbook[[#This Row],[UDC]],TableMCARTS[],7,FALSE),"")</f>
        <v/>
      </c>
      <c r="M145" s="118" t="str">
        <f>IFERROR(VLOOKUP(TableHandbook[[#This Row],[UDC]],TableMJRPCWRIT[],7,FALSE),"")</f>
        <v/>
      </c>
      <c r="N145" s="118" t="str">
        <f>IFERROR(VLOOKUP(TableHandbook[[#This Row],[UDC]],TableMJRPFINAR[],7,FALSE),"")</f>
        <v/>
      </c>
      <c r="O145" s="118" t="str">
        <f>IFERROR(VLOOKUP(TableHandbook[[#This Row],[UDC]],TableMJRPPWRIT[],7,FALSE),"")</f>
        <v/>
      </c>
      <c r="P145" s="184" t="str">
        <f>IFERROR(VLOOKUP(TableHandbook[[#This Row],[UDC]],TableMJRPSCRAR[],7,FALSE),"")</f>
        <v/>
      </c>
      <c r="Q145" s="183" t="str">
        <f>IFERROR(VLOOKUP(TableHandbook[[#This Row],[UDC]],TableMCMMJRG[],7,FALSE),"")</f>
        <v/>
      </c>
      <c r="R145" s="118" t="str">
        <f>IFERROR(VLOOKUP(TableHandbook[[#This Row],[UDC]],TableMCMMJRN[],7,FALSE),"")</f>
        <v/>
      </c>
      <c r="S145" s="118" t="str">
        <f>IFERROR(VLOOKUP(TableHandbook[[#This Row],[UDC]],TableGDMMJRN[],7,FALSE),"")</f>
        <v/>
      </c>
      <c r="T145" s="184" t="str">
        <f>IFERROR(VLOOKUP(TableHandbook[[#This Row],[UDC]],TableGCMMJRN[],7,FALSE),"")</f>
        <v/>
      </c>
      <c r="U145" s="183" t="str">
        <f>IFERROR(VLOOKUP(TableHandbook[[#This Row],[UDC]],TableMCHRIGLO[],7,FALSE),"")</f>
        <v/>
      </c>
      <c r="V145" s="118" t="str">
        <f>IFERROR(VLOOKUP(TableHandbook[[#This Row],[UDC]],TableMCHRIGHT[],7,FALSE),"")</f>
        <v/>
      </c>
      <c r="W145" s="118" t="str">
        <f>IFERROR(VLOOKUP(TableHandbook[[#This Row],[UDC]],TableGDHRIGHT[],7,FALSE),"")</f>
        <v/>
      </c>
      <c r="X145" s="184" t="str">
        <f>IFERROR(VLOOKUP(TableHandbook[[#This Row],[UDC]],TableGCHRIGHT[],7,FALSE),"")</f>
        <v/>
      </c>
      <c r="Y145" s="183" t="str">
        <f>IFERROR(VLOOKUP(TableHandbook[[#This Row],[UDC]],TableMCGLOBL2[],7,FALSE),"")</f>
        <v/>
      </c>
      <c r="Z145" s="118" t="str">
        <f>IFERROR(VLOOKUP(TableHandbook[[#This Row],[UDC]],TableMCGLOBL[],7,FALSE),"")</f>
        <v/>
      </c>
      <c r="AA145" s="297" t="str">
        <f>IFERROR(VLOOKUP(TableHandbook[[#This Row],[UDC]],TableSTRPGLOBL[],7,FALSE),"")</f>
        <v/>
      </c>
      <c r="AB145" s="297" t="str">
        <f>IFERROR(VLOOKUP(TableHandbook[[#This Row],[UDC]],TableSTRPHRIGT[],7,FALSE),"")</f>
        <v/>
      </c>
      <c r="AC145" s="297" t="str">
        <f>IFERROR(VLOOKUP(TableHandbook[[#This Row],[UDC]],TableSTRPINTRN[],7,FALSE),"")</f>
        <v/>
      </c>
      <c r="AD145" s="184" t="str">
        <f>IFERROR(VLOOKUP(TableHandbook[[#This Row],[UDC]],TableGCGLOBL[],7,FALSE),"")</f>
        <v/>
      </c>
      <c r="AE145" s="183" t="str">
        <f>IFERROR(VLOOKUP(TableHandbook[[#This Row],[UDC]],TableMCNETSCM[],7,FALSE),"")</f>
        <v/>
      </c>
      <c r="AF145" s="118" t="str">
        <f>IFERROR(VLOOKUP(TableHandbook[[#This Row],[UDC]],TableGDNETSCM[],7,FALSE),"")</f>
        <v/>
      </c>
      <c r="AG145" s="184" t="str">
        <f>IFERROR(VLOOKUP(TableHandbook[[#This Row],[UDC]],TableGCNETSCM[],7,FALSE),"")</f>
        <v/>
      </c>
      <c r="AH145" s="183" t="str">
        <f>IFERROR(VLOOKUP(TableHandbook[[#This Row],[UDC]],TableMCINTRNS[],7,FALSE),"")</f>
        <v/>
      </c>
      <c r="AI145" s="118" t="str">
        <f>IFERROR(VLOOKUP(TableHandbook[[#This Row],[UDC]],TableGDINTRNS[],7,FALSE),"")</f>
        <v/>
      </c>
      <c r="AJ145" s="184" t="str">
        <f>IFERROR(VLOOKUP(TableHandbook[[#This Row],[UDC]],TableGCINTRNS[],7,FALSE),"")</f>
        <v/>
      </c>
    </row>
    <row r="146" spans="1:36" x14ac:dyDescent="0.25">
      <c r="A146" s="6" t="s">
        <v>204</v>
      </c>
      <c r="B146" s="7">
        <v>2</v>
      </c>
      <c r="C146" s="6"/>
      <c r="D146" s="6" t="s">
        <v>524</v>
      </c>
      <c r="E146" s="7">
        <v>25</v>
      </c>
      <c r="F146" s="186" t="s">
        <v>525</v>
      </c>
      <c r="G146" s="75" t="str">
        <f>IFERROR(IF(VLOOKUP(TableHandbook[[#This Row],[UDC]],TableAvailabilities[],2,FALSE)&gt;0,"Y",""),"")</f>
        <v/>
      </c>
      <c r="H146" s="116" t="str">
        <f>IFERROR(IF(VLOOKUP(TableHandbook[[#This Row],[UDC]],TableAvailabilities[],3,FALSE)&gt;0,"Y",""),"")</f>
        <v/>
      </c>
      <c r="I146" s="117" t="str">
        <f>IFERROR(IF(VLOOKUP(TableHandbook[[#This Row],[UDC]],TableAvailabilities[],4,FALSE)&gt;0,"Y",""),"")</f>
        <v>Y</v>
      </c>
      <c r="J146" s="76" t="str">
        <f>IFERROR(IF(VLOOKUP(TableHandbook[[#This Row],[UDC]],TableAvailabilities[],5,FALSE)&gt;0,"Y",""),"")</f>
        <v/>
      </c>
      <c r="K146" s="289" t="s">
        <v>526</v>
      </c>
      <c r="L146" s="183" t="str">
        <f>IFERROR(VLOOKUP(TableHandbook[[#This Row],[UDC]],TableMCARTS[],7,FALSE),"")</f>
        <v/>
      </c>
      <c r="M146" s="118" t="str">
        <f>IFERROR(VLOOKUP(TableHandbook[[#This Row],[UDC]],TableMJRPCWRIT[],7,FALSE),"")</f>
        <v/>
      </c>
      <c r="N146" s="118" t="str">
        <f>IFERROR(VLOOKUP(TableHandbook[[#This Row],[UDC]],TableMJRPFINAR[],7,FALSE),"")</f>
        <v/>
      </c>
      <c r="O146" s="118" t="str">
        <f>IFERROR(VLOOKUP(TableHandbook[[#This Row],[UDC]],TableMJRPPWRIT[],7,FALSE),"")</f>
        <v>Option</v>
      </c>
      <c r="P146" s="184" t="str">
        <f>IFERROR(VLOOKUP(TableHandbook[[#This Row],[UDC]],TableMJRPSCRAR[],7,FALSE),"")</f>
        <v/>
      </c>
      <c r="Q146" s="183" t="str">
        <f>IFERROR(VLOOKUP(TableHandbook[[#This Row],[UDC]],TableMCMMJRG[],7,FALSE),"")</f>
        <v/>
      </c>
      <c r="R146" s="118" t="str">
        <f>IFERROR(VLOOKUP(TableHandbook[[#This Row],[UDC]],TableMCMMJRN[],7,FALSE),"")</f>
        <v/>
      </c>
      <c r="S146" s="118" t="str">
        <f>IFERROR(VLOOKUP(TableHandbook[[#This Row],[UDC]],TableGDMMJRN[],7,FALSE),"")</f>
        <v/>
      </c>
      <c r="T146" s="184" t="str">
        <f>IFERROR(VLOOKUP(TableHandbook[[#This Row],[UDC]],TableGCMMJRN[],7,FALSE),"")</f>
        <v/>
      </c>
      <c r="U146" s="183" t="str">
        <f>IFERROR(VLOOKUP(TableHandbook[[#This Row],[UDC]],TableMCHRIGLO[],7,FALSE),"")</f>
        <v/>
      </c>
      <c r="V146" s="118" t="str">
        <f>IFERROR(VLOOKUP(TableHandbook[[#This Row],[UDC]],TableMCHRIGHT[],7,FALSE),"")</f>
        <v/>
      </c>
      <c r="W146" s="118" t="str">
        <f>IFERROR(VLOOKUP(TableHandbook[[#This Row],[UDC]],TableGDHRIGHT[],7,FALSE),"")</f>
        <v/>
      </c>
      <c r="X146" s="184" t="str">
        <f>IFERROR(VLOOKUP(TableHandbook[[#This Row],[UDC]],TableGCHRIGHT[],7,FALSE),"")</f>
        <v/>
      </c>
      <c r="Y146" s="183" t="str">
        <f>IFERROR(VLOOKUP(TableHandbook[[#This Row],[UDC]],TableMCGLOBL2[],7,FALSE),"")</f>
        <v/>
      </c>
      <c r="Z146" s="118" t="str">
        <f>IFERROR(VLOOKUP(TableHandbook[[#This Row],[UDC]],TableMCGLOBL[],7,FALSE),"")</f>
        <v/>
      </c>
      <c r="AA146" s="297" t="str">
        <f>IFERROR(VLOOKUP(TableHandbook[[#This Row],[UDC]],TableSTRPGLOBL[],7,FALSE),"")</f>
        <v/>
      </c>
      <c r="AB146" s="297" t="str">
        <f>IFERROR(VLOOKUP(TableHandbook[[#This Row],[UDC]],TableSTRPHRIGT[],7,FALSE),"")</f>
        <v/>
      </c>
      <c r="AC146" s="297" t="str">
        <f>IFERROR(VLOOKUP(TableHandbook[[#This Row],[UDC]],TableSTRPINTRN[],7,FALSE),"")</f>
        <v/>
      </c>
      <c r="AD146" s="184" t="str">
        <f>IFERROR(VLOOKUP(TableHandbook[[#This Row],[UDC]],TableGCGLOBL[],7,FALSE),"")</f>
        <v/>
      </c>
      <c r="AE146" s="183" t="str">
        <f>IFERROR(VLOOKUP(TableHandbook[[#This Row],[UDC]],TableMCNETSCM[],7,FALSE),"")</f>
        <v/>
      </c>
      <c r="AF146" s="118" t="str">
        <f>IFERROR(VLOOKUP(TableHandbook[[#This Row],[UDC]],TableGDNETSCM[],7,FALSE),"")</f>
        <v/>
      </c>
      <c r="AG146" s="184" t="str">
        <f>IFERROR(VLOOKUP(TableHandbook[[#This Row],[UDC]],TableGCNETSCM[],7,FALSE),"")</f>
        <v/>
      </c>
      <c r="AH146" s="183" t="str">
        <f>IFERROR(VLOOKUP(TableHandbook[[#This Row],[UDC]],TableMCINTRNS[],7,FALSE),"")</f>
        <v/>
      </c>
      <c r="AI146" s="118" t="str">
        <f>IFERROR(VLOOKUP(TableHandbook[[#This Row],[UDC]],TableGDINTRNS[],7,FALSE),"")</f>
        <v/>
      </c>
      <c r="AJ146" s="184" t="str">
        <f>IFERROR(VLOOKUP(TableHandbook[[#This Row],[UDC]],TableGCINTRNS[],7,FALSE),"")</f>
        <v/>
      </c>
    </row>
    <row r="147" spans="1:36" x14ac:dyDescent="0.25">
      <c r="A147" s="6" t="s">
        <v>527</v>
      </c>
      <c r="B147" s="7">
        <v>1</v>
      </c>
      <c r="C147" s="6"/>
      <c r="D147" s="6" t="s">
        <v>528</v>
      </c>
      <c r="E147" s="7">
        <v>25</v>
      </c>
      <c r="F147" s="186" t="s">
        <v>169</v>
      </c>
      <c r="G147" s="75" t="str">
        <f>IFERROR(IF(VLOOKUP(TableHandbook[[#This Row],[UDC]],TableAvailabilities[],2,FALSE)&gt;0,"Y",""),"")</f>
        <v/>
      </c>
      <c r="H147" s="116" t="str">
        <f>IFERROR(IF(VLOOKUP(TableHandbook[[#This Row],[UDC]],TableAvailabilities[],3,FALSE)&gt;0,"Y",""),"")</f>
        <v/>
      </c>
      <c r="I147" s="117" t="str">
        <f>IFERROR(IF(VLOOKUP(TableHandbook[[#This Row],[UDC]],TableAvailabilities[],4,FALSE)&gt;0,"Y",""),"")</f>
        <v/>
      </c>
      <c r="J147" s="76" t="str">
        <f>IFERROR(IF(VLOOKUP(TableHandbook[[#This Row],[UDC]],TableAvailabilities[],5,FALSE)&gt;0,"Y",""),"")</f>
        <v/>
      </c>
      <c r="K147" s="289" t="s">
        <v>375</v>
      </c>
      <c r="L147" s="183" t="str">
        <f>IFERROR(VLOOKUP(TableHandbook[[#This Row],[UDC]],TableMCARTS[],7,FALSE),"")</f>
        <v/>
      </c>
      <c r="M147" s="118" t="str">
        <f>IFERROR(VLOOKUP(TableHandbook[[#This Row],[UDC]],TableMJRPCWRIT[],7,FALSE),"")</f>
        <v/>
      </c>
      <c r="N147" s="118" t="str">
        <f>IFERROR(VLOOKUP(TableHandbook[[#This Row],[UDC]],TableMJRPFINAR[],7,FALSE),"")</f>
        <v/>
      </c>
      <c r="O147" s="118" t="str">
        <f>IFERROR(VLOOKUP(TableHandbook[[#This Row],[UDC]],TableMJRPPWRIT[],7,FALSE),"")</f>
        <v/>
      </c>
      <c r="P147" s="184" t="str">
        <f>IFERROR(VLOOKUP(TableHandbook[[#This Row],[UDC]],TableMJRPSCRAR[],7,FALSE),"")</f>
        <v/>
      </c>
      <c r="Q147" s="183" t="str">
        <f>IFERROR(VLOOKUP(TableHandbook[[#This Row],[UDC]],TableMCMMJRG[],7,FALSE),"")</f>
        <v/>
      </c>
      <c r="R147" s="118" t="str">
        <f>IFERROR(VLOOKUP(TableHandbook[[#This Row],[UDC]],TableMCMMJRN[],7,FALSE),"")</f>
        <v/>
      </c>
      <c r="S147" s="118" t="str">
        <f>IFERROR(VLOOKUP(TableHandbook[[#This Row],[UDC]],TableGDMMJRN[],7,FALSE),"")</f>
        <v/>
      </c>
      <c r="T147" s="184" t="str">
        <f>IFERROR(VLOOKUP(TableHandbook[[#This Row],[UDC]],TableGCMMJRN[],7,FALSE),"")</f>
        <v/>
      </c>
      <c r="U147" s="183" t="str">
        <f>IFERROR(VLOOKUP(TableHandbook[[#This Row],[UDC]],TableMCHRIGLO[],7,FALSE),"")</f>
        <v/>
      </c>
      <c r="V147" s="118" t="str">
        <f>IFERROR(VLOOKUP(TableHandbook[[#This Row],[UDC]],TableMCHRIGHT[],7,FALSE),"")</f>
        <v/>
      </c>
      <c r="W147" s="118" t="str">
        <f>IFERROR(VLOOKUP(TableHandbook[[#This Row],[UDC]],TableGDHRIGHT[],7,FALSE),"")</f>
        <v/>
      </c>
      <c r="X147" s="184" t="str">
        <f>IFERROR(VLOOKUP(TableHandbook[[#This Row],[UDC]],TableGCHRIGHT[],7,FALSE),"")</f>
        <v/>
      </c>
      <c r="Y147" s="183" t="str">
        <f>IFERROR(VLOOKUP(TableHandbook[[#This Row],[UDC]],TableMCGLOBL2[],7,FALSE),"")</f>
        <v/>
      </c>
      <c r="Z147" s="118" t="str">
        <f>IFERROR(VLOOKUP(TableHandbook[[#This Row],[UDC]],TableMCGLOBL[],7,FALSE),"")</f>
        <v/>
      </c>
      <c r="AA147" s="297" t="str">
        <f>IFERROR(VLOOKUP(TableHandbook[[#This Row],[UDC]],TableSTRPGLOBL[],7,FALSE),"")</f>
        <v/>
      </c>
      <c r="AB147" s="297" t="str">
        <f>IFERROR(VLOOKUP(TableHandbook[[#This Row],[UDC]],TableSTRPHRIGT[],7,FALSE),"")</f>
        <v/>
      </c>
      <c r="AC147" s="297" t="str">
        <f>IFERROR(VLOOKUP(TableHandbook[[#This Row],[UDC]],TableSTRPINTRN[],7,FALSE),"")</f>
        <v/>
      </c>
      <c r="AD147" s="184" t="str">
        <f>IFERROR(VLOOKUP(TableHandbook[[#This Row],[UDC]],TableGCGLOBL[],7,FALSE),"")</f>
        <v/>
      </c>
      <c r="AE147" s="183" t="str">
        <f>IFERROR(VLOOKUP(TableHandbook[[#This Row],[UDC]],TableMCNETSCM[],7,FALSE),"")</f>
        <v/>
      </c>
      <c r="AF147" s="118" t="str">
        <f>IFERROR(VLOOKUP(TableHandbook[[#This Row],[UDC]],TableGDNETSCM[],7,FALSE),"")</f>
        <v/>
      </c>
      <c r="AG147" s="184" t="str">
        <f>IFERROR(VLOOKUP(TableHandbook[[#This Row],[UDC]],TableGCNETSCM[],7,FALSE),"")</f>
        <v/>
      </c>
      <c r="AH147" s="183" t="str">
        <f>IFERROR(VLOOKUP(TableHandbook[[#This Row],[UDC]],TableMCINTRNS[],7,FALSE),"")</f>
        <v/>
      </c>
      <c r="AI147" s="118" t="str">
        <f>IFERROR(VLOOKUP(TableHandbook[[#This Row],[UDC]],TableGDINTRNS[],7,FALSE),"")</f>
        <v/>
      </c>
      <c r="AJ147" s="184" t="str">
        <f>IFERROR(VLOOKUP(TableHandbook[[#This Row],[UDC]],TableGCINTRNS[],7,FALSE),"")</f>
        <v/>
      </c>
    </row>
    <row r="148" spans="1:36" x14ac:dyDescent="0.25">
      <c r="A148" s="6" t="s">
        <v>197</v>
      </c>
      <c r="B148" s="7">
        <v>2</v>
      </c>
      <c r="C148" s="6"/>
      <c r="D148" s="6" t="s">
        <v>529</v>
      </c>
      <c r="E148" s="7">
        <v>25</v>
      </c>
      <c r="F148" s="186" t="s">
        <v>172</v>
      </c>
      <c r="G148" s="75" t="str">
        <f>IFERROR(IF(VLOOKUP(TableHandbook[[#This Row],[UDC]],TableAvailabilities[],2,FALSE)&gt;0,"Y",""),"")</f>
        <v/>
      </c>
      <c r="H148" s="116" t="str">
        <f>IFERROR(IF(VLOOKUP(TableHandbook[[#This Row],[UDC]],TableAvailabilities[],3,FALSE)&gt;0,"Y",""),"")</f>
        <v/>
      </c>
      <c r="I148" s="117" t="str">
        <f>IFERROR(IF(VLOOKUP(TableHandbook[[#This Row],[UDC]],TableAvailabilities[],4,FALSE)&gt;0,"Y",""),"")</f>
        <v>Y</v>
      </c>
      <c r="J148" s="76" t="str">
        <f>IFERROR(IF(VLOOKUP(TableHandbook[[#This Row],[UDC]],TableAvailabilities[],5,FALSE)&gt;0,"Y",""),"")</f>
        <v/>
      </c>
      <c r="K148" s="289" t="s">
        <v>462</v>
      </c>
      <c r="L148" s="183" t="str">
        <f>IFERROR(VLOOKUP(TableHandbook[[#This Row],[UDC]],TableMCARTS[],7,FALSE),"")</f>
        <v/>
      </c>
      <c r="M148" s="118" t="str">
        <f>IFERROR(VLOOKUP(TableHandbook[[#This Row],[UDC]],TableMJRPCWRIT[],7,FALSE),"")</f>
        <v>Option</v>
      </c>
      <c r="N148" s="118" t="str">
        <f>IFERROR(VLOOKUP(TableHandbook[[#This Row],[UDC]],TableMJRPFINAR[],7,FALSE),"")</f>
        <v/>
      </c>
      <c r="O148" s="118" t="str">
        <f>IFERROR(VLOOKUP(TableHandbook[[#This Row],[UDC]],TableMJRPPWRIT[],7,FALSE),"")</f>
        <v>Option</v>
      </c>
      <c r="P148" s="184" t="str">
        <f>IFERROR(VLOOKUP(TableHandbook[[#This Row],[UDC]],TableMJRPSCRAR[],7,FALSE),"")</f>
        <v/>
      </c>
      <c r="Q148" s="183" t="str">
        <f>IFERROR(VLOOKUP(TableHandbook[[#This Row],[UDC]],TableMCMMJRG[],7,FALSE),"")</f>
        <v/>
      </c>
      <c r="R148" s="118" t="str">
        <f>IFERROR(VLOOKUP(TableHandbook[[#This Row],[UDC]],TableMCMMJRN[],7,FALSE),"")</f>
        <v/>
      </c>
      <c r="S148" s="118" t="str">
        <f>IFERROR(VLOOKUP(TableHandbook[[#This Row],[UDC]],TableGDMMJRN[],7,FALSE),"")</f>
        <v/>
      </c>
      <c r="T148" s="184" t="str">
        <f>IFERROR(VLOOKUP(TableHandbook[[#This Row],[UDC]],TableGCMMJRN[],7,FALSE),"")</f>
        <v/>
      </c>
      <c r="U148" s="183" t="str">
        <f>IFERROR(VLOOKUP(TableHandbook[[#This Row],[UDC]],TableMCHRIGLO[],7,FALSE),"")</f>
        <v/>
      </c>
      <c r="V148" s="118" t="str">
        <f>IFERROR(VLOOKUP(TableHandbook[[#This Row],[UDC]],TableMCHRIGHT[],7,FALSE),"")</f>
        <v/>
      </c>
      <c r="W148" s="118" t="str">
        <f>IFERROR(VLOOKUP(TableHandbook[[#This Row],[UDC]],TableGDHRIGHT[],7,FALSE),"")</f>
        <v/>
      </c>
      <c r="X148" s="184" t="str">
        <f>IFERROR(VLOOKUP(TableHandbook[[#This Row],[UDC]],TableGCHRIGHT[],7,FALSE),"")</f>
        <v/>
      </c>
      <c r="Y148" s="183" t="str">
        <f>IFERROR(VLOOKUP(TableHandbook[[#This Row],[UDC]],TableMCGLOBL2[],7,FALSE),"")</f>
        <v/>
      </c>
      <c r="Z148" s="118" t="str">
        <f>IFERROR(VLOOKUP(TableHandbook[[#This Row],[UDC]],TableMCGLOBL[],7,FALSE),"")</f>
        <v/>
      </c>
      <c r="AA148" s="297" t="str">
        <f>IFERROR(VLOOKUP(TableHandbook[[#This Row],[UDC]],TableSTRPGLOBL[],7,FALSE),"")</f>
        <v/>
      </c>
      <c r="AB148" s="297" t="str">
        <f>IFERROR(VLOOKUP(TableHandbook[[#This Row],[UDC]],TableSTRPHRIGT[],7,FALSE),"")</f>
        <v/>
      </c>
      <c r="AC148" s="297" t="str">
        <f>IFERROR(VLOOKUP(TableHandbook[[#This Row],[UDC]],TableSTRPINTRN[],7,FALSE),"")</f>
        <v/>
      </c>
      <c r="AD148" s="184" t="str">
        <f>IFERROR(VLOOKUP(TableHandbook[[#This Row],[UDC]],TableGCGLOBL[],7,FALSE),"")</f>
        <v/>
      </c>
      <c r="AE148" s="183" t="str">
        <f>IFERROR(VLOOKUP(TableHandbook[[#This Row],[UDC]],TableMCNETSCM[],7,FALSE),"")</f>
        <v/>
      </c>
      <c r="AF148" s="118" t="str">
        <f>IFERROR(VLOOKUP(TableHandbook[[#This Row],[UDC]],TableGDNETSCM[],7,FALSE),"")</f>
        <v/>
      </c>
      <c r="AG148" s="184" t="str">
        <f>IFERROR(VLOOKUP(TableHandbook[[#This Row],[UDC]],TableGCNETSCM[],7,FALSE),"")</f>
        <v/>
      </c>
      <c r="AH148" s="183" t="str">
        <f>IFERROR(VLOOKUP(TableHandbook[[#This Row],[UDC]],TableMCINTRNS[],7,FALSE),"")</f>
        <v/>
      </c>
      <c r="AI148" s="118" t="str">
        <f>IFERROR(VLOOKUP(TableHandbook[[#This Row],[UDC]],TableGDINTRNS[],7,FALSE),"")</f>
        <v/>
      </c>
      <c r="AJ148" s="184" t="str">
        <f>IFERROR(VLOOKUP(TableHandbook[[#This Row],[UDC]],TableGCINTRNS[],7,FALSE),"")</f>
        <v/>
      </c>
    </row>
    <row r="149" spans="1:36" x14ac:dyDescent="0.25">
      <c r="A149" s="6" t="s">
        <v>530</v>
      </c>
      <c r="B149" s="7">
        <v>1</v>
      </c>
      <c r="C149" s="6"/>
      <c r="D149" s="6" t="s">
        <v>531</v>
      </c>
      <c r="E149" s="7">
        <v>25</v>
      </c>
      <c r="F149" s="186" t="s">
        <v>368</v>
      </c>
      <c r="G149" s="75" t="str">
        <f>IFERROR(IF(VLOOKUP(TableHandbook[[#This Row],[UDC]],TableAvailabilities[],2,FALSE)&gt;0,"Y",""),"")</f>
        <v/>
      </c>
      <c r="H149" s="116" t="str">
        <f>IFERROR(IF(VLOOKUP(TableHandbook[[#This Row],[UDC]],TableAvailabilities[],3,FALSE)&gt;0,"Y",""),"")</f>
        <v/>
      </c>
      <c r="I149" s="117" t="str">
        <f>IFERROR(IF(VLOOKUP(TableHandbook[[#This Row],[UDC]],TableAvailabilities[],4,FALSE)&gt;0,"Y",""),"")</f>
        <v/>
      </c>
      <c r="J149" s="76" t="str">
        <f>IFERROR(IF(VLOOKUP(TableHandbook[[#This Row],[UDC]],TableAvailabilities[],5,FALSE)&gt;0,"Y",""),"")</f>
        <v/>
      </c>
      <c r="K149" s="289" t="s">
        <v>375</v>
      </c>
      <c r="L149" s="183" t="str">
        <f>IFERROR(VLOOKUP(TableHandbook[[#This Row],[UDC]],TableMCARTS[],7,FALSE),"")</f>
        <v/>
      </c>
      <c r="M149" s="118" t="str">
        <f>IFERROR(VLOOKUP(TableHandbook[[#This Row],[UDC]],TableMJRPCWRIT[],7,FALSE),"")</f>
        <v/>
      </c>
      <c r="N149" s="118" t="str">
        <f>IFERROR(VLOOKUP(TableHandbook[[#This Row],[UDC]],TableMJRPFINAR[],7,FALSE),"")</f>
        <v/>
      </c>
      <c r="O149" s="118" t="str">
        <f>IFERROR(VLOOKUP(TableHandbook[[#This Row],[UDC]],TableMJRPPWRIT[],7,FALSE),"")</f>
        <v/>
      </c>
      <c r="P149" s="184" t="str">
        <f>IFERROR(VLOOKUP(TableHandbook[[#This Row],[UDC]],TableMJRPSCRAR[],7,FALSE),"")</f>
        <v/>
      </c>
      <c r="Q149" s="183" t="str">
        <f>IFERROR(VLOOKUP(TableHandbook[[#This Row],[UDC]],TableMCMMJRG[],7,FALSE),"")</f>
        <v/>
      </c>
      <c r="R149" s="118" t="str">
        <f>IFERROR(VLOOKUP(TableHandbook[[#This Row],[UDC]],TableMCMMJRN[],7,FALSE),"")</f>
        <v/>
      </c>
      <c r="S149" s="118" t="str">
        <f>IFERROR(VLOOKUP(TableHandbook[[#This Row],[UDC]],TableGDMMJRN[],7,FALSE),"")</f>
        <v/>
      </c>
      <c r="T149" s="184" t="str">
        <f>IFERROR(VLOOKUP(TableHandbook[[#This Row],[UDC]],TableGCMMJRN[],7,FALSE),"")</f>
        <v/>
      </c>
      <c r="U149" s="183" t="str">
        <f>IFERROR(VLOOKUP(TableHandbook[[#This Row],[UDC]],TableMCHRIGLO[],7,FALSE),"")</f>
        <v/>
      </c>
      <c r="V149" s="118" t="str">
        <f>IFERROR(VLOOKUP(TableHandbook[[#This Row],[UDC]],TableMCHRIGHT[],7,FALSE),"")</f>
        <v/>
      </c>
      <c r="W149" s="118" t="str">
        <f>IFERROR(VLOOKUP(TableHandbook[[#This Row],[UDC]],TableGDHRIGHT[],7,FALSE),"")</f>
        <v/>
      </c>
      <c r="X149" s="184" t="str">
        <f>IFERROR(VLOOKUP(TableHandbook[[#This Row],[UDC]],TableGCHRIGHT[],7,FALSE),"")</f>
        <v/>
      </c>
      <c r="Y149" s="183" t="str">
        <f>IFERROR(VLOOKUP(TableHandbook[[#This Row],[UDC]],TableMCGLOBL2[],7,FALSE),"")</f>
        <v/>
      </c>
      <c r="Z149" s="118" t="str">
        <f>IFERROR(VLOOKUP(TableHandbook[[#This Row],[UDC]],TableMCGLOBL[],7,FALSE),"")</f>
        <v/>
      </c>
      <c r="AA149" s="297" t="str">
        <f>IFERROR(VLOOKUP(TableHandbook[[#This Row],[UDC]],TableSTRPGLOBL[],7,FALSE),"")</f>
        <v/>
      </c>
      <c r="AB149" s="297" t="str">
        <f>IFERROR(VLOOKUP(TableHandbook[[#This Row],[UDC]],TableSTRPHRIGT[],7,FALSE),"")</f>
        <v/>
      </c>
      <c r="AC149" s="297" t="str">
        <f>IFERROR(VLOOKUP(TableHandbook[[#This Row],[UDC]],TableSTRPINTRN[],7,FALSE),"")</f>
        <v/>
      </c>
      <c r="AD149" s="184" t="str">
        <f>IFERROR(VLOOKUP(TableHandbook[[#This Row],[UDC]],TableGCGLOBL[],7,FALSE),"")</f>
        <v/>
      </c>
      <c r="AE149" s="183" t="str">
        <f>IFERROR(VLOOKUP(TableHandbook[[#This Row],[UDC]],TableMCNETSCM[],7,FALSE),"")</f>
        <v/>
      </c>
      <c r="AF149" s="118" t="str">
        <f>IFERROR(VLOOKUP(TableHandbook[[#This Row],[UDC]],TableGDNETSCM[],7,FALSE),"")</f>
        <v/>
      </c>
      <c r="AG149" s="184" t="str">
        <f>IFERROR(VLOOKUP(TableHandbook[[#This Row],[UDC]],TableGCNETSCM[],7,FALSE),"")</f>
        <v/>
      </c>
      <c r="AH149" s="183" t="str">
        <f>IFERROR(VLOOKUP(TableHandbook[[#This Row],[UDC]],TableMCINTRNS[],7,FALSE),"")</f>
        <v/>
      </c>
      <c r="AI149" s="118" t="str">
        <f>IFERROR(VLOOKUP(TableHandbook[[#This Row],[UDC]],TableGDINTRNS[],7,FALSE),"")</f>
        <v/>
      </c>
      <c r="AJ149" s="184" t="str">
        <f>IFERROR(VLOOKUP(TableHandbook[[#This Row],[UDC]],TableGCINTRNS[],7,FALSE),"")</f>
        <v/>
      </c>
    </row>
    <row r="150" spans="1:36" x14ac:dyDescent="0.25">
      <c r="A150" s="6" t="s">
        <v>532</v>
      </c>
      <c r="B150" s="7">
        <v>2</v>
      </c>
      <c r="C150" s="6"/>
      <c r="D150" s="6" t="s">
        <v>533</v>
      </c>
      <c r="E150" s="7">
        <v>25</v>
      </c>
      <c r="F150" s="186" t="s">
        <v>368</v>
      </c>
      <c r="G150" s="75" t="str">
        <f>IFERROR(IF(VLOOKUP(TableHandbook[[#This Row],[UDC]],TableAvailabilities[],2,FALSE)&gt;0,"Y",""),"")</f>
        <v/>
      </c>
      <c r="H150" s="116" t="str">
        <f>IFERROR(IF(VLOOKUP(TableHandbook[[#This Row],[UDC]],TableAvailabilities[],3,FALSE)&gt;0,"Y",""),"")</f>
        <v/>
      </c>
      <c r="I150" s="117" t="str">
        <f>IFERROR(IF(VLOOKUP(TableHandbook[[#This Row],[UDC]],TableAvailabilities[],4,FALSE)&gt;0,"Y",""),"")</f>
        <v/>
      </c>
      <c r="J150" s="76" t="str">
        <f>IFERROR(IF(VLOOKUP(TableHandbook[[#This Row],[UDC]],TableAvailabilities[],5,FALSE)&gt;0,"Y",""),"")</f>
        <v/>
      </c>
      <c r="K150" s="289" t="s">
        <v>420</v>
      </c>
      <c r="L150" s="183" t="str">
        <f>IFERROR(VLOOKUP(TableHandbook[[#This Row],[UDC]],TableMCARTS[],7,FALSE),"")</f>
        <v/>
      </c>
      <c r="M150" s="118" t="str">
        <f>IFERROR(VLOOKUP(TableHandbook[[#This Row],[UDC]],TableMJRPCWRIT[],7,FALSE),"")</f>
        <v/>
      </c>
      <c r="N150" s="118" t="str">
        <f>IFERROR(VLOOKUP(TableHandbook[[#This Row],[UDC]],TableMJRPFINAR[],7,FALSE),"")</f>
        <v/>
      </c>
      <c r="O150" s="118" t="str">
        <f>IFERROR(VLOOKUP(TableHandbook[[#This Row],[UDC]],TableMJRPPWRIT[],7,FALSE),"")</f>
        <v/>
      </c>
      <c r="P150" s="184" t="str">
        <f>IFERROR(VLOOKUP(TableHandbook[[#This Row],[UDC]],TableMJRPSCRAR[],7,FALSE),"")</f>
        <v/>
      </c>
      <c r="Q150" s="183" t="str">
        <f>IFERROR(VLOOKUP(TableHandbook[[#This Row],[UDC]],TableMCMMJRG[],7,FALSE),"")</f>
        <v/>
      </c>
      <c r="R150" s="118" t="str">
        <f>IFERROR(VLOOKUP(TableHandbook[[#This Row],[UDC]],TableMCMMJRN[],7,FALSE),"")</f>
        <v/>
      </c>
      <c r="S150" s="118" t="str">
        <f>IFERROR(VLOOKUP(TableHandbook[[#This Row],[UDC]],TableGDMMJRN[],7,FALSE),"")</f>
        <v/>
      </c>
      <c r="T150" s="184" t="str">
        <f>IFERROR(VLOOKUP(TableHandbook[[#This Row],[UDC]],TableGCMMJRN[],7,FALSE),"")</f>
        <v/>
      </c>
      <c r="U150" s="183" t="str">
        <f>IFERROR(VLOOKUP(TableHandbook[[#This Row],[UDC]],TableMCHRIGLO[],7,FALSE),"")</f>
        <v/>
      </c>
      <c r="V150" s="118" t="str">
        <f>IFERROR(VLOOKUP(TableHandbook[[#This Row],[UDC]],TableMCHRIGHT[],7,FALSE),"")</f>
        <v/>
      </c>
      <c r="W150" s="118" t="str">
        <f>IFERROR(VLOOKUP(TableHandbook[[#This Row],[UDC]],TableGDHRIGHT[],7,FALSE),"")</f>
        <v/>
      </c>
      <c r="X150" s="184" t="str">
        <f>IFERROR(VLOOKUP(TableHandbook[[#This Row],[UDC]],TableGCHRIGHT[],7,FALSE),"")</f>
        <v/>
      </c>
      <c r="Y150" s="183" t="str">
        <f>IFERROR(VLOOKUP(TableHandbook[[#This Row],[UDC]],TableMCGLOBL2[],7,FALSE),"")</f>
        <v/>
      </c>
      <c r="Z150" s="118" t="str">
        <f>IFERROR(VLOOKUP(TableHandbook[[#This Row],[UDC]],TableMCGLOBL[],7,FALSE),"")</f>
        <v/>
      </c>
      <c r="AA150" s="297" t="str">
        <f>IFERROR(VLOOKUP(TableHandbook[[#This Row],[UDC]],TableSTRPGLOBL[],7,FALSE),"")</f>
        <v/>
      </c>
      <c r="AB150" s="297" t="str">
        <f>IFERROR(VLOOKUP(TableHandbook[[#This Row],[UDC]],TableSTRPHRIGT[],7,FALSE),"")</f>
        <v/>
      </c>
      <c r="AC150" s="297" t="str">
        <f>IFERROR(VLOOKUP(TableHandbook[[#This Row],[UDC]],TableSTRPINTRN[],7,FALSE),"")</f>
        <v/>
      </c>
      <c r="AD150" s="184" t="str">
        <f>IFERROR(VLOOKUP(TableHandbook[[#This Row],[UDC]],TableGCGLOBL[],7,FALSE),"")</f>
        <v/>
      </c>
      <c r="AE150" s="183" t="str">
        <f>IFERROR(VLOOKUP(TableHandbook[[#This Row],[UDC]],TableMCNETSCM[],7,FALSE),"")</f>
        <v/>
      </c>
      <c r="AF150" s="118" t="str">
        <f>IFERROR(VLOOKUP(TableHandbook[[#This Row],[UDC]],TableGDNETSCM[],7,FALSE),"")</f>
        <v/>
      </c>
      <c r="AG150" s="184" t="str">
        <f>IFERROR(VLOOKUP(TableHandbook[[#This Row],[UDC]],TableGCNETSCM[],7,FALSE),"")</f>
        <v/>
      </c>
      <c r="AH150" s="183" t="str">
        <f>IFERROR(VLOOKUP(TableHandbook[[#This Row],[UDC]],TableMCINTRNS[],7,FALSE),"")</f>
        <v/>
      </c>
      <c r="AI150" s="118" t="str">
        <f>IFERROR(VLOOKUP(TableHandbook[[#This Row],[UDC]],TableGDINTRNS[],7,FALSE),"")</f>
        <v/>
      </c>
      <c r="AJ150" s="184" t="str">
        <f>IFERROR(VLOOKUP(TableHandbook[[#This Row],[UDC]],TableGCINTRNS[],7,FALSE),"")</f>
        <v/>
      </c>
    </row>
    <row r="151" spans="1:36" x14ac:dyDescent="0.25">
      <c r="A151" s="6" t="s">
        <v>172</v>
      </c>
      <c r="B151" s="7">
        <v>2</v>
      </c>
      <c r="C151" s="6"/>
      <c r="D151" s="6" t="s">
        <v>534</v>
      </c>
      <c r="E151" s="7">
        <v>25</v>
      </c>
      <c r="F151" s="186" t="s">
        <v>368</v>
      </c>
      <c r="G151" s="75" t="str">
        <f>IFERROR(IF(VLOOKUP(TableHandbook[[#This Row],[UDC]],TableAvailabilities[],2,FALSE)&gt;0,"Y",""),"")</f>
        <v>Y</v>
      </c>
      <c r="H151" s="116" t="str">
        <f>IFERROR(IF(VLOOKUP(TableHandbook[[#This Row],[UDC]],TableAvailabilities[],3,FALSE)&gt;0,"Y",""),"")</f>
        <v/>
      </c>
      <c r="I151" s="117" t="str">
        <f>IFERROR(IF(VLOOKUP(TableHandbook[[#This Row],[UDC]],TableAvailabilities[],4,FALSE)&gt;0,"Y",""),"")</f>
        <v/>
      </c>
      <c r="J151" s="76" t="str">
        <f>IFERROR(IF(VLOOKUP(TableHandbook[[#This Row],[UDC]],TableAvailabilities[],5,FALSE)&gt;0,"Y",""),"")</f>
        <v/>
      </c>
      <c r="K151" s="289" t="s">
        <v>371</v>
      </c>
      <c r="L151" s="183" t="str">
        <f>IFERROR(VLOOKUP(TableHandbook[[#This Row],[UDC]],TableMCARTS[],7,FALSE),"")</f>
        <v/>
      </c>
      <c r="M151" s="118" t="str">
        <f>IFERROR(VLOOKUP(TableHandbook[[#This Row],[UDC]],TableMJRPCWRIT[],7,FALSE),"")</f>
        <v>Option</v>
      </c>
      <c r="N151" s="118" t="str">
        <f>IFERROR(VLOOKUP(TableHandbook[[#This Row],[UDC]],TableMJRPFINAR[],7,FALSE),"")</f>
        <v/>
      </c>
      <c r="O151" s="118" t="str">
        <f>IFERROR(VLOOKUP(TableHandbook[[#This Row],[UDC]],TableMJRPPWRIT[],7,FALSE),"")</f>
        <v>Option</v>
      </c>
      <c r="P151" s="184" t="str">
        <f>IFERROR(VLOOKUP(TableHandbook[[#This Row],[UDC]],TableMJRPSCRAR[],7,FALSE),"")</f>
        <v/>
      </c>
      <c r="Q151" s="183" t="str">
        <f>IFERROR(VLOOKUP(TableHandbook[[#This Row],[UDC]],TableMCMMJRG[],7,FALSE),"")</f>
        <v/>
      </c>
      <c r="R151" s="118" t="str">
        <f>IFERROR(VLOOKUP(TableHandbook[[#This Row],[UDC]],TableMCMMJRN[],7,FALSE),"")</f>
        <v/>
      </c>
      <c r="S151" s="118" t="str">
        <f>IFERROR(VLOOKUP(TableHandbook[[#This Row],[UDC]],TableGDMMJRN[],7,FALSE),"")</f>
        <v/>
      </c>
      <c r="T151" s="184" t="str">
        <f>IFERROR(VLOOKUP(TableHandbook[[#This Row],[UDC]],TableGCMMJRN[],7,FALSE),"")</f>
        <v/>
      </c>
      <c r="U151" s="183" t="str">
        <f>IFERROR(VLOOKUP(TableHandbook[[#This Row],[UDC]],TableMCHRIGLO[],7,FALSE),"")</f>
        <v/>
      </c>
      <c r="V151" s="118" t="str">
        <f>IFERROR(VLOOKUP(TableHandbook[[#This Row],[UDC]],TableMCHRIGHT[],7,FALSE),"")</f>
        <v/>
      </c>
      <c r="W151" s="118" t="str">
        <f>IFERROR(VLOOKUP(TableHandbook[[#This Row],[UDC]],TableGDHRIGHT[],7,FALSE),"")</f>
        <v/>
      </c>
      <c r="X151" s="184" t="str">
        <f>IFERROR(VLOOKUP(TableHandbook[[#This Row],[UDC]],TableGCHRIGHT[],7,FALSE),"")</f>
        <v/>
      </c>
      <c r="Y151" s="183" t="str">
        <f>IFERROR(VLOOKUP(TableHandbook[[#This Row],[UDC]],TableMCGLOBL2[],7,FALSE),"")</f>
        <v/>
      </c>
      <c r="Z151" s="118" t="str">
        <f>IFERROR(VLOOKUP(TableHandbook[[#This Row],[UDC]],TableMCGLOBL[],7,FALSE),"")</f>
        <v/>
      </c>
      <c r="AA151" s="297" t="str">
        <f>IFERROR(VLOOKUP(TableHandbook[[#This Row],[UDC]],TableSTRPGLOBL[],7,FALSE),"")</f>
        <v/>
      </c>
      <c r="AB151" s="297" t="str">
        <f>IFERROR(VLOOKUP(TableHandbook[[#This Row],[UDC]],TableSTRPHRIGT[],7,FALSE),"")</f>
        <v/>
      </c>
      <c r="AC151" s="297" t="str">
        <f>IFERROR(VLOOKUP(TableHandbook[[#This Row],[UDC]],TableSTRPINTRN[],7,FALSE),"")</f>
        <v/>
      </c>
      <c r="AD151" s="184" t="str">
        <f>IFERROR(VLOOKUP(TableHandbook[[#This Row],[UDC]],TableGCGLOBL[],7,FALSE),"")</f>
        <v/>
      </c>
      <c r="AE151" s="183" t="str">
        <f>IFERROR(VLOOKUP(TableHandbook[[#This Row],[UDC]],TableMCNETSCM[],7,FALSE),"")</f>
        <v/>
      </c>
      <c r="AF151" s="118" t="str">
        <f>IFERROR(VLOOKUP(TableHandbook[[#This Row],[UDC]],TableGDNETSCM[],7,FALSE),"")</f>
        <v/>
      </c>
      <c r="AG151" s="184" t="str">
        <f>IFERROR(VLOOKUP(TableHandbook[[#This Row],[UDC]],TableGCNETSCM[],7,FALSE),"")</f>
        <v/>
      </c>
      <c r="AH151" s="183" t="str">
        <f>IFERROR(VLOOKUP(TableHandbook[[#This Row],[UDC]],TableMCINTRNS[],7,FALSE),"")</f>
        <v/>
      </c>
      <c r="AI151" s="118" t="str">
        <f>IFERROR(VLOOKUP(TableHandbook[[#This Row],[UDC]],TableGDINTRNS[],7,FALSE),"")</f>
        <v/>
      </c>
      <c r="AJ151" s="184" t="str">
        <f>IFERROR(VLOOKUP(TableHandbook[[#This Row],[UDC]],TableGCINTRNS[],7,FALSE),"")</f>
        <v/>
      </c>
    </row>
    <row r="152" spans="1:36" x14ac:dyDescent="0.25">
      <c r="A152" s="6" t="s">
        <v>535</v>
      </c>
      <c r="B152" s="7">
        <v>1</v>
      </c>
      <c r="C152" s="6"/>
      <c r="D152" s="6" t="s">
        <v>536</v>
      </c>
      <c r="E152" s="7">
        <v>25</v>
      </c>
      <c r="F152" s="186" t="s">
        <v>368</v>
      </c>
      <c r="G152" s="75" t="str">
        <f>IFERROR(IF(VLOOKUP(TableHandbook[[#This Row],[UDC]],TableAvailabilities[],2,FALSE)&gt;0,"Y",""),"")</f>
        <v/>
      </c>
      <c r="H152" s="116" t="str">
        <f>IFERROR(IF(VLOOKUP(TableHandbook[[#This Row],[UDC]],TableAvailabilities[],3,FALSE)&gt;0,"Y",""),"")</f>
        <v/>
      </c>
      <c r="I152" s="117" t="str">
        <f>IFERROR(IF(VLOOKUP(TableHandbook[[#This Row],[UDC]],TableAvailabilities[],4,FALSE)&gt;0,"Y",""),"")</f>
        <v/>
      </c>
      <c r="J152" s="76" t="str">
        <f>IFERROR(IF(VLOOKUP(TableHandbook[[#This Row],[UDC]],TableAvailabilities[],5,FALSE)&gt;0,"Y",""),"")</f>
        <v/>
      </c>
      <c r="K152" s="289" t="s">
        <v>375</v>
      </c>
      <c r="L152" s="183" t="str">
        <f>IFERROR(VLOOKUP(TableHandbook[[#This Row],[UDC]],TableMCARTS[],7,FALSE),"")</f>
        <v/>
      </c>
      <c r="M152" s="118" t="str">
        <f>IFERROR(VLOOKUP(TableHandbook[[#This Row],[UDC]],TableMJRPCWRIT[],7,FALSE),"")</f>
        <v/>
      </c>
      <c r="N152" s="118" t="str">
        <f>IFERROR(VLOOKUP(TableHandbook[[#This Row],[UDC]],TableMJRPFINAR[],7,FALSE),"")</f>
        <v/>
      </c>
      <c r="O152" s="118" t="str">
        <f>IFERROR(VLOOKUP(TableHandbook[[#This Row],[UDC]],TableMJRPPWRIT[],7,FALSE),"")</f>
        <v/>
      </c>
      <c r="P152" s="184" t="str">
        <f>IFERROR(VLOOKUP(TableHandbook[[#This Row],[UDC]],TableMJRPSCRAR[],7,FALSE),"")</f>
        <v/>
      </c>
      <c r="Q152" s="183" t="str">
        <f>IFERROR(VLOOKUP(TableHandbook[[#This Row],[UDC]],TableMCMMJRG[],7,FALSE),"")</f>
        <v/>
      </c>
      <c r="R152" s="118" t="str">
        <f>IFERROR(VLOOKUP(TableHandbook[[#This Row],[UDC]],TableMCMMJRN[],7,FALSE),"")</f>
        <v/>
      </c>
      <c r="S152" s="118" t="str">
        <f>IFERROR(VLOOKUP(TableHandbook[[#This Row],[UDC]],TableGDMMJRN[],7,FALSE),"")</f>
        <v/>
      </c>
      <c r="T152" s="184" t="str">
        <f>IFERROR(VLOOKUP(TableHandbook[[#This Row],[UDC]],TableGCMMJRN[],7,FALSE),"")</f>
        <v/>
      </c>
      <c r="U152" s="183" t="str">
        <f>IFERROR(VLOOKUP(TableHandbook[[#This Row],[UDC]],TableMCHRIGLO[],7,FALSE),"")</f>
        <v/>
      </c>
      <c r="V152" s="118" t="str">
        <f>IFERROR(VLOOKUP(TableHandbook[[#This Row],[UDC]],TableMCHRIGHT[],7,FALSE),"")</f>
        <v/>
      </c>
      <c r="W152" s="118" t="str">
        <f>IFERROR(VLOOKUP(TableHandbook[[#This Row],[UDC]],TableGDHRIGHT[],7,FALSE),"")</f>
        <v/>
      </c>
      <c r="X152" s="184" t="str">
        <f>IFERROR(VLOOKUP(TableHandbook[[#This Row],[UDC]],TableGCHRIGHT[],7,FALSE),"")</f>
        <v/>
      </c>
      <c r="Y152" s="183" t="str">
        <f>IFERROR(VLOOKUP(TableHandbook[[#This Row],[UDC]],TableMCGLOBL2[],7,FALSE),"")</f>
        <v/>
      </c>
      <c r="Z152" s="118" t="str">
        <f>IFERROR(VLOOKUP(TableHandbook[[#This Row],[UDC]],TableMCGLOBL[],7,FALSE),"")</f>
        <v/>
      </c>
      <c r="AA152" s="297" t="str">
        <f>IFERROR(VLOOKUP(TableHandbook[[#This Row],[UDC]],TableSTRPGLOBL[],7,FALSE),"")</f>
        <v/>
      </c>
      <c r="AB152" s="297" t="str">
        <f>IFERROR(VLOOKUP(TableHandbook[[#This Row],[UDC]],TableSTRPHRIGT[],7,FALSE),"")</f>
        <v/>
      </c>
      <c r="AC152" s="297" t="str">
        <f>IFERROR(VLOOKUP(TableHandbook[[#This Row],[UDC]],TableSTRPINTRN[],7,FALSE),"")</f>
        <v/>
      </c>
      <c r="AD152" s="184" t="str">
        <f>IFERROR(VLOOKUP(TableHandbook[[#This Row],[UDC]],TableGCGLOBL[],7,FALSE),"")</f>
        <v/>
      </c>
      <c r="AE152" s="183" t="str">
        <f>IFERROR(VLOOKUP(TableHandbook[[#This Row],[UDC]],TableMCNETSCM[],7,FALSE),"")</f>
        <v/>
      </c>
      <c r="AF152" s="118" t="str">
        <f>IFERROR(VLOOKUP(TableHandbook[[#This Row],[UDC]],TableGDNETSCM[],7,FALSE),"")</f>
        <v/>
      </c>
      <c r="AG152" s="184" t="str">
        <f>IFERROR(VLOOKUP(TableHandbook[[#This Row],[UDC]],TableGCNETSCM[],7,FALSE),"")</f>
        <v/>
      </c>
      <c r="AH152" s="183" t="str">
        <f>IFERROR(VLOOKUP(TableHandbook[[#This Row],[UDC]],TableMCINTRNS[],7,FALSE),"")</f>
        <v/>
      </c>
      <c r="AI152" s="118" t="str">
        <f>IFERROR(VLOOKUP(TableHandbook[[#This Row],[UDC]],TableGDINTRNS[],7,FALSE),"")</f>
        <v/>
      </c>
      <c r="AJ152" s="184" t="str">
        <f>IFERROR(VLOOKUP(TableHandbook[[#This Row],[UDC]],TableGCINTRNS[],7,FALSE),"")</f>
        <v/>
      </c>
    </row>
    <row r="153" spans="1:36" x14ac:dyDescent="0.25">
      <c r="A153" s="6" t="s">
        <v>537</v>
      </c>
      <c r="B153" s="7">
        <v>1</v>
      </c>
      <c r="C153" s="6"/>
      <c r="D153" s="6" t="s">
        <v>538</v>
      </c>
      <c r="E153" s="7">
        <v>25</v>
      </c>
      <c r="F153" s="186" t="s">
        <v>368</v>
      </c>
      <c r="G153" s="75" t="str">
        <f>IFERROR(IF(VLOOKUP(TableHandbook[[#This Row],[UDC]],TableAvailabilities[],2,FALSE)&gt;0,"Y",""),"")</f>
        <v/>
      </c>
      <c r="H153" s="116" t="str">
        <f>IFERROR(IF(VLOOKUP(TableHandbook[[#This Row],[UDC]],TableAvailabilities[],3,FALSE)&gt;0,"Y",""),"")</f>
        <v/>
      </c>
      <c r="I153" s="117" t="str">
        <f>IFERROR(IF(VLOOKUP(TableHandbook[[#This Row],[UDC]],TableAvailabilities[],4,FALSE)&gt;0,"Y",""),"")</f>
        <v/>
      </c>
      <c r="J153" s="76" t="str">
        <f>IFERROR(IF(VLOOKUP(TableHandbook[[#This Row],[UDC]],TableAvailabilities[],5,FALSE)&gt;0,"Y",""),"")</f>
        <v/>
      </c>
      <c r="K153" s="289" t="s">
        <v>420</v>
      </c>
      <c r="L153" s="183" t="str">
        <f>IFERROR(VLOOKUP(TableHandbook[[#This Row],[UDC]],TableMCARTS[],7,FALSE),"")</f>
        <v/>
      </c>
      <c r="M153" s="118" t="str">
        <f>IFERROR(VLOOKUP(TableHandbook[[#This Row],[UDC]],TableMJRPCWRIT[],7,FALSE),"")</f>
        <v/>
      </c>
      <c r="N153" s="118" t="str">
        <f>IFERROR(VLOOKUP(TableHandbook[[#This Row],[UDC]],TableMJRPFINAR[],7,FALSE),"")</f>
        <v/>
      </c>
      <c r="O153" s="118" t="str">
        <f>IFERROR(VLOOKUP(TableHandbook[[#This Row],[UDC]],TableMJRPPWRIT[],7,FALSE),"")</f>
        <v/>
      </c>
      <c r="P153" s="184" t="str">
        <f>IFERROR(VLOOKUP(TableHandbook[[#This Row],[UDC]],TableMJRPSCRAR[],7,FALSE),"")</f>
        <v/>
      </c>
      <c r="Q153" s="183" t="str">
        <f>IFERROR(VLOOKUP(TableHandbook[[#This Row],[UDC]],TableMCMMJRG[],7,FALSE),"")</f>
        <v/>
      </c>
      <c r="R153" s="118" t="str">
        <f>IFERROR(VLOOKUP(TableHandbook[[#This Row],[UDC]],TableMCMMJRN[],7,FALSE),"")</f>
        <v/>
      </c>
      <c r="S153" s="118" t="str">
        <f>IFERROR(VLOOKUP(TableHandbook[[#This Row],[UDC]],TableGDMMJRN[],7,FALSE),"")</f>
        <v/>
      </c>
      <c r="T153" s="184" t="str">
        <f>IFERROR(VLOOKUP(TableHandbook[[#This Row],[UDC]],TableGCMMJRN[],7,FALSE),"")</f>
        <v/>
      </c>
      <c r="U153" s="183" t="str">
        <f>IFERROR(VLOOKUP(TableHandbook[[#This Row],[UDC]],TableMCHRIGLO[],7,FALSE),"")</f>
        <v/>
      </c>
      <c r="V153" s="118" t="str">
        <f>IFERROR(VLOOKUP(TableHandbook[[#This Row],[UDC]],TableMCHRIGHT[],7,FALSE),"")</f>
        <v/>
      </c>
      <c r="W153" s="118" t="str">
        <f>IFERROR(VLOOKUP(TableHandbook[[#This Row],[UDC]],TableGDHRIGHT[],7,FALSE),"")</f>
        <v/>
      </c>
      <c r="X153" s="184" t="str">
        <f>IFERROR(VLOOKUP(TableHandbook[[#This Row],[UDC]],TableGCHRIGHT[],7,FALSE),"")</f>
        <v/>
      </c>
      <c r="Y153" s="183" t="str">
        <f>IFERROR(VLOOKUP(TableHandbook[[#This Row],[UDC]],TableMCGLOBL2[],7,FALSE),"")</f>
        <v/>
      </c>
      <c r="Z153" s="118" t="str">
        <f>IFERROR(VLOOKUP(TableHandbook[[#This Row],[UDC]],TableMCGLOBL[],7,FALSE),"")</f>
        <v/>
      </c>
      <c r="AA153" s="297" t="str">
        <f>IFERROR(VLOOKUP(TableHandbook[[#This Row],[UDC]],TableSTRPGLOBL[],7,FALSE),"")</f>
        <v/>
      </c>
      <c r="AB153" s="297" t="str">
        <f>IFERROR(VLOOKUP(TableHandbook[[#This Row],[UDC]],TableSTRPHRIGT[],7,FALSE),"")</f>
        <v/>
      </c>
      <c r="AC153" s="297" t="str">
        <f>IFERROR(VLOOKUP(TableHandbook[[#This Row],[UDC]],TableSTRPINTRN[],7,FALSE),"")</f>
        <v/>
      </c>
      <c r="AD153" s="184" t="str">
        <f>IFERROR(VLOOKUP(TableHandbook[[#This Row],[UDC]],TableGCGLOBL[],7,FALSE),"")</f>
        <v/>
      </c>
      <c r="AE153" s="183" t="str">
        <f>IFERROR(VLOOKUP(TableHandbook[[#This Row],[UDC]],TableMCNETSCM[],7,FALSE),"")</f>
        <v/>
      </c>
      <c r="AF153" s="118" t="str">
        <f>IFERROR(VLOOKUP(TableHandbook[[#This Row],[UDC]],TableGDNETSCM[],7,FALSE),"")</f>
        <v/>
      </c>
      <c r="AG153" s="184" t="str">
        <f>IFERROR(VLOOKUP(TableHandbook[[#This Row],[UDC]],TableGCNETSCM[],7,FALSE),"")</f>
        <v/>
      </c>
      <c r="AH153" s="183" t="str">
        <f>IFERROR(VLOOKUP(TableHandbook[[#This Row],[UDC]],TableMCINTRNS[],7,FALSE),"")</f>
        <v/>
      </c>
      <c r="AI153" s="118" t="str">
        <f>IFERROR(VLOOKUP(TableHandbook[[#This Row],[UDC]],TableGDINTRNS[],7,FALSE),"")</f>
        <v/>
      </c>
      <c r="AJ153" s="184" t="str">
        <f>IFERROR(VLOOKUP(TableHandbook[[#This Row],[UDC]],TableGCINTRNS[],7,FALSE),"")</f>
        <v/>
      </c>
    </row>
    <row r="154" spans="1:36" x14ac:dyDescent="0.25">
      <c r="A154" s="6" t="s">
        <v>176</v>
      </c>
      <c r="B154" s="7">
        <v>2</v>
      </c>
      <c r="C154" s="6"/>
      <c r="D154" s="6" t="s">
        <v>539</v>
      </c>
      <c r="E154" s="7">
        <v>25</v>
      </c>
      <c r="F154" s="186" t="s">
        <v>368</v>
      </c>
      <c r="G154" s="75" t="str">
        <f>IFERROR(IF(VLOOKUP(TableHandbook[[#This Row],[UDC]],TableAvailabilities[],2,FALSE)&gt;0,"Y",""),"")</f>
        <v>Y</v>
      </c>
      <c r="H154" s="116" t="str">
        <f>IFERROR(IF(VLOOKUP(TableHandbook[[#This Row],[UDC]],TableAvailabilities[],3,FALSE)&gt;0,"Y",""),"")</f>
        <v/>
      </c>
      <c r="I154" s="117" t="str">
        <f>IFERROR(IF(VLOOKUP(TableHandbook[[#This Row],[UDC]],TableAvailabilities[],4,FALSE)&gt;0,"Y",""),"")</f>
        <v/>
      </c>
      <c r="J154" s="76" t="str">
        <f>IFERROR(IF(VLOOKUP(TableHandbook[[#This Row],[UDC]],TableAvailabilities[],5,FALSE)&gt;0,"Y",""),"")</f>
        <v/>
      </c>
      <c r="K154" s="289"/>
      <c r="L154" s="183" t="str">
        <f>IFERROR(VLOOKUP(TableHandbook[[#This Row],[UDC]],TableMCARTS[],7,FALSE),"")</f>
        <v/>
      </c>
      <c r="M154" s="118" t="str">
        <f>IFERROR(VLOOKUP(TableHandbook[[#This Row],[UDC]],TableMJRPCWRIT[],7,FALSE),"")</f>
        <v/>
      </c>
      <c r="N154" s="118" t="str">
        <f>IFERROR(VLOOKUP(TableHandbook[[#This Row],[UDC]],TableMJRPFINAR[],7,FALSE),"")</f>
        <v/>
      </c>
      <c r="O154" s="118" t="str">
        <f>IFERROR(VLOOKUP(TableHandbook[[#This Row],[UDC]],TableMJRPPWRIT[],7,FALSE),"")</f>
        <v>Option</v>
      </c>
      <c r="P154" s="184" t="str">
        <f>IFERROR(VLOOKUP(TableHandbook[[#This Row],[UDC]],TableMJRPSCRAR[],7,FALSE),"")</f>
        <v/>
      </c>
      <c r="Q154" s="183" t="str">
        <f>IFERROR(VLOOKUP(TableHandbook[[#This Row],[UDC]],TableMCMMJRG[],7,FALSE),"")</f>
        <v/>
      </c>
      <c r="R154" s="118" t="str">
        <f>IFERROR(VLOOKUP(TableHandbook[[#This Row],[UDC]],TableMCMMJRN[],7,FALSE),"")</f>
        <v/>
      </c>
      <c r="S154" s="118" t="str">
        <f>IFERROR(VLOOKUP(TableHandbook[[#This Row],[UDC]],TableGDMMJRN[],7,FALSE),"")</f>
        <v/>
      </c>
      <c r="T154" s="184" t="str">
        <f>IFERROR(VLOOKUP(TableHandbook[[#This Row],[UDC]],TableGCMMJRN[],7,FALSE),"")</f>
        <v/>
      </c>
      <c r="U154" s="183" t="str">
        <f>IFERROR(VLOOKUP(TableHandbook[[#This Row],[UDC]],TableMCHRIGLO[],7,FALSE),"")</f>
        <v/>
      </c>
      <c r="V154" s="118" t="str">
        <f>IFERROR(VLOOKUP(TableHandbook[[#This Row],[UDC]],TableMCHRIGHT[],7,FALSE),"")</f>
        <v/>
      </c>
      <c r="W154" s="118" t="str">
        <f>IFERROR(VLOOKUP(TableHandbook[[#This Row],[UDC]],TableGDHRIGHT[],7,FALSE),"")</f>
        <v/>
      </c>
      <c r="X154" s="184" t="str">
        <f>IFERROR(VLOOKUP(TableHandbook[[#This Row],[UDC]],TableGCHRIGHT[],7,FALSE),"")</f>
        <v/>
      </c>
      <c r="Y154" s="183" t="str">
        <f>IFERROR(VLOOKUP(TableHandbook[[#This Row],[UDC]],TableMCGLOBL2[],7,FALSE),"")</f>
        <v/>
      </c>
      <c r="Z154" s="118" t="str">
        <f>IFERROR(VLOOKUP(TableHandbook[[#This Row],[UDC]],TableMCGLOBL[],7,FALSE),"")</f>
        <v/>
      </c>
      <c r="AA154" s="297" t="str">
        <f>IFERROR(VLOOKUP(TableHandbook[[#This Row],[UDC]],TableSTRPGLOBL[],7,FALSE),"")</f>
        <v/>
      </c>
      <c r="AB154" s="297" t="str">
        <f>IFERROR(VLOOKUP(TableHandbook[[#This Row],[UDC]],TableSTRPHRIGT[],7,FALSE),"")</f>
        <v/>
      </c>
      <c r="AC154" s="297" t="str">
        <f>IFERROR(VLOOKUP(TableHandbook[[#This Row],[UDC]],TableSTRPINTRN[],7,FALSE),"")</f>
        <v/>
      </c>
      <c r="AD154" s="184" t="str">
        <f>IFERROR(VLOOKUP(TableHandbook[[#This Row],[UDC]],TableGCGLOBL[],7,FALSE),"")</f>
        <v/>
      </c>
      <c r="AE154" s="183" t="str">
        <f>IFERROR(VLOOKUP(TableHandbook[[#This Row],[UDC]],TableMCNETSCM[],7,FALSE),"")</f>
        <v/>
      </c>
      <c r="AF154" s="118" t="str">
        <f>IFERROR(VLOOKUP(TableHandbook[[#This Row],[UDC]],TableGDNETSCM[],7,FALSE),"")</f>
        <v/>
      </c>
      <c r="AG154" s="184" t="str">
        <f>IFERROR(VLOOKUP(TableHandbook[[#This Row],[UDC]],TableGCNETSCM[],7,FALSE),"")</f>
        <v/>
      </c>
      <c r="AH154" s="183" t="str">
        <f>IFERROR(VLOOKUP(TableHandbook[[#This Row],[UDC]],TableMCINTRNS[],7,FALSE),"")</f>
        <v/>
      </c>
      <c r="AI154" s="118" t="str">
        <f>IFERROR(VLOOKUP(TableHandbook[[#This Row],[UDC]],TableGDINTRNS[],7,FALSE),"")</f>
        <v/>
      </c>
      <c r="AJ154" s="184" t="str">
        <f>IFERROR(VLOOKUP(TableHandbook[[#This Row],[UDC]],TableGCINTRNS[],7,FALSE),"")</f>
        <v/>
      </c>
    </row>
    <row r="155" spans="1:36" x14ac:dyDescent="0.25">
      <c r="A155" s="6" t="s">
        <v>181</v>
      </c>
      <c r="B155" s="7">
        <v>2</v>
      </c>
      <c r="C155" s="6"/>
      <c r="D155" s="6" t="s">
        <v>540</v>
      </c>
      <c r="E155" s="7">
        <v>25</v>
      </c>
      <c r="F155" s="186" t="s">
        <v>368</v>
      </c>
      <c r="G155" s="75" t="str">
        <f>IFERROR(IF(VLOOKUP(TableHandbook[[#This Row],[UDC]],TableAvailabilities[],2,FALSE)&gt;0,"Y",""),"")</f>
        <v/>
      </c>
      <c r="H155" s="116" t="str">
        <f>IFERROR(IF(VLOOKUP(TableHandbook[[#This Row],[UDC]],TableAvailabilities[],3,FALSE)&gt;0,"Y",""),"")</f>
        <v/>
      </c>
      <c r="I155" s="117" t="str">
        <f>IFERROR(IF(VLOOKUP(TableHandbook[[#This Row],[UDC]],TableAvailabilities[],4,FALSE)&gt;0,"Y",""),"")</f>
        <v>Y</v>
      </c>
      <c r="J155" s="76" t="str">
        <f>IFERROR(IF(VLOOKUP(TableHandbook[[#This Row],[UDC]],TableAvailabilities[],5,FALSE)&gt;0,"Y",""),"")</f>
        <v/>
      </c>
      <c r="K155" s="289" t="s">
        <v>371</v>
      </c>
      <c r="L155" s="183" t="str">
        <f>IFERROR(VLOOKUP(TableHandbook[[#This Row],[UDC]],TableMCARTS[],7,FALSE),"")</f>
        <v/>
      </c>
      <c r="M155" s="118" t="str">
        <f>IFERROR(VLOOKUP(TableHandbook[[#This Row],[UDC]],TableMJRPCWRIT[],7,FALSE),"")</f>
        <v/>
      </c>
      <c r="N155" s="118" t="str">
        <f>IFERROR(VLOOKUP(TableHandbook[[#This Row],[UDC]],TableMJRPFINAR[],7,FALSE),"")</f>
        <v/>
      </c>
      <c r="O155" s="118" t="str">
        <f>IFERROR(VLOOKUP(TableHandbook[[#This Row],[UDC]],TableMJRPPWRIT[],7,FALSE),"")</f>
        <v>Option</v>
      </c>
      <c r="P155" s="184" t="str">
        <f>IFERROR(VLOOKUP(TableHandbook[[#This Row],[UDC]],TableMJRPSCRAR[],7,FALSE),"")</f>
        <v/>
      </c>
      <c r="Q155" s="183" t="str">
        <f>IFERROR(VLOOKUP(TableHandbook[[#This Row],[UDC]],TableMCMMJRG[],7,FALSE),"")</f>
        <v/>
      </c>
      <c r="R155" s="118" t="str">
        <f>IFERROR(VLOOKUP(TableHandbook[[#This Row],[UDC]],TableMCMMJRN[],7,FALSE),"")</f>
        <v/>
      </c>
      <c r="S155" s="118" t="str">
        <f>IFERROR(VLOOKUP(TableHandbook[[#This Row],[UDC]],TableGDMMJRN[],7,FALSE),"")</f>
        <v/>
      </c>
      <c r="T155" s="184" t="str">
        <f>IFERROR(VLOOKUP(TableHandbook[[#This Row],[UDC]],TableGCMMJRN[],7,FALSE),"")</f>
        <v/>
      </c>
      <c r="U155" s="183" t="str">
        <f>IFERROR(VLOOKUP(TableHandbook[[#This Row],[UDC]],TableMCHRIGLO[],7,FALSE),"")</f>
        <v/>
      </c>
      <c r="V155" s="118" t="str">
        <f>IFERROR(VLOOKUP(TableHandbook[[#This Row],[UDC]],TableMCHRIGHT[],7,FALSE),"")</f>
        <v/>
      </c>
      <c r="W155" s="118" t="str">
        <f>IFERROR(VLOOKUP(TableHandbook[[#This Row],[UDC]],TableGDHRIGHT[],7,FALSE),"")</f>
        <v/>
      </c>
      <c r="X155" s="184" t="str">
        <f>IFERROR(VLOOKUP(TableHandbook[[#This Row],[UDC]],TableGCHRIGHT[],7,FALSE),"")</f>
        <v/>
      </c>
      <c r="Y155" s="183" t="str">
        <f>IFERROR(VLOOKUP(TableHandbook[[#This Row],[UDC]],TableMCGLOBL2[],7,FALSE),"")</f>
        <v/>
      </c>
      <c r="Z155" s="118" t="str">
        <f>IFERROR(VLOOKUP(TableHandbook[[#This Row],[UDC]],TableMCGLOBL[],7,FALSE),"")</f>
        <v/>
      </c>
      <c r="AA155" s="297" t="str">
        <f>IFERROR(VLOOKUP(TableHandbook[[#This Row],[UDC]],TableSTRPGLOBL[],7,FALSE),"")</f>
        <v/>
      </c>
      <c r="AB155" s="297" t="str">
        <f>IFERROR(VLOOKUP(TableHandbook[[#This Row],[UDC]],TableSTRPHRIGT[],7,FALSE),"")</f>
        <v/>
      </c>
      <c r="AC155" s="297" t="str">
        <f>IFERROR(VLOOKUP(TableHandbook[[#This Row],[UDC]],TableSTRPINTRN[],7,FALSE),"")</f>
        <v/>
      </c>
      <c r="AD155" s="184" t="str">
        <f>IFERROR(VLOOKUP(TableHandbook[[#This Row],[UDC]],TableGCGLOBL[],7,FALSE),"")</f>
        <v/>
      </c>
      <c r="AE155" s="183" t="str">
        <f>IFERROR(VLOOKUP(TableHandbook[[#This Row],[UDC]],TableMCNETSCM[],7,FALSE),"")</f>
        <v/>
      </c>
      <c r="AF155" s="118" t="str">
        <f>IFERROR(VLOOKUP(TableHandbook[[#This Row],[UDC]],TableGDNETSCM[],7,FALSE),"")</f>
        <v/>
      </c>
      <c r="AG155" s="184" t="str">
        <f>IFERROR(VLOOKUP(TableHandbook[[#This Row],[UDC]],TableGCNETSCM[],7,FALSE),"")</f>
        <v/>
      </c>
      <c r="AH155" s="183" t="str">
        <f>IFERROR(VLOOKUP(TableHandbook[[#This Row],[UDC]],TableMCINTRNS[],7,FALSE),"")</f>
        <v/>
      </c>
      <c r="AI155" s="118" t="str">
        <f>IFERROR(VLOOKUP(TableHandbook[[#This Row],[UDC]],TableGDINTRNS[],7,FALSE),"")</f>
        <v/>
      </c>
      <c r="AJ155" s="184" t="str">
        <f>IFERROR(VLOOKUP(TableHandbook[[#This Row],[UDC]],TableGCINTRNS[],7,FALSE),"")</f>
        <v/>
      </c>
    </row>
    <row r="156" spans="1:36" x14ac:dyDescent="0.25">
      <c r="A156" s="6" t="s">
        <v>541</v>
      </c>
      <c r="B156" s="7">
        <v>1</v>
      </c>
      <c r="C156" s="6"/>
      <c r="D156" s="6" t="s">
        <v>542</v>
      </c>
      <c r="E156" s="7">
        <v>25</v>
      </c>
      <c r="F156" s="186" t="s">
        <v>368</v>
      </c>
      <c r="G156" s="75" t="str">
        <f>IFERROR(IF(VLOOKUP(TableHandbook[[#This Row],[UDC]],TableAvailabilities[],2,FALSE)&gt;0,"Y",""),"")</f>
        <v/>
      </c>
      <c r="H156" s="116" t="str">
        <f>IFERROR(IF(VLOOKUP(TableHandbook[[#This Row],[UDC]],TableAvailabilities[],3,FALSE)&gt;0,"Y",""),"")</f>
        <v/>
      </c>
      <c r="I156" s="117" t="str">
        <f>IFERROR(IF(VLOOKUP(TableHandbook[[#This Row],[UDC]],TableAvailabilities[],4,FALSE)&gt;0,"Y",""),"")</f>
        <v/>
      </c>
      <c r="J156" s="76" t="str">
        <f>IFERROR(IF(VLOOKUP(TableHandbook[[#This Row],[UDC]],TableAvailabilities[],5,FALSE)&gt;0,"Y",""),"")</f>
        <v/>
      </c>
      <c r="K156" s="289" t="s">
        <v>375</v>
      </c>
      <c r="L156" s="183" t="str">
        <f>IFERROR(VLOOKUP(TableHandbook[[#This Row],[UDC]],TableMCARTS[],7,FALSE),"")</f>
        <v/>
      </c>
      <c r="M156" s="118" t="str">
        <f>IFERROR(VLOOKUP(TableHandbook[[#This Row],[UDC]],TableMJRPCWRIT[],7,FALSE),"")</f>
        <v/>
      </c>
      <c r="N156" s="118" t="str">
        <f>IFERROR(VLOOKUP(TableHandbook[[#This Row],[UDC]],TableMJRPFINAR[],7,FALSE),"")</f>
        <v/>
      </c>
      <c r="O156" s="118" t="str">
        <f>IFERROR(VLOOKUP(TableHandbook[[#This Row],[UDC]],TableMJRPPWRIT[],7,FALSE),"")</f>
        <v/>
      </c>
      <c r="P156" s="184" t="str">
        <f>IFERROR(VLOOKUP(TableHandbook[[#This Row],[UDC]],TableMJRPSCRAR[],7,FALSE),"")</f>
        <v/>
      </c>
      <c r="Q156" s="183" t="str">
        <f>IFERROR(VLOOKUP(TableHandbook[[#This Row],[UDC]],TableMCMMJRG[],7,FALSE),"")</f>
        <v/>
      </c>
      <c r="R156" s="118" t="str">
        <f>IFERROR(VLOOKUP(TableHandbook[[#This Row],[UDC]],TableMCMMJRN[],7,FALSE),"")</f>
        <v/>
      </c>
      <c r="S156" s="118" t="str">
        <f>IFERROR(VLOOKUP(TableHandbook[[#This Row],[UDC]],TableGDMMJRN[],7,FALSE),"")</f>
        <v/>
      </c>
      <c r="T156" s="184" t="str">
        <f>IFERROR(VLOOKUP(TableHandbook[[#This Row],[UDC]],TableGCMMJRN[],7,FALSE),"")</f>
        <v/>
      </c>
      <c r="U156" s="183" t="str">
        <f>IFERROR(VLOOKUP(TableHandbook[[#This Row],[UDC]],TableMCHRIGLO[],7,FALSE),"")</f>
        <v/>
      </c>
      <c r="V156" s="118" t="str">
        <f>IFERROR(VLOOKUP(TableHandbook[[#This Row],[UDC]],TableMCHRIGHT[],7,FALSE),"")</f>
        <v/>
      </c>
      <c r="W156" s="118" t="str">
        <f>IFERROR(VLOOKUP(TableHandbook[[#This Row],[UDC]],TableGDHRIGHT[],7,FALSE),"")</f>
        <v/>
      </c>
      <c r="X156" s="184" t="str">
        <f>IFERROR(VLOOKUP(TableHandbook[[#This Row],[UDC]],TableGCHRIGHT[],7,FALSE),"")</f>
        <v/>
      </c>
      <c r="Y156" s="183" t="str">
        <f>IFERROR(VLOOKUP(TableHandbook[[#This Row],[UDC]],TableMCGLOBL2[],7,FALSE),"")</f>
        <v/>
      </c>
      <c r="Z156" s="118" t="str">
        <f>IFERROR(VLOOKUP(TableHandbook[[#This Row],[UDC]],TableMCGLOBL[],7,FALSE),"")</f>
        <v/>
      </c>
      <c r="AA156" s="297" t="str">
        <f>IFERROR(VLOOKUP(TableHandbook[[#This Row],[UDC]],TableSTRPGLOBL[],7,FALSE),"")</f>
        <v/>
      </c>
      <c r="AB156" s="297" t="str">
        <f>IFERROR(VLOOKUP(TableHandbook[[#This Row],[UDC]],TableSTRPHRIGT[],7,FALSE),"")</f>
        <v/>
      </c>
      <c r="AC156" s="297" t="str">
        <f>IFERROR(VLOOKUP(TableHandbook[[#This Row],[UDC]],TableSTRPINTRN[],7,FALSE),"")</f>
        <v/>
      </c>
      <c r="AD156" s="184" t="str">
        <f>IFERROR(VLOOKUP(TableHandbook[[#This Row],[UDC]],TableGCGLOBL[],7,FALSE),"")</f>
        <v/>
      </c>
      <c r="AE156" s="183" t="str">
        <f>IFERROR(VLOOKUP(TableHandbook[[#This Row],[UDC]],TableMCNETSCM[],7,FALSE),"")</f>
        <v/>
      </c>
      <c r="AF156" s="118" t="str">
        <f>IFERROR(VLOOKUP(TableHandbook[[#This Row],[UDC]],TableGDNETSCM[],7,FALSE),"")</f>
        <v/>
      </c>
      <c r="AG156" s="184" t="str">
        <f>IFERROR(VLOOKUP(TableHandbook[[#This Row],[UDC]],TableGCNETSCM[],7,FALSE),"")</f>
        <v/>
      </c>
      <c r="AH156" s="183" t="str">
        <f>IFERROR(VLOOKUP(TableHandbook[[#This Row],[UDC]],TableMCINTRNS[],7,FALSE),"")</f>
        <v/>
      </c>
      <c r="AI156" s="118" t="str">
        <f>IFERROR(VLOOKUP(TableHandbook[[#This Row],[UDC]],TableGDINTRNS[],7,FALSE),"")</f>
        <v/>
      </c>
      <c r="AJ156" s="184" t="str">
        <f>IFERROR(VLOOKUP(TableHandbook[[#This Row],[UDC]],TableGCINTRNS[],7,FALSE),"")</f>
        <v/>
      </c>
    </row>
    <row r="157" spans="1:36" x14ac:dyDescent="0.25">
      <c r="A157" s="6" t="s">
        <v>188</v>
      </c>
      <c r="B157" s="7">
        <v>1</v>
      </c>
      <c r="C157" s="6"/>
      <c r="D157" s="6" t="s">
        <v>543</v>
      </c>
      <c r="E157" s="7">
        <v>25</v>
      </c>
      <c r="F157" s="186" t="s">
        <v>368</v>
      </c>
      <c r="G157" s="75" t="str">
        <f>IFERROR(IF(VLOOKUP(TableHandbook[[#This Row],[UDC]],TableAvailabilities[],2,FALSE)&gt;0,"Y",""),"")</f>
        <v/>
      </c>
      <c r="H157" s="116" t="str">
        <f>IFERROR(IF(VLOOKUP(TableHandbook[[#This Row],[UDC]],TableAvailabilities[],3,FALSE)&gt;0,"Y",""),"")</f>
        <v/>
      </c>
      <c r="I157" s="117" t="str">
        <f>IFERROR(IF(VLOOKUP(TableHandbook[[#This Row],[UDC]],TableAvailabilities[],4,FALSE)&gt;0,"Y",""),"")</f>
        <v>Y</v>
      </c>
      <c r="J157" s="76" t="str">
        <f>IFERROR(IF(VLOOKUP(TableHandbook[[#This Row],[UDC]],TableAvailabilities[],5,FALSE)&gt;0,"Y",""),"")</f>
        <v/>
      </c>
      <c r="K157" s="289"/>
      <c r="L157" s="183" t="str">
        <f>IFERROR(VLOOKUP(TableHandbook[[#This Row],[UDC]],TableMCARTS[],7,FALSE),"")</f>
        <v/>
      </c>
      <c r="M157" s="118" t="str">
        <f>IFERROR(VLOOKUP(TableHandbook[[#This Row],[UDC]],TableMJRPCWRIT[],7,FALSE),"")</f>
        <v/>
      </c>
      <c r="N157" s="118" t="str">
        <f>IFERROR(VLOOKUP(TableHandbook[[#This Row],[UDC]],TableMJRPFINAR[],7,FALSE),"")</f>
        <v/>
      </c>
      <c r="O157" s="118" t="str">
        <f>IFERROR(VLOOKUP(TableHandbook[[#This Row],[UDC]],TableMJRPPWRIT[],7,FALSE),"")</f>
        <v>Option</v>
      </c>
      <c r="P157" s="184" t="str">
        <f>IFERROR(VLOOKUP(TableHandbook[[#This Row],[UDC]],TableMJRPSCRAR[],7,FALSE),"")</f>
        <v/>
      </c>
      <c r="Q157" s="183" t="str">
        <f>IFERROR(VLOOKUP(TableHandbook[[#This Row],[UDC]],TableMCMMJRG[],7,FALSE),"")</f>
        <v/>
      </c>
      <c r="R157" s="118" t="str">
        <f>IFERROR(VLOOKUP(TableHandbook[[#This Row],[UDC]],TableMCMMJRN[],7,FALSE),"")</f>
        <v/>
      </c>
      <c r="S157" s="118" t="str">
        <f>IFERROR(VLOOKUP(TableHandbook[[#This Row],[UDC]],TableGDMMJRN[],7,FALSE),"")</f>
        <v/>
      </c>
      <c r="T157" s="184" t="str">
        <f>IFERROR(VLOOKUP(TableHandbook[[#This Row],[UDC]],TableGCMMJRN[],7,FALSE),"")</f>
        <v/>
      </c>
      <c r="U157" s="183" t="str">
        <f>IFERROR(VLOOKUP(TableHandbook[[#This Row],[UDC]],TableMCHRIGLO[],7,FALSE),"")</f>
        <v/>
      </c>
      <c r="V157" s="118" t="str">
        <f>IFERROR(VLOOKUP(TableHandbook[[#This Row],[UDC]],TableMCHRIGHT[],7,FALSE),"")</f>
        <v/>
      </c>
      <c r="W157" s="118" t="str">
        <f>IFERROR(VLOOKUP(TableHandbook[[#This Row],[UDC]],TableGDHRIGHT[],7,FALSE),"")</f>
        <v/>
      </c>
      <c r="X157" s="184" t="str">
        <f>IFERROR(VLOOKUP(TableHandbook[[#This Row],[UDC]],TableGCHRIGHT[],7,FALSE),"")</f>
        <v/>
      </c>
      <c r="Y157" s="183" t="str">
        <f>IFERROR(VLOOKUP(TableHandbook[[#This Row],[UDC]],TableMCGLOBL2[],7,FALSE),"")</f>
        <v/>
      </c>
      <c r="Z157" s="118" t="str">
        <f>IFERROR(VLOOKUP(TableHandbook[[#This Row],[UDC]],TableMCGLOBL[],7,FALSE),"")</f>
        <v/>
      </c>
      <c r="AA157" s="297" t="str">
        <f>IFERROR(VLOOKUP(TableHandbook[[#This Row],[UDC]],TableSTRPGLOBL[],7,FALSE),"")</f>
        <v/>
      </c>
      <c r="AB157" s="297" t="str">
        <f>IFERROR(VLOOKUP(TableHandbook[[#This Row],[UDC]],TableSTRPHRIGT[],7,FALSE),"")</f>
        <v/>
      </c>
      <c r="AC157" s="297" t="str">
        <f>IFERROR(VLOOKUP(TableHandbook[[#This Row],[UDC]],TableSTRPINTRN[],7,FALSE),"")</f>
        <v/>
      </c>
      <c r="AD157" s="184" t="str">
        <f>IFERROR(VLOOKUP(TableHandbook[[#This Row],[UDC]],TableGCGLOBL[],7,FALSE),"")</f>
        <v/>
      </c>
      <c r="AE157" s="183" t="str">
        <f>IFERROR(VLOOKUP(TableHandbook[[#This Row],[UDC]],TableMCNETSCM[],7,FALSE),"")</f>
        <v/>
      </c>
      <c r="AF157" s="118" t="str">
        <f>IFERROR(VLOOKUP(TableHandbook[[#This Row],[UDC]],TableGDNETSCM[],7,FALSE),"")</f>
        <v/>
      </c>
      <c r="AG157" s="184" t="str">
        <f>IFERROR(VLOOKUP(TableHandbook[[#This Row],[UDC]],TableGCNETSCM[],7,FALSE),"")</f>
        <v/>
      </c>
      <c r="AH157" s="183" t="str">
        <f>IFERROR(VLOOKUP(TableHandbook[[#This Row],[UDC]],TableMCINTRNS[],7,FALSE),"")</f>
        <v/>
      </c>
      <c r="AI157" s="118" t="str">
        <f>IFERROR(VLOOKUP(TableHandbook[[#This Row],[UDC]],TableGDINTRNS[],7,FALSE),"")</f>
        <v/>
      </c>
      <c r="AJ157" s="184" t="str">
        <f>IFERROR(VLOOKUP(TableHandbook[[#This Row],[UDC]],TableGCINTRNS[],7,FALSE),"")</f>
        <v/>
      </c>
    </row>
    <row r="158" spans="1:36" x14ac:dyDescent="0.25">
      <c r="A158" s="6" t="s">
        <v>205</v>
      </c>
      <c r="B158" s="7">
        <v>1</v>
      </c>
      <c r="C158" s="6"/>
      <c r="D158" s="6" t="s">
        <v>544</v>
      </c>
      <c r="E158" s="7">
        <v>25</v>
      </c>
      <c r="F158" s="186" t="s">
        <v>204</v>
      </c>
      <c r="G158" s="75" t="str">
        <f>IFERROR(IF(VLOOKUP(TableHandbook[[#This Row],[UDC]],TableAvailabilities[],2,FALSE)&gt;0,"Y",""),"")</f>
        <v>Y</v>
      </c>
      <c r="H158" s="116" t="str">
        <f>IFERROR(IF(VLOOKUP(TableHandbook[[#This Row],[UDC]],TableAvailabilities[],3,FALSE)&gt;0,"Y",""),"")</f>
        <v/>
      </c>
      <c r="I158" s="117" t="str">
        <f>IFERROR(IF(VLOOKUP(TableHandbook[[#This Row],[UDC]],TableAvailabilities[],4,FALSE)&gt;0,"Y",""),"")</f>
        <v/>
      </c>
      <c r="J158" s="76" t="str">
        <f>IFERROR(IF(VLOOKUP(TableHandbook[[#This Row],[UDC]],TableAvailabilities[],5,FALSE)&gt;0,"Y",""),"")</f>
        <v/>
      </c>
      <c r="K158" s="289"/>
      <c r="L158" s="183" t="str">
        <f>IFERROR(VLOOKUP(TableHandbook[[#This Row],[UDC]],TableMCARTS[],7,FALSE),"")</f>
        <v/>
      </c>
      <c r="M158" s="118" t="str">
        <f>IFERROR(VLOOKUP(TableHandbook[[#This Row],[UDC]],TableMJRPCWRIT[],7,FALSE),"")</f>
        <v/>
      </c>
      <c r="N158" s="118" t="str">
        <f>IFERROR(VLOOKUP(TableHandbook[[#This Row],[UDC]],TableMJRPFINAR[],7,FALSE),"")</f>
        <v/>
      </c>
      <c r="O158" s="118" t="str">
        <f>IFERROR(VLOOKUP(TableHandbook[[#This Row],[UDC]],TableMJRPPWRIT[],7,FALSE),"")</f>
        <v>Option</v>
      </c>
      <c r="P158" s="184" t="str">
        <f>IFERROR(VLOOKUP(TableHandbook[[#This Row],[UDC]],TableMJRPSCRAR[],7,FALSE),"")</f>
        <v/>
      </c>
      <c r="Q158" s="183" t="str">
        <f>IFERROR(VLOOKUP(TableHandbook[[#This Row],[UDC]],TableMCMMJRG[],7,FALSE),"")</f>
        <v/>
      </c>
      <c r="R158" s="118" t="str">
        <f>IFERROR(VLOOKUP(TableHandbook[[#This Row],[UDC]],TableMCMMJRN[],7,FALSE),"")</f>
        <v/>
      </c>
      <c r="S158" s="118" t="str">
        <f>IFERROR(VLOOKUP(TableHandbook[[#This Row],[UDC]],TableGDMMJRN[],7,FALSE),"")</f>
        <v/>
      </c>
      <c r="T158" s="184" t="str">
        <f>IFERROR(VLOOKUP(TableHandbook[[#This Row],[UDC]],TableGCMMJRN[],7,FALSE),"")</f>
        <v/>
      </c>
      <c r="U158" s="183" t="str">
        <f>IFERROR(VLOOKUP(TableHandbook[[#This Row],[UDC]],TableMCHRIGLO[],7,FALSE),"")</f>
        <v/>
      </c>
      <c r="V158" s="118" t="str">
        <f>IFERROR(VLOOKUP(TableHandbook[[#This Row],[UDC]],TableMCHRIGHT[],7,FALSE),"")</f>
        <v/>
      </c>
      <c r="W158" s="118" t="str">
        <f>IFERROR(VLOOKUP(TableHandbook[[#This Row],[UDC]],TableGDHRIGHT[],7,FALSE),"")</f>
        <v/>
      </c>
      <c r="X158" s="184" t="str">
        <f>IFERROR(VLOOKUP(TableHandbook[[#This Row],[UDC]],TableGCHRIGHT[],7,FALSE),"")</f>
        <v/>
      </c>
      <c r="Y158" s="183" t="str">
        <f>IFERROR(VLOOKUP(TableHandbook[[#This Row],[UDC]],TableMCGLOBL2[],7,FALSE),"")</f>
        <v/>
      </c>
      <c r="Z158" s="118" t="str">
        <f>IFERROR(VLOOKUP(TableHandbook[[#This Row],[UDC]],TableMCGLOBL[],7,FALSE),"")</f>
        <v/>
      </c>
      <c r="AA158" s="297" t="str">
        <f>IFERROR(VLOOKUP(TableHandbook[[#This Row],[UDC]],TableSTRPGLOBL[],7,FALSE),"")</f>
        <v/>
      </c>
      <c r="AB158" s="297" t="str">
        <f>IFERROR(VLOOKUP(TableHandbook[[#This Row],[UDC]],TableSTRPHRIGT[],7,FALSE),"")</f>
        <v/>
      </c>
      <c r="AC158" s="297" t="str">
        <f>IFERROR(VLOOKUP(TableHandbook[[#This Row],[UDC]],TableSTRPINTRN[],7,FALSE),"")</f>
        <v/>
      </c>
      <c r="AD158" s="184" t="str">
        <f>IFERROR(VLOOKUP(TableHandbook[[#This Row],[UDC]],TableGCGLOBL[],7,FALSE),"")</f>
        <v/>
      </c>
      <c r="AE158" s="183" t="str">
        <f>IFERROR(VLOOKUP(TableHandbook[[#This Row],[UDC]],TableMCNETSCM[],7,FALSE),"")</f>
        <v/>
      </c>
      <c r="AF158" s="118" t="str">
        <f>IFERROR(VLOOKUP(TableHandbook[[#This Row],[UDC]],TableGDNETSCM[],7,FALSE),"")</f>
        <v/>
      </c>
      <c r="AG158" s="184" t="str">
        <f>IFERROR(VLOOKUP(TableHandbook[[#This Row],[UDC]],TableGCNETSCM[],7,FALSE),"")</f>
        <v/>
      </c>
      <c r="AH158" s="183" t="str">
        <f>IFERROR(VLOOKUP(TableHandbook[[#This Row],[UDC]],TableMCINTRNS[],7,FALSE),"")</f>
        <v/>
      </c>
      <c r="AI158" s="118" t="str">
        <f>IFERROR(VLOOKUP(TableHandbook[[#This Row],[UDC]],TableGDINTRNS[],7,FALSE),"")</f>
        <v/>
      </c>
      <c r="AJ158" s="184" t="str">
        <f>IFERROR(VLOOKUP(TableHandbook[[#This Row],[UDC]],TableGCINTRNS[],7,FALSE),"")</f>
        <v/>
      </c>
    </row>
    <row r="159" spans="1:36" x14ac:dyDescent="0.25">
      <c r="A159" s="6" t="s">
        <v>73</v>
      </c>
      <c r="B159" s="7">
        <v>2</v>
      </c>
      <c r="C159" s="6"/>
      <c r="D159" s="6" t="s">
        <v>545</v>
      </c>
      <c r="E159" s="7">
        <v>25</v>
      </c>
      <c r="F159" s="186" t="s">
        <v>368</v>
      </c>
      <c r="G159" s="75" t="str">
        <f>IFERROR(IF(VLOOKUP(TableHandbook[[#This Row],[UDC]],TableAvailabilities[],2,FALSE)&gt;0,"Y",""),"")</f>
        <v>Y</v>
      </c>
      <c r="H159" s="116" t="str">
        <f>IFERROR(IF(VLOOKUP(TableHandbook[[#This Row],[UDC]],TableAvailabilities[],3,FALSE)&gt;0,"Y",""),"")</f>
        <v/>
      </c>
      <c r="I159" s="117" t="str">
        <f>IFERROR(IF(VLOOKUP(TableHandbook[[#This Row],[UDC]],TableAvailabilities[],4,FALSE)&gt;0,"Y",""),"")</f>
        <v>Y</v>
      </c>
      <c r="J159" s="76" t="str">
        <f>IFERROR(IF(VLOOKUP(TableHandbook[[#This Row],[UDC]],TableAvailabilities[],5,FALSE)&gt;0,"Y",""),"")</f>
        <v/>
      </c>
      <c r="K159" s="289"/>
      <c r="L159" s="183" t="str">
        <f>IFERROR(VLOOKUP(TableHandbook[[#This Row],[UDC]],TableMCARTS[],7,FALSE),"")</f>
        <v/>
      </c>
      <c r="M159" s="118" t="str">
        <f>IFERROR(VLOOKUP(TableHandbook[[#This Row],[UDC]],TableMJRPCWRIT[],7,FALSE),"")</f>
        <v/>
      </c>
      <c r="N159" s="118" t="str">
        <f>IFERROR(VLOOKUP(TableHandbook[[#This Row],[UDC]],TableMJRPFINAR[],7,FALSE),"")</f>
        <v/>
      </c>
      <c r="O159" s="118" t="str">
        <f>IFERROR(VLOOKUP(TableHandbook[[#This Row],[UDC]],TableMJRPPWRIT[],7,FALSE),"")</f>
        <v/>
      </c>
      <c r="P159" s="184" t="str">
        <f>IFERROR(VLOOKUP(TableHandbook[[#This Row],[UDC]],TableMJRPSCRAR[],7,FALSE),"")</f>
        <v>Core</v>
      </c>
      <c r="Q159" s="183" t="str">
        <f>IFERROR(VLOOKUP(TableHandbook[[#This Row],[UDC]],TableMCMMJRG[],7,FALSE),"")</f>
        <v/>
      </c>
      <c r="R159" s="118" t="str">
        <f>IFERROR(VLOOKUP(TableHandbook[[#This Row],[UDC]],TableMCMMJRN[],7,FALSE),"")</f>
        <v/>
      </c>
      <c r="S159" s="118" t="str">
        <f>IFERROR(VLOOKUP(TableHandbook[[#This Row],[UDC]],TableGDMMJRN[],7,FALSE),"")</f>
        <v/>
      </c>
      <c r="T159" s="184" t="str">
        <f>IFERROR(VLOOKUP(TableHandbook[[#This Row],[UDC]],TableGCMMJRN[],7,FALSE),"")</f>
        <v/>
      </c>
      <c r="U159" s="183" t="str">
        <f>IFERROR(VLOOKUP(TableHandbook[[#This Row],[UDC]],TableMCHRIGLO[],7,FALSE),"")</f>
        <v/>
      </c>
      <c r="V159" s="118" t="str">
        <f>IFERROR(VLOOKUP(TableHandbook[[#This Row],[UDC]],TableMCHRIGHT[],7,FALSE),"")</f>
        <v/>
      </c>
      <c r="W159" s="118" t="str">
        <f>IFERROR(VLOOKUP(TableHandbook[[#This Row],[UDC]],TableGDHRIGHT[],7,FALSE),"")</f>
        <v/>
      </c>
      <c r="X159" s="184" t="str">
        <f>IFERROR(VLOOKUP(TableHandbook[[#This Row],[UDC]],TableGCHRIGHT[],7,FALSE),"")</f>
        <v/>
      </c>
      <c r="Y159" s="183" t="str">
        <f>IFERROR(VLOOKUP(TableHandbook[[#This Row],[UDC]],TableMCGLOBL2[],7,FALSE),"")</f>
        <v/>
      </c>
      <c r="Z159" s="118" t="str">
        <f>IFERROR(VLOOKUP(TableHandbook[[#This Row],[UDC]],TableMCGLOBL[],7,FALSE),"")</f>
        <v/>
      </c>
      <c r="AA159" s="297" t="str">
        <f>IFERROR(VLOOKUP(TableHandbook[[#This Row],[UDC]],TableSTRPGLOBL[],7,FALSE),"")</f>
        <v/>
      </c>
      <c r="AB159" s="297" t="str">
        <f>IFERROR(VLOOKUP(TableHandbook[[#This Row],[UDC]],TableSTRPHRIGT[],7,FALSE),"")</f>
        <v/>
      </c>
      <c r="AC159" s="297" t="str">
        <f>IFERROR(VLOOKUP(TableHandbook[[#This Row],[UDC]],TableSTRPINTRN[],7,FALSE),"")</f>
        <v/>
      </c>
      <c r="AD159" s="184" t="str">
        <f>IFERROR(VLOOKUP(TableHandbook[[#This Row],[UDC]],TableGCGLOBL[],7,FALSE),"")</f>
        <v/>
      </c>
      <c r="AE159" s="183" t="str">
        <f>IFERROR(VLOOKUP(TableHandbook[[#This Row],[UDC]],TableMCNETSCM[],7,FALSE),"")</f>
        <v/>
      </c>
      <c r="AF159" s="118" t="str">
        <f>IFERROR(VLOOKUP(TableHandbook[[#This Row],[UDC]],TableGDNETSCM[],7,FALSE),"")</f>
        <v/>
      </c>
      <c r="AG159" s="184" t="str">
        <f>IFERROR(VLOOKUP(TableHandbook[[#This Row],[UDC]],TableGCNETSCM[],7,FALSE),"")</f>
        <v/>
      </c>
      <c r="AH159" s="183" t="str">
        <f>IFERROR(VLOOKUP(TableHandbook[[#This Row],[UDC]],TableMCINTRNS[],7,FALSE),"")</f>
        <v/>
      </c>
      <c r="AI159" s="118" t="str">
        <f>IFERROR(VLOOKUP(TableHandbook[[#This Row],[UDC]],TableGDINTRNS[],7,FALSE),"")</f>
        <v/>
      </c>
      <c r="AJ159" s="184" t="str">
        <f>IFERROR(VLOOKUP(TableHandbook[[#This Row],[UDC]],TableGCINTRNS[],7,FALSE),"")</f>
        <v/>
      </c>
    </row>
    <row r="160" spans="1:36" x14ac:dyDescent="0.25">
      <c r="A160" s="6" t="s">
        <v>53</v>
      </c>
      <c r="B160" s="7">
        <v>2</v>
      </c>
      <c r="C160" s="6"/>
      <c r="D160" s="6" t="s">
        <v>546</v>
      </c>
      <c r="E160" s="7">
        <v>25</v>
      </c>
      <c r="F160" s="186" t="s">
        <v>368</v>
      </c>
      <c r="G160" s="75" t="str">
        <f>IFERROR(IF(VLOOKUP(TableHandbook[[#This Row],[UDC]],TableAvailabilities[],2,FALSE)&gt;0,"Y",""),"")</f>
        <v>Y</v>
      </c>
      <c r="H160" s="116" t="str">
        <f>IFERROR(IF(VLOOKUP(TableHandbook[[#This Row],[UDC]],TableAvailabilities[],3,FALSE)&gt;0,"Y",""),"")</f>
        <v/>
      </c>
      <c r="I160" s="117" t="str">
        <f>IFERROR(IF(VLOOKUP(TableHandbook[[#This Row],[UDC]],TableAvailabilities[],4,FALSE)&gt;0,"Y",""),"")</f>
        <v/>
      </c>
      <c r="J160" s="76" t="str">
        <f>IFERROR(IF(VLOOKUP(TableHandbook[[#This Row],[UDC]],TableAvailabilities[],5,FALSE)&gt;0,"Y",""),"")</f>
        <v/>
      </c>
      <c r="K160" s="289"/>
      <c r="L160" s="183" t="str">
        <f>IFERROR(VLOOKUP(TableHandbook[[#This Row],[UDC]],TableMCARTS[],7,FALSE),"")</f>
        <v/>
      </c>
      <c r="M160" s="118" t="str">
        <f>IFERROR(VLOOKUP(TableHandbook[[#This Row],[UDC]],TableMJRPCWRIT[],7,FALSE),"")</f>
        <v/>
      </c>
      <c r="N160" s="118" t="str">
        <f>IFERROR(VLOOKUP(TableHandbook[[#This Row],[UDC]],TableMJRPFINAR[],7,FALSE),"")</f>
        <v/>
      </c>
      <c r="O160" s="118" t="str">
        <f>IFERROR(VLOOKUP(TableHandbook[[#This Row],[UDC]],TableMJRPPWRIT[],7,FALSE),"")</f>
        <v/>
      </c>
      <c r="P160" s="184" t="str">
        <f>IFERROR(VLOOKUP(TableHandbook[[#This Row],[UDC]],TableMJRPSCRAR[],7,FALSE),"")</f>
        <v>Core</v>
      </c>
      <c r="Q160" s="183" t="str">
        <f>IFERROR(VLOOKUP(TableHandbook[[#This Row],[UDC]],TableMCMMJRG[],7,FALSE),"")</f>
        <v/>
      </c>
      <c r="R160" s="118" t="str">
        <f>IFERROR(VLOOKUP(TableHandbook[[#This Row],[UDC]],TableMCMMJRN[],7,FALSE),"")</f>
        <v/>
      </c>
      <c r="S160" s="118" t="str">
        <f>IFERROR(VLOOKUP(TableHandbook[[#This Row],[UDC]],TableGDMMJRN[],7,FALSE),"")</f>
        <v/>
      </c>
      <c r="T160" s="184" t="str">
        <f>IFERROR(VLOOKUP(TableHandbook[[#This Row],[UDC]],TableGCMMJRN[],7,FALSE),"")</f>
        <v/>
      </c>
      <c r="U160" s="183" t="str">
        <f>IFERROR(VLOOKUP(TableHandbook[[#This Row],[UDC]],TableMCHRIGLO[],7,FALSE),"")</f>
        <v/>
      </c>
      <c r="V160" s="118" t="str">
        <f>IFERROR(VLOOKUP(TableHandbook[[#This Row],[UDC]],TableMCHRIGHT[],7,FALSE),"")</f>
        <v/>
      </c>
      <c r="W160" s="118" t="str">
        <f>IFERROR(VLOOKUP(TableHandbook[[#This Row],[UDC]],TableGDHRIGHT[],7,FALSE),"")</f>
        <v/>
      </c>
      <c r="X160" s="184" t="str">
        <f>IFERROR(VLOOKUP(TableHandbook[[#This Row],[UDC]],TableGCHRIGHT[],7,FALSE),"")</f>
        <v/>
      </c>
      <c r="Y160" s="183" t="str">
        <f>IFERROR(VLOOKUP(TableHandbook[[#This Row],[UDC]],TableMCGLOBL2[],7,FALSE),"")</f>
        <v/>
      </c>
      <c r="Z160" s="118" t="str">
        <f>IFERROR(VLOOKUP(TableHandbook[[#This Row],[UDC]],TableMCGLOBL[],7,FALSE),"")</f>
        <v/>
      </c>
      <c r="AA160" s="297" t="str">
        <f>IFERROR(VLOOKUP(TableHandbook[[#This Row],[UDC]],TableSTRPGLOBL[],7,FALSE),"")</f>
        <v/>
      </c>
      <c r="AB160" s="297" t="str">
        <f>IFERROR(VLOOKUP(TableHandbook[[#This Row],[UDC]],TableSTRPHRIGT[],7,FALSE),"")</f>
        <v/>
      </c>
      <c r="AC160" s="297" t="str">
        <f>IFERROR(VLOOKUP(TableHandbook[[#This Row],[UDC]],TableSTRPINTRN[],7,FALSE),"")</f>
        <v/>
      </c>
      <c r="AD160" s="184" t="str">
        <f>IFERROR(VLOOKUP(TableHandbook[[#This Row],[UDC]],TableGCGLOBL[],7,FALSE),"")</f>
        <v/>
      </c>
      <c r="AE160" s="183" t="str">
        <f>IFERROR(VLOOKUP(TableHandbook[[#This Row],[UDC]],TableMCNETSCM[],7,FALSE),"")</f>
        <v/>
      </c>
      <c r="AF160" s="118" t="str">
        <f>IFERROR(VLOOKUP(TableHandbook[[#This Row],[UDC]],TableGDNETSCM[],7,FALSE),"")</f>
        <v/>
      </c>
      <c r="AG160" s="184" t="str">
        <f>IFERROR(VLOOKUP(TableHandbook[[#This Row],[UDC]],TableGCNETSCM[],7,FALSE),"")</f>
        <v/>
      </c>
      <c r="AH160" s="183" t="str">
        <f>IFERROR(VLOOKUP(TableHandbook[[#This Row],[UDC]],TableMCINTRNS[],7,FALSE),"")</f>
        <v/>
      </c>
      <c r="AI160" s="118" t="str">
        <f>IFERROR(VLOOKUP(TableHandbook[[#This Row],[UDC]],TableGDINTRNS[],7,FALSE),"")</f>
        <v/>
      </c>
      <c r="AJ160" s="184" t="str">
        <f>IFERROR(VLOOKUP(TableHandbook[[#This Row],[UDC]],TableGCINTRNS[],7,FALSE),"")</f>
        <v/>
      </c>
    </row>
    <row r="161" spans="1:36" x14ac:dyDescent="0.25">
      <c r="A161" s="6" t="s">
        <v>54</v>
      </c>
      <c r="B161" s="7">
        <v>3</v>
      </c>
      <c r="C161" s="6"/>
      <c r="D161" s="6" t="s">
        <v>547</v>
      </c>
      <c r="E161" s="7">
        <v>25</v>
      </c>
      <c r="F161" s="186" t="s">
        <v>368</v>
      </c>
      <c r="G161" s="75" t="str">
        <f>IFERROR(IF(VLOOKUP(TableHandbook[[#This Row],[UDC]],TableAvailabilities[],2,FALSE)&gt;0,"Y",""),"")</f>
        <v/>
      </c>
      <c r="H161" s="116" t="str">
        <f>IFERROR(IF(VLOOKUP(TableHandbook[[#This Row],[UDC]],TableAvailabilities[],3,FALSE)&gt;0,"Y",""),"")</f>
        <v/>
      </c>
      <c r="I161" s="117" t="str">
        <f>IFERROR(IF(VLOOKUP(TableHandbook[[#This Row],[UDC]],TableAvailabilities[],4,FALSE)&gt;0,"Y",""),"")</f>
        <v>Y</v>
      </c>
      <c r="J161" s="76" t="str">
        <f>IFERROR(IF(VLOOKUP(TableHandbook[[#This Row],[UDC]],TableAvailabilities[],5,FALSE)&gt;0,"Y",""),"")</f>
        <v/>
      </c>
      <c r="K161" s="289"/>
      <c r="L161" s="183" t="str">
        <f>IFERROR(VLOOKUP(TableHandbook[[#This Row],[UDC]],TableMCARTS[],7,FALSE),"")</f>
        <v/>
      </c>
      <c r="M161" s="118" t="str">
        <f>IFERROR(VLOOKUP(TableHandbook[[#This Row],[UDC]],TableMJRPCWRIT[],7,FALSE),"")</f>
        <v/>
      </c>
      <c r="N161" s="118" t="str">
        <f>IFERROR(VLOOKUP(TableHandbook[[#This Row],[UDC]],TableMJRPFINAR[],7,FALSE),"")</f>
        <v/>
      </c>
      <c r="O161" s="118" t="str">
        <f>IFERROR(VLOOKUP(TableHandbook[[#This Row],[UDC]],TableMJRPPWRIT[],7,FALSE),"")</f>
        <v/>
      </c>
      <c r="P161" s="184" t="str">
        <f>IFERROR(VLOOKUP(TableHandbook[[#This Row],[UDC]],TableMJRPSCRAR[],7,FALSE),"")</f>
        <v>Core</v>
      </c>
      <c r="Q161" s="183" t="str">
        <f>IFERROR(VLOOKUP(TableHandbook[[#This Row],[UDC]],TableMCMMJRG[],7,FALSE),"")</f>
        <v/>
      </c>
      <c r="R161" s="118" t="str">
        <f>IFERROR(VLOOKUP(TableHandbook[[#This Row],[UDC]],TableMCMMJRN[],7,FALSE),"")</f>
        <v/>
      </c>
      <c r="S161" s="118" t="str">
        <f>IFERROR(VLOOKUP(TableHandbook[[#This Row],[UDC]],TableGDMMJRN[],7,FALSE),"")</f>
        <v/>
      </c>
      <c r="T161" s="184" t="str">
        <f>IFERROR(VLOOKUP(TableHandbook[[#This Row],[UDC]],TableGCMMJRN[],7,FALSE),"")</f>
        <v/>
      </c>
      <c r="U161" s="183" t="str">
        <f>IFERROR(VLOOKUP(TableHandbook[[#This Row],[UDC]],TableMCHRIGLO[],7,FALSE),"")</f>
        <v/>
      </c>
      <c r="V161" s="118" t="str">
        <f>IFERROR(VLOOKUP(TableHandbook[[#This Row],[UDC]],TableMCHRIGHT[],7,FALSE),"")</f>
        <v/>
      </c>
      <c r="W161" s="118" t="str">
        <f>IFERROR(VLOOKUP(TableHandbook[[#This Row],[UDC]],TableGDHRIGHT[],7,FALSE),"")</f>
        <v/>
      </c>
      <c r="X161" s="184" t="str">
        <f>IFERROR(VLOOKUP(TableHandbook[[#This Row],[UDC]],TableGCHRIGHT[],7,FALSE),"")</f>
        <v/>
      </c>
      <c r="Y161" s="183" t="str">
        <f>IFERROR(VLOOKUP(TableHandbook[[#This Row],[UDC]],TableMCGLOBL2[],7,FALSE),"")</f>
        <v/>
      </c>
      <c r="Z161" s="118" t="str">
        <f>IFERROR(VLOOKUP(TableHandbook[[#This Row],[UDC]],TableMCGLOBL[],7,FALSE),"")</f>
        <v/>
      </c>
      <c r="AA161" s="297" t="str">
        <f>IFERROR(VLOOKUP(TableHandbook[[#This Row],[UDC]],TableSTRPGLOBL[],7,FALSE),"")</f>
        <v/>
      </c>
      <c r="AB161" s="297" t="str">
        <f>IFERROR(VLOOKUP(TableHandbook[[#This Row],[UDC]],TableSTRPHRIGT[],7,FALSE),"")</f>
        <v/>
      </c>
      <c r="AC161" s="297" t="str">
        <f>IFERROR(VLOOKUP(TableHandbook[[#This Row],[UDC]],TableSTRPINTRN[],7,FALSE),"")</f>
        <v/>
      </c>
      <c r="AD161" s="184" t="str">
        <f>IFERROR(VLOOKUP(TableHandbook[[#This Row],[UDC]],TableGCGLOBL[],7,FALSE),"")</f>
        <v/>
      </c>
      <c r="AE161" s="183" t="str">
        <f>IFERROR(VLOOKUP(TableHandbook[[#This Row],[UDC]],TableMCNETSCM[],7,FALSE),"")</f>
        <v/>
      </c>
      <c r="AF161" s="118" t="str">
        <f>IFERROR(VLOOKUP(TableHandbook[[#This Row],[UDC]],TableGDNETSCM[],7,FALSE),"")</f>
        <v/>
      </c>
      <c r="AG161" s="184" t="str">
        <f>IFERROR(VLOOKUP(TableHandbook[[#This Row],[UDC]],TableGCNETSCM[],7,FALSE),"")</f>
        <v/>
      </c>
      <c r="AH161" s="183" t="str">
        <f>IFERROR(VLOOKUP(TableHandbook[[#This Row],[UDC]],TableMCINTRNS[],7,FALSE),"")</f>
        <v/>
      </c>
      <c r="AI161" s="118" t="str">
        <f>IFERROR(VLOOKUP(TableHandbook[[#This Row],[UDC]],TableGDINTRNS[],7,FALSE),"")</f>
        <v/>
      </c>
      <c r="AJ161" s="184" t="str">
        <f>IFERROR(VLOOKUP(TableHandbook[[#This Row],[UDC]],TableGCINTRNS[],7,FALSE),"")</f>
        <v/>
      </c>
    </row>
    <row r="162" spans="1:36" x14ac:dyDescent="0.25">
      <c r="A162" s="6" t="s">
        <v>193</v>
      </c>
      <c r="B162" s="7">
        <v>3</v>
      </c>
      <c r="C162" s="6"/>
      <c r="D162" s="6" t="s">
        <v>548</v>
      </c>
      <c r="E162" s="7">
        <v>25</v>
      </c>
      <c r="F162" s="186" t="s">
        <v>68</v>
      </c>
      <c r="G162" s="75" t="str">
        <f>IFERROR(IF(VLOOKUP(TableHandbook[[#This Row],[UDC]],TableAvailabilities[],2,FALSE)&gt;0,"Y",""),"")</f>
        <v>Y</v>
      </c>
      <c r="H162" s="116" t="str">
        <f>IFERROR(IF(VLOOKUP(TableHandbook[[#This Row],[UDC]],TableAvailabilities[],3,FALSE)&gt;0,"Y",""),"")</f>
        <v/>
      </c>
      <c r="I162" s="117" t="str">
        <f>IFERROR(IF(VLOOKUP(TableHandbook[[#This Row],[UDC]],TableAvailabilities[],4,FALSE)&gt;0,"Y",""),"")</f>
        <v/>
      </c>
      <c r="J162" s="76" t="str">
        <f>IFERROR(IF(VLOOKUP(TableHandbook[[#This Row],[UDC]],TableAvailabilities[],5,FALSE)&gt;0,"Y",""),"")</f>
        <v/>
      </c>
      <c r="K162" s="289"/>
      <c r="L162" s="183" t="str">
        <f>IFERROR(VLOOKUP(TableHandbook[[#This Row],[UDC]],TableMCARTS[],7,FALSE),"")</f>
        <v/>
      </c>
      <c r="M162" s="118" t="str">
        <f>IFERROR(VLOOKUP(TableHandbook[[#This Row],[UDC]],TableMJRPCWRIT[],7,FALSE),"")</f>
        <v/>
      </c>
      <c r="N162" s="118" t="str">
        <f>IFERROR(VLOOKUP(TableHandbook[[#This Row],[UDC]],TableMJRPFINAR[],7,FALSE),"")</f>
        <v/>
      </c>
      <c r="O162" s="118" t="str">
        <f>IFERROR(VLOOKUP(TableHandbook[[#This Row],[UDC]],TableMJRPPWRIT[],7,FALSE),"")</f>
        <v/>
      </c>
      <c r="P162" s="184" t="str">
        <f>IFERROR(VLOOKUP(TableHandbook[[#This Row],[UDC]],TableMJRPSCRAR[],7,FALSE),"")</f>
        <v>Option</v>
      </c>
      <c r="Q162" s="183" t="str">
        <f>IFERROR(VLOOKUP(TableHandbook[[#This Row],[UDC]],TableMCMMJRG[],7,FALSE),"")</f>
        <v/>
      </c>
      <c r="R162" s="118" t="str">
        <f>IFERROR(VLOOKUP(TableHandbook[[#This Row],[UDC]],TableMCMMJRN[],7,FALSE),"")</f>
        <v/>
      </c>
      <c r="S162" s="118" t="str">
        <f>IFERROR(VLOOKUP(TableHandbook[[#This Row],[UDC]],TableGDMMJRN[],7,FALSE),"")</f>
        <v/>
      </c>
      <c r="T162" s="184" t="str">
        <f>IFERROR(VLOOKUP(TableHandbook[[#This Row],[UDC]],TableGCMMJRN[],7,FALSE),"")</f>
        <v/>
      </c>
      <c r="U162" s="183" t="str">
        <f>IFERROR(VLOOKUP(TableHandbook[[#This Row],[UDC]],TableMCHRIGLO[],7,FALSE),"")</f>
        <v/>
      </c>
      <c r="V162" s="118" t="str">
        <f>IFERROR(VLOOKUP(TableHandbook[[#This Row],[UDC]],TableMCHRIGHT[],7,FALSE),"")</f>
        <v/>
      </c>
      <c r="W162" s="118" t="str">
        <f>IFERROR(VLOOKUP(TableHandbook[[#This Row],[UDC]],TableGDHRIGHT[],7,FALSE),"")</f>
        <v/>
      </c>
      <c r="X162" s="184" t="str">
        <f>IFERROR(VLOOKUP(TableHandbook[[#This Row],[UDC]],TableGCHRIGHT[],7,FALSE),"")</f>
        <v/>
      </c>
      <c r="Y162" s="183" t="str">
        <f>IFERROR(VLOOKUP(TableHandbook[[#This Row],[UDC]],TableMCGLOBL2[],7,FALSE),"")</f>
        <v/>
      </c>
      <c r="Z162" s="118" t="str">
        <f>IFERROR(VLOOKUP(TableHandbook[[#This Row],[UDC]],TableMCGLOBL[],7,FALSE),"")</f>
        <v/>
      </c>
      <c r="AA162" s="297" t="str">
        <f>IFERROR(VLOOKUP(TableHandbook[[#This Row],[UDC]],TableSTRPGLOBL[],7,FALSE),"")</f>
        <v/>
      </c>
      <c r="AB162" s="297" t="str">
        <f>IFERROR(VLOOKUP(TableHandbook[[#This Row],[UDC]],TableSTRPHRIGT[],7,FALSE),"")</f>
        <v/>
      </c>
      <c r="AC162" s="297" t="str">
        <f>IFERROR(VLOOKUP(TableHandbook[[#This Row],[UDC]],TableSTRPINTRN[],7,FALSE),"")</f>
        <v/>
      </c>
      <c r="AD162" s="184" t="str">
        <f>IFERROR(VLOOKUP(TableHandbook[[#This Row],[UDC]],TableGCGLOBL[],7,FALSE),"")</f>
        <v/>
      </c>
      <c r="AE162" s="183" t="str">
        <f>IFERROR(VLOOKUP(TableHandbook[[#This Row],[UDC]],TableMCNETSCM[],7,FALSE),"")</f>
        <v/>
      </c>
      <c r="AF162" s="118" t="str">
        <f>IFERROR(VLOOKUP(TableHandbook[[#This Row],[UDC]],TableGDNETSCM[],7,FALSE),"")</f>
        <v/>
      </c>
      <c r="AG162" s="184" t="str">
        <f>IFERROR(VLOOKUP(TableHandbook[[#This Row],[UDC]],TableGCNETSCM[],7,FALSE),"")</f>
        <v/>
      </c>
      <c r="AH162" s="183" t="str">
        <f>IFERROR(VLOOKUP(TableHandbook[[#This Row],[UDC]],TableMCINTRNS[],7,FALSE),"")</f>
        <v/>
      </c>
      <c r="AI162" s="118" t="str">
        <f>IFERROR(VLOOKUP(TableHandbook[[#This Row],[UDC]],TableGDINTRNS[],7,FALSE),"")</f>
        <v/>
      </c>
      <c r="AJ162" s="184" t="str">
        <f>IFERROR(VLOOKUP(TableHandbook[[#This Row],[UDC]],TableGCINTRNS[],7,FALSE),"")</f>
        <v/>
      </c>
    </row>
    <row r="163" spans="1:36" x14ac:dyDescent="0.25">
      <c r="A163" s="6" t="s">
        <v>549</v>
      </c>
      <c r="B163" s="7">
        <v>2</v>
      </c>
      <c r="C163" s="6"/>
      <c r="D163" s="6" t="s">
        <v>550</v>
      </c>
      <c r="E163" s="7">
        <v>25</v>
      </c>
      <c r="F163" s="186" t="s">
        <v>551</v>
      </c>
      <c r="G163" s="75" t="str">
        <f>IFERROR(IF(VLOOKUP(TableHandbook[[#This Row],[UDC]],TableAvailabilities[],2,FALSE)&gt;0,"Y",""),"")</f>
        <v/>
      </c>
      <c r="H163" s="116" t="str">
        <f>IFERROR(IF(VLOOKUP(TableHandbook[[#This Row],[UDC]],TableAvailabilities[],3,FALSE)&gt;0,"Y",""),"")</f>
        <v/>
      </c>
      <c r="I163" s="117" t="str">
        <f>IFERROR(IF(VLOOKUP(TableHandbook[[#This Row],[UDC]],TableAvailabilities[],4,FALSE)&gt;0,"Y",""),"")</f>
        <v/>
      </c>
      <c r="J163" s="76" t="str">
        <f>IFERROR(IF(VLOOKUP(TableHandbook[[#This Row],[UDC]],TableAvailabilities[],5,FALSE)&gt;0,"Y",""),"")</f>
        <v/>
      </c>
      <c r="K163" s="289" t="s">
        <v>420</v>
      </c>
      <c r="L163" s="183" t="str">
        <f>IFERROR(VLOOKUP(TableHandbook[[#This Row],[UDC]],TableMCARTS[],7,FALSE),"")</f>
        <v/>
      </c>
      <c r="M163" s="118" t="str">
        <f>IFERROR(VLOOKUP(TableHandbook[[#This Row],[UDC]],TableMJRPCWRIT[],7,FALSE),"")</f>
        <v/>
      </c>
      <c r="N163" s="118" t="str">
        <f>IFERROR(VLOOKUP(TableHandbook[[#This Row],[UDC]],TableMJRPFINAR[],7,FALSE),"")</f>
        <v/>
      </c>
      <c r="O163" s="118" t="str">
        <f>IFERROR(VLOOKUP(TableHandbook[[#This Row],[UDC]],TableMJRPPWRIT[],7,FALSE),"")</f>
        <v/>
      </c>
      <c r="P163" s="184" t="str">
        <f>IFERROR(VLOOKUP(TableHandbook[[#This Row],[UDC]],TableMJRPSCRAR[],7,FALSE),"")</f>
        <v/>
      </c>
      <c r="Q163" s="183" t="str">
        <f>IFERROR(VLOOKUP(TableHandbook[[#This Row],[UDC]],TableMCMMJRG[],7,FALSE),"")</f>
        <v/>
      </c>
      <c r="R163" s="118" t="str">
        <f>IFERROR(VLOOKUP(TableHandbook[[#This Row],[UDC]],TableMCMMJRN[],7,FALSE),"")</f>
        <v/>
      </c>
      <c r="S163" s="118" t="str">
        <f>IFERROR(VLOOKUP(TableHandbook[[#This Row],[UDC]],TableGDMMJRN[],7,FALSE),"")</f>
        <v/>
      </c>
      <c r="T163" s="184" t="str">
        <f>IFERROR(VLOOKUP(TableHandbook[[#This Row],[UDC]],TableGCMMJRN[],7,FALSE),"")</f>
        <v/>
      </c>
      <c r="U163" s="183" t="str">
        <f>IFERROR(VLOOKUP(TableHandbook[[#This Row],[UDC]],TableMCHRIGLO[],7,FALSE),"")</f>
        <v/>
      </c>
      <c r="V163" s="118" t="str">
        <f>IFERROR(VLOOKUP(TableHandbook[[#This Row],[UDC]],TableMCHRIGHT[],7,FALSE),"")</f>
        <v/>
      </c>
      <c r="W163" s="118" t="str">
        <f>IFERROR(VLOOKUP(TableHandbook[[#This Row],[UDC]],TableGDHRIGHT[],7,FALSE),"")</f>
        <v/>
      </c>
      <c r="X163" s="184" t="str">
        <f>IFERROR(VLOOKUP(TableHandbook[[#This Row],[UDC]],TableGCHRIGHT[],7,FALSE),"")</f>
        <v/>
      </c>
      <c r="Y163" s="183" t="str">
        <f>IFERROR(VLOOKUP(TableHandbook[[#This Row],[UDC]],TableMCGLOBL2[],7,FALSE),"")</f>
        <v/>
      </c>
      <c r="Z163" s="118" t="str">
        <f>IFERROR(VLOOKUP(TableHandbook[[#This Row],[UDC]],TableMCGLOBL[],7,FALSE),"")</f>
        <v/>
      </c>
      <c r="AA163" s="297" t="str">
        <f>IFERROR(VLOOKUP(TableHandbook[[#This Row],[UDC]],TableSTRPGLOBL[],7,FALSE),"")</f>
        <v/>
      </c>
      <c r="AB163" s="297" t="str">
        <f>IFERROR(VLOOKUP(TableHandbook[[#This Row],[UDC]],TableSTRPHRIGT[],7,FALSE),"")</f>
        <v/>
      </c>
      <c r="AC163" s="297" t="str">
        <f>IFERROR(VLOOKUP(TableHandbook[[#This Row],[UDC]],TableSTRPINTRN[],7,FALSE),"")</f>
        <v/>
      </c>
      <c r="AD163" s="184" t="str">
        <f>IFERROR(VLOOKUP(TableHandbook[[#This Row],[UDC]],TableGCGLOBL[],7,FALSE),"")</f>
        <v/>
      </c>
      <c r="AE163" s="183" t="str">
        <f>IFERROR(VLOOKUP(TableHandbook[[#This Row],[UDC]],TableMCNETSCM[],7,FALSE),"")</f>
        <v/>
      </c>
      <c r="AF163" s="118" t="str">
        <f>IFERROR(VLOOKUP(TableHandbook[[#This Row],[UDC]],TableGDNETSCM[],7,FALSE),"")</f>
        <v/>
      </c>
      <c r="AG163" s="184" t="str">
        <f>IFERROR(VLOOKUP(TableHandbook[[#This Row],[UDC]],TableGCNETSCM[],7,FALSE),"")</f>
        <v/>
      </c>
      <c r="AH163" s="183" t="str">
        <f>IFERROR(VLOOKUP(TableHandbook[[#This Row],[UDC]],TableMCINTRNS[],7,FALSE),"")</f>
        <v/>
      </c>
      <c r="AI163" s="118" t="str">
        <f>IFERROR(VLOOKUP(TableHandbook[[#This Row],[UDC]],TableGDINTRNS[],7,FALSE),"")</f>
        <v/>
      </c>
      <c r="AJ163" s="184" t="str">
        <f>IFERROR(VLOOKUP(TableHandbook[[#This Row],[UDC]],TableGCINTRNS[],7,FALSE),"")</f>
        <v/>
      </c>
    </row>
    <row r="164" spans="1:36" x14ac:dyDescent="0.25">
      <c r="A164" s="6" t="s">
        <v>195</v>
      </c>
      <c r="B164" s="7">
        <v>5</v>
      </c>
      <c r="C164" s="6"/>
      <c r="D164" s="6" t="s">
        <v>552</v>
      </c>
      <c r="E164" s="7">
        <v>25</v>
      </c>
      <c r="F164" s="186" t="s">
        <v>68</v>
      </c>
      <c r="G164" s="75" t="str">
        <f>IFERROR(IF(VLOOKUP(TableHandbook[[#This Row],[UDC]],TableAvailabilities[],2,FALSE)&gt;0,"Y",""),"")</f>
        <v>Y</v>
      </c>
      <c r="H164" s="116" t="str">
        <f>IFERROR(IF(VLOOKUP(TableHandbook[[#This Row],[UDC]],TableAvailabilities[],3,FALSE)&gt;0,"Y",""),"")</f>
        <v/>
      </c>
      <c r="I164" s="117" t="str">
        <f>IFERROR(IF(VLOOKUP(TableHandbook[[#This Row],[UDC]],TableAvailabilities[],4,FALSE)&gt;0,"Y",""),"")</f>
        <v/>
      </c>
      <c r="J164" s="76" t="str">
        <f>IFERROR(IF(VLOOKUP(TableHandbook[[#This Row],[UDC]],TableAvailabilities[],5,FALSE)&gt;0,"Y",""),"")</f>
        <v/>
      </c>
      <c r="K164" s="290"/>
      <c r="L164" s="183" t="str">
        <f>IFERROR(VLOOKUP(TableHandbook[[#This Row],[UDC]],TableMCARTS[],7,FALSE),"")</f>
        <v/>
      </c>
      <c r="M164" s="118" t="str">
        <f>IFERROR(VLOOKUP(TableHandbook[[#This Row],[UDC]],TableMJRPCWRIT[],7,FALSE),"")</f>
        <v/>
      </c>
      <c r="N164" s="118" t="str">
        <f>IFERROR(VLOOKUP(TableHandbook[[#This Row],[UDC]],TableMJRPFINAR[],7,FALSE),"")</f>
        <v/>
      </c>
      <c r="O164" s="118" t="str">
        <f>IFERROR(VLOOKUP(TableHandbook[[#This Row],[UDC]],TableMJRPPWRIT[],7,FALSE),"")</f>
        <v/>
      </c>
      <c r="P164" s="184" t="str">
        <f>IFERROR(VLOOKUP(TableHandbook[[#This Row],[UDC]],TableMJRPSCRAR[],7,FALSE),"")</f>
        <v>Option</v>
      </c>
      <c r="Q164" s="183" t="str">
        <f>IFERROR(VLOOKUP(TableHandbook[[#This Row],[UDC]],TableMCMMJRG[],7,FALSE),"")</f>
        <v/>
      </c>
      <c r="R164" s="118" t="str">
        <f>IFERROR(VLOOKUP(TableHandbook[[#This Row],[UDC]],TableMCMMJRN[],7,FALSE),"")</f>
        <v/>
      </c>
      <c r="S164" s="118" t="str">
        <f>IFERROR(VLOOKUP(TableHandbook[[#This Row],[UDC]],TableGDMMJRN[],7,FALSE),"")</f>
        <v/>
      </c>
      <c r="T164" s="184" t="str">
        <f>IFERROR(VLOOKUP(TableHandbook[[#This Row],[UDC]],TableGCMMJRN[],7,FALSE),"")</f>
        <v/>
      </c>
      <c r="U164" s="183" t="str">
        <f>IFERROR(VLOOKUP(TableHandbook[[#This Row],[UDC]],TableMCHRIGLO[],7,FALSE),"")</f>
        <v/>
      </c>
      <c r="V164" s="118" t="str">
        <f>IFERROR(VLOOKUP(TableHandbook[[#This Row],[UDC]],TableMCHRIGHT[],7,FALSE),"")</f>
        <v/>
      </c>
      <c r="W164" s="118" t="str">
        <f>IFERROR(VLOOKUP(TableHandbook[[#This Row],[UDC]],TableGDHRIGHT[],7,FALSE),"")</f>
        <v/>
      </c>
      <c r="X164" s="184" t="str">
        <f>IFERROR(VLOOKUP(TableHandbook[[#This Row],[UDC]],TableGCHRIGHT[],7,FALSE),"")</f>
        <v/>
      </c>
      <c r="Y164" s="183" t="str">
        <f>IFERROR(VLOOKUP(TableHandbook[[#This Row],[UDC]],TableMCGLOBL2[],7,FALSE),"")</f>
        <v/>
      </c>
      <c r="Z164" s="118" t="str">
        <f>IFERROR(VLOOKUP(TableHandbook[[#This Row],[UDC]],TableMCGLOBL[],7,FALSE),"")</f>
        <v/>
      </c>
      <c r="AA164" s="297" t="str">
        <f>IFERROR(VLOOKUP(TableHandbook[[#This Row],[UDC]],TableSTRPGLOBL[],7,FALSE),"")</f>
        <v/>
      </c>
      <c r="AB164" s="297" t="str">
        <f>IFERROR(VLOOKUP(TableHandbook[[#This Row],[UDC]],TableSTRPHRIGT[],7,FALSE),"")</f>
        <v/>
      </c>
      <c r="AC164" s="297" t="str">
        <f>IFERROR(VLOOKUP(TableHandbook[[#This Row],[UDC]],TableSTRPINTRN[],7,FALSE),"")</f>
        <v/>
      </c>
      <c r="AD164" s="184" t="str">
        <f>IFERROR(VLOOKUP(TableHandbook[[#This Row],[UDC]],TableGCGLOBL[],7,FALSE),"")</f>
        <v/>
      </c>
      <c r="AE164" s="183" t="str">
        <f>IFERROR(VLOOKUP(TableHandbook[[#This Row],[UDC]],TableMCNETSCM[],7,FALSE),"")</f>
        <v/>
      </c>
      <c r="AF164" s="118" t="str">
        <f>IFERROR(VLOOKUP(TableHandbook[[#This Row],[UDC]],TableGDNETSCM[],7,FALSE),"")</f>
        <v/>
      </c>
      <c r="AG164" s="184" t="str">
        <f>IFERROR(VLOOKUP(TableHandbook[[#This Row],[UDC]],TableGCNETSCM[],7,FALSE),"")</f>
        <v/>
      </c>
      <c r="AH164" s="183" t="str">
        <f>IFERROR(VLOOKUP(TableHandbook[[#This Row],[UDC]],TableMCINTRNS[],7,FALSE),"")</f>
        <v/>
      </c>
      <c r="AI164" s="118" t="str">
        <f>IFERROR(VLOOKUP(TableHandbook[[#This Row],[UDC]],TableGDINTRNS[],7,FALSE),"")</f>
        <v/>
      </c>
      <c r="AJ164" s="184" t="str">
        <f>IFERROR(VLOOKUP(TableHandbook[[#This Row],[UDC]],TableGCINTRNS[],7,FALSE),"")</f>
        <v/>
      </c>
    </row>
    <row r="165" spans="1:36" x14ac:dyDescent="0.25">
      <c r="A165" s="6" t="s">
        <v>68</v>
      </c>
      <c r="B165" s="7">
        <v>2</v>
      </c>
      <c r="C165" s="6"/>
      <c r="D165" s="6" t="s">
        <v>553</v>
      </c>
      <c r="E165" s="7">
        <v>25</v>
      </c>
      <c r="F165" s="186" t="s">
        <v>368</v>
      </c>
      <c r="G165" s="75" t="str">
        <f>IFERROR(IF(VLOOKUP(TableHandbook[[#This Row],[UDC]],TableAvailabilities[],2,FALSE)&gt;0,"Y",""),"")</f>
        <v>Y</v>
      </c>
      <c r="H165" s="116" t="str">
        <f>IFERROR(IF(VLOOKUP(TableHandbook[[#This Row],[UDC]],TableAvailabilities[],3,FALSE)&gt;0,"Y",""),"")</f>
        <v/>
      </c>
      <c r="I165" s="117" t="str">
        <f>IFERROR(IF(VLOOKUP(TableHandbook[[#This Row],[UDC]],TableAvailabilities[],4,FALSE)&gt;0,"Y",""),"")</f>
        <v>Y</v>
      </c>
      <c r="J165" s="76" t="str">
        <f>IFERROR(IF(VLOOKUP(TableHandbook[[#This Row],[UDC]],TableAvailabilities[],5,FALSE)&gt;0,"Y",""),"")</f>
        <v/>
      </c>
      <c r="K165" s="289"/>
      <c r="L165" s="183" t="str">
        <f>IFERROR(VLOOKUP(TableHandbook[[#This Row],[UDC]],TableMCARTS[],7,FALSE),"")</f>
        <v/>
      </c>
      <c r="M165" s="118" t="str">
        <f>IFERROR(VLOOKUP(TableHandbook[[#This Row],[UDC]],TableMJRPCWRIT[],7,FALSE),"")</f>
        <v/>
      </c>
      <c r="N165" s="118" t="str">
        <f>IFERROR(VLOOKUP(TableHandbook[[#This Row],[UDC]],TableMJRPFINAR[],7,FALSE),"")</f>
        <v/>
      </c>
      <c r="O165" s="118" t="str">
        <f>IFERROR(VLOOKUP(TableHandbook[[#This Row],[UDC]],TableMJRPPWRIT[],7,FALSE),"")</f>
        <v/>
      </c>
      <c r="P165" s="184" t="str">
        <f>IFERROR(VLOOKUP(TableHandbook[[#This Row],[UDC]],TableMJRPSCRAR[],7,FALSE),"")</f>
        <v>Core</v>
      </c>
      <c r="Q165" s="183" t="str">
        <f>IFERROR(VLOOKUP(TableHandbook[[#This Row],[UDC]],TableMCMMJRG[],7,FALSE),"")</f>
        <v/>
      </c>
      <c r="R165" s="118" t="str">
        <f>IFERROR(VLOOKUP(TableHandbook[[#This Row],[UDC]],TableMCMMJRN[],7,FALSE),"")</f>
        <v/>
      </c>
      <c r="S165" s="118" t="str">
        <f>IFERROR(VLOOKUP(TableHandbook[[#This Row],[UDC]],TableGDMMJRN[],7,FALSE),"")</f>
        <v/>
      </c>
      <c r="T165" s="184" t="str">
        <f>IFERROR(VLOOKUP(TableHandbook[[#This Row],[UDC]],TableGCMMJRN[],7,FALSE),"")</f>
        <v/>
      </c>
      <c r="U165" s="183" t="str">
        <f>IFERROR(VLOOKUP(TableHandbook[[#This Row],[UDC]],TableMCHRIGLO[],7,FALSE),"")</f>
        <v/>
      </c>
      <c r="V165" s="118" t="str">
        <f>IFERROR(VLOOKUP(TableHandbook[[#This Row],[UDC]],TableMCHRIGHT[],7,FALSE),"")</f>
        <v/>
      </c>
      <c r="W165" s="118" t="str">
        <f>IFERROR(VLOOKUP(TableHandbook[[#This Row],[UDC]],TableGDHRIGHT[],7,FALSE),"")</f>
        <v/>
      </c>
      <c r="X165" s="184" t="str">
        <f>IFERROR(VLOOKUP(TableHandbook[[#This Row],[UDC]],TableGCHRIGHT[],7,FALSE),"")</f>
        <v/>
      </c>
      <c r="Y165" s="183" t="str">
        <f>IFERROR(VLOOKUP(TableHandbook[[#This Row],[UDC]],TableMCGLOBL2[],7,FALSE),"")</f>
        <v/>
      </c>
      <c r="Z165" s="118" t="str">
        <f>IFERROR(VLOOKUP(TableHandbook[[#This Row],[UDC]],TableMCGLOBL[],7,FALSE),"")</f>
        <v/>
      </c>
      <c r="AA165" s="297" t="str">
        <f>IFERROR(VLOOKUP(TableHandbook[[#This Row],[UDC]],TableSTRPGLOBL[],7,FALSE),"")</f>
        <v/>
      </c>
      <c r="AB165" s="297" t="str">
        <f>IFERROR(VLOOKUP(TableHandbook[[#This Row],[UDC]],TableSTRPHRIGT[],7,FALSE),"")</f>
        <v/>
      </c>
      <c r="AC165" s="297" t="str">
        <f>IFERROR(VLOOKUP(TableHandbook[[#This Row],[UDC]],TableSTRPINTRN[],7,FALSE),"")</f>
        <v/>
      </c>
      <c r="AD165" s="184" t="str">
        <f>IFERROR(VLOOKUP(TableHandbook[[#This Row],[UDC]],TableGCGLOBL[],7,FALSE),"")</f>
        <v/>
      </c>
      <c r="AE165" s="183" t="str">
        <f>IFERROR(VLOOKUP(TableHandbook[[#This Row],[UDC]],TableMCNETSCM[],7,FALSE),"")</f>
        <v/>
      </c>
      <c r="AF165" s="118" t="str">
        <f>IFERROR(VLOOKUP(TableHandbook[[#This Row],[UDC]],TableGDNETSCM[],7,FALSE),"")</f>
        <v/>
      </c>
      <c r="AG165" s="184" t="str">
        <f>IFERROR(VLOOKUP(TableHandbook[[#This Row],[UDC]],TableGCNETSCM[],7,FALSE),"")</f>
        <v/>
      </c>
      <c r="AH165" s="183" t="str">
        <f>IFERROR(VLOOKUP(TableHandbook[[#This Row],[UDC]],TableMCINTRNS[],7,FALSE),"")</f>
        <v/>
      </c>
      <c r="AI165" s="118" t="str">
        <f>IFERROR(VLOOKUP(TableHandbook[[#This Row],[UDC]],TableGDINTRNS[],7,FALSE),"")</f>
        <v/>
      </c>
      <c r="AJ165" s="184" t="str">
        <f>IFERROR(VLOOKUP(TableHandbook[[#This Row],[UDC]],TableGCINTRNS[],7,FALSE),"")</f>
        <v/>
      </c>
    </row>
    <row r="166" spans="1:36" x14ac:dyDescent="0.25">
      <c r="A166" s="6" t="s">
        <v>83</v>
      </c>
      <c r="B166" s="7">
        <v>3</v>
      </c>
      <c r="C166" s="6"/>
      <c r="D166" s="6" t="s">
        <v>554</v>
      </c>
      <c r="E166" s="7">
        <v>25</v>
      </c>
      <c r="F166" s="186" t="s">
        <v>68</v>
      </c>
      <c r="G166" s="75" t="str">
        <f>IFERROR(IF(VLOOKUP(TableHandbook[[#This Row],[UDC]],TableAvailabilities[],2,FALSE)&gt;0,"Y",""),"")</f>
        <v>Y</v>
      </c>
      <c r="H166" s="116" t="str">
        <f>IFERROR(IF(VLOOKUP(TableHandbook[[#This Row],[UDC]],TableAvailabilities[],3,FALSE)&gt;0,"Y",""),"")</f>
        <v/>
      </c>
      <c r="I166" s="117" t="str">
        <f>IFERROR(IF(VLOOKUP(TableHandbook[[#This Row],[UDC]],TableAvailabilities[],4,FALSE)&gt;0,"Y",""),"")</f>
        <v>Y</v>
      </c>
      <c r="J166" s="76" t="str">
        <f>IFERROR(IF(VLOOKUP(TableHandbook[[#This Row],[UDC]],TableAvailabilities[],5,FALSE)&gt;0,"Y",""),"")</f>
        <v/>
      </c>
      <c r="K166" s="289"/>
      <c r="L166" s="183" t="str">
        <f>IFERROR(VLOOKUP(TableHandbook[[#This Row],[UDC]],TableMCARTS[],7,FALSE),"")</f>
        <v/>
      </c>
      <c r="M166" s="118" t="str">
        <f>IFERROR(VLOOKUP(TableHandbook[[#This Row],[UDC]],TableMJRPCWRIT[],7,FALSE),"")</f>
        <v/>
      </c>
      <c r="N166" s="118" t="str">
        <f>IFERROR(VLOOKUP(TableHandbook[[#This Row],[UDC]],TableMJRPFINAR[],7,FALSE),"")</f>
        <v/>
      </c>
      <c r="O166" s="118" t="str">
        <f>IFERROR(VLOOKUP(TableHandbook[[#This Row],[UDC]],TableMJRPPWRIT[],7,FALSE),"")</f>
        <v/>
      </c>
      <c r="P166" s="184" t="str">
        <f>IFERROR(VLOOKUP(TableHandbook[[#This Row],[UDC]],TableMJRPSCRAR[],7,FALSE),"")</f>
        <v>Core</v>
      </c>
      <c r="Q166" s="183" t="str">
        <f>IFERROR(VLOOKUP(TableHandbook[[#This Row],[UDC]],TableMCMMJRG[],7,FALSE),"")</f>
        <v/>
      </c>
      <c r="R166" s="118" t="str">
        <f>IFERROR(VLOOKUP(TableHandbook[[#This Row],[UDC]],TableMCMMJRN[],7,FALSE),"")</f>
        <v/>
      </c>
      <c r="S166" s="118" t="str">
        <f>IFERROR(VLOOKUP(TableHandbook[[#This Row],[UDC]],TableGDMMJRN[],7,FALSE),"")</f>
        <v/>
      </c>
      <c r="T166" s="184" t="str">
        <f>IFERROR(VLOOKUP(TableHandbook[[#This Row],[UDC]],TableGCMMJRN[],7,FALSE),"")</f>
        <v/>
      </c>
      <c r="U166" s="183" t="str">
        <f>IFERROR(VLOOKUP(TableHandbook[[#This Row],[UDC]],TableMCHRIGLO[],7,FALSE),"")</f>
        <v/>
      </c>
      <c r="V166" s="118" t="str">
        <f>IFERROR(VLOOKUP(TableHandbook[[#This Row],[UDC]],TableMCHRIGHT[],7,FALSE),"")</f>
        <v/>
      </c>
      <c r="W166" s="118" t="str">
        <f>IFERROR(VLOOKUP(TableHandbook[[#This Row],[UDC]],TableGDHRIGHT[],7,FALSE),"")</f>
        <v/>
      </c>
      <c r="X166" s="184" t="str">
        <f>IFERROR(VLOOKUP(TableHandbook[[#This Row],[UDC]],TableGCHRIGHT[],7,FALSE),"")</f>
        <v/>
      </c>
      <c r="Y166" s="183" t="str">
        <f>IFERROR(VLOOKUP(TableHandbook[[#This Row],[UDC]],TableMCGLOBL2[],7,FALSE),"")</f>
        <v/>
      </c>
      <c r="Z166" s="118" t="str">
        <f>IFERROR(VLOOKUP(TableHandbook[[#This Row],[UDC]],TableMCGLOBL[],7,FALSE),"")</f>
        <v/>
      </c>
      <c r="AA166" s="297" t="str">
        <f>IFERROR(VLOOKUP(TableHandbook[[#This Row],[UDC]],TableSTRPGLOBL[],7,FALSE),"")</f>
        <v/>
      </c>
      <c r="AB166" s="297" t="str">
        <f>IFERROR(VLOOKUP(TableHandbook[[#This Row],[UDC]],TableSTRPHRIGT[],7,FALSE),"")</f>
        <v/>
      </c>
      <c r="AC166" s="297" t="str">
        <f>IFERROR(VLOOKUP(TableHandbook[[#This Row],[UDC]],TableSTRPINTRN[],7,FALSE),"")</f>
        <v/>
      </c>
      <c r="AD166" s="184" t="str">
        <f>IFERROR(VLOOKUP(TableHandbook[[#This Row],[UDC]],TableGCGLOBL[],7,FALSE),"")</f>
        <v/>
      </c>
      <c r="AE166" s="183" t="str">
        <f>IFERROR(VLOOKUP(TableHandbook[[#This Row],[UDC]],TableMCNETSCM[],7,FALSE),"")</f>
        <v/>
      </c>
      <c r="AF166" s="118" t="str">
        <f>IFERROR(VLOOKUP(TableHandbook[[#This Row],[UDC]],TableGDNETSCM[],7,FALSE),"")</f>
        <v/>
      </c>
      <c r="AG166" s="184" t="str">
        <f>IFERROR(VLOOKUP(TableHandbook[[#This Row],[UDC]],TableGCNETSCM[],7,FALSE),"")</f>
        <v/>
      </c>
      <c r="AH166" s="183" t="str">
        <f>IFERROR(VLOOKUP(TableHandbook[[#This Row],[UDC]],TableMCINTRNS[],7,FALSE),"")</f>
        <v/>
      </c>
      <c r="AI166" s="118" t="str">
        <f>IFERROR(VLOOKUP(TableHandbook[[#This Row],[UDC]],TableGDINTRNS[],7,FALSE),"")</f>
        <v/>
      </c>
      <c r="AJ166" s="184" t="str">
        <f>IFERROR(VLOOKUP(TableHandbook[[#This Row],[UDC]],TableGCINTRNS[],7,FALSE),"")</f>
        <v/>
      </c>
    </row>
    <row r="167" spans="1:36" x14ac:dyDescent="0.25">
      <c r="A167" s="6" t="s">
        <v>96</v>
      </c>
      <c r="B167" s="7">
        <v>1</v>
      </c>
      <c r="C167" s="6"/>
      <c r="D167" s="6" t="s">
        <v>550</v>
      </c>
      <c r="E167" s="7">
        <v>25</v>
      </c>
      <c r="F167" s="186" t="s">
        <v>555</v>
      </c>
      <c r="G167" s="75" t="str">
        <f>IFERROR(IF(VLOOKUP(TableHandbook[[#This Row],[UDC]],TableAvailabilities[],2,FALSE)&gt;0,"Y",""),"")</f>
        <v>Y</v>
      </c>
      <c r="H167" s="116" t="str">
        <f>IFERROR(IF(VLOOKUP(TableHandbook[[#This Row],[UDC]],TableAvailabilities[],3,FALSE)&gt;0,"Y",""),"")</f>
        <v/>
      </c>
      <c r="I167" s="117" t="str">
        <f>IFERROR(IF(VLOOKUP(TableHandbook[[#This Row],[UDC]],TableAvailabilities[],4,FALSE)&gt;0,"Y",""),"")</f>
        <v/>
      </c>
      <c r="J167" s="76" t="str">
        <f>IFERROR(IF(VLOOKUP(TableHandbook[[#This Row],[UDC]],TableAvailabilities[],5,FALSE)&gt;0,"Y",""),"")</f>
        <v/>
      </c>
      <c r="K167" s="289"/>
      <c r="L167" s="183" t="str">
        <f>IFERROR(VLOOKUP(TableHandbook[[#This Row],[UDC]],TableMCARTS[],7,FALSE),"")</f>
        <v/>
      </c>
      <c r="M167" s="118" t="str">
        <f>IFERROR(VLOOKUP(TableHandbook[[#This Row],[UDC]],TableMJRPCWRIT[],7,FALSE),"")</f>
        <v/>
      </c>
      <c r="N167" s="118" t="str">
        <f>IFERROR(VLOOKUP(TableHandbook[[#This Row],[UDC]],TableMJRPFINAR[],7,FALSE),"")</f>
        <v/>
      </c>
      <c r="O167" s="118" t="str">
        <f>IFERROR(VLOOKUP(TableHandbook[[#This Row],[UDC]],TableMJRPPWRIT[],7,FALSE),"")</f>
        <v/>
      </c>
      <c r="P167" s="184" t="str">
        <f>IFERROR(VLOOKUP(TableHandbook[[#This Row],[UDC]],TableMJRPSCRAR[],7,FALSE),"")</f>
        <v>Core</v>
      </c>
      <c r="Q167" s="183" t="str">
        <f>IFERROR(VLOOKUP(TableHandbook[[#This Row],[UDC]],TableMCMMJRG[],7,FALSE),"")</f>
        <v/>
      </c>
      <c r="R167" s="118" t="str">
        <f>IFERROR(VLOOKUP(TableHandbook[[#This Row],[UDC]],TableMCMMJRN[],7,FALSE),"")</f>
        <v/>
      </c>
      <c r="S167" s="118" t="str">
        <f>IFERROR(VLOOKUP(TableHandbook[[#This Row],[UDC]],TableGDMMJRN[],7,FALSE),"")</f>
        <v/>
      </c>
      <c r="T167" s="184" t="str">
        <f>IFERROR(VLOOKUP(TableHandbook[[#This Row],[UDC]],TableGCMMJRN[],7,FALSE),"")</f>
        <v/>
      </c>
      <c r="U167" s="183" t="str">
        <f>IFERROR(VLOOKUP(TableHandbook[[#This Row],[UDC]],TableMCHRIGLO[],7,FALSE),"")</f>
        <v/>
      </c>
      <c r="V167" s="118" t="str">
        <f>IFERROR(VLOOKUP(TableHandbook[[#This Row],[UDC]],TableMCHRIGHT[],7,FALSE),"")</f>
        <v/>
      </c>
      <c r="W167" s="118" t="str">
        <f>IFERROR(VLOOKUP(TableHandbook[[#This Row],[UDC]],TableGDHRIGHT[],7,FALSE),"")</f>
        <v/>
      </c>
      <c r="X167" s="184" t="str">
        <f>IFERROR(VLOOKUP(TableHandbook[[#This Row],[UDC]],TableGCHRIGHT[],7,FALSE),"")</f>
        <v/>
      </c>
      <c r="Y167" s="183" t="str">
        <f>IFERROR(VLOOKUP(TableHandbook[[#This Row],[UDC]],TableMCGLOBL2[],7,FALSE),"")</f>
        <v/>
      </c>
      <c r="Z167" s="118" t="str">
        <f>IFERROR(VLOOKUP(TableHandbook[[#This Row],[UDC]],TableMCGLOBL[],7,FALSE),"")</f>
        <v/>
      </c>
      <c r="AA167" s="297" t="str">
        <f>IFERROR(VLOOKUP(TableHandbook[[#This Row],[UDC]],TableSTRPGLOBL[],7,FALSE),"")</f>
        <v/>
      </c>
      <c r="AB167" s="297" t="str">
        <f>IFERROR(VLOOKUP(TableHandbook[[#This Row],[UDC]],TableSTRPHRIGT[],7,FALSE),"")</f>
        <v/>
      </c>
      <c r="AC167" s="297" t="str">
        <f>IFERROR(VLOOKUP(TableHandbook[[#This Row],[UDC]],TableSTRPINTRN[],7,FALSE),"")</f>
        <v/>
      </c>
      <c r="AD167" s="184" t="str">
        <f>IFERROR(VLOOKUP(TableHandbook[[#This Row],[UDC]],TableGCGLOBL[],7,FALSE),"")</f>
        <v/>
      </c>
      <c r="AE167" s="183" t="str">
        <f>IFERROR(VLOOKUP(TableHandbook[[#This Row],[UDC]],TableMCNETSCM[],7,FALSE),"")</f>
        <v/>
      </c>
      <c r="AF167" s="118" t="str">
        <f>IFERROR(VLOOKUP(TableHandbook[[#This Row],[UDC]],TableGDNETSCM[],7,FALSE),"")</f>
        <v/>
      </c>
      <c r="AG167" s="184" t="str">
        <f>IFERROR(VLOOKUP(TableHandbook[[#This Row],[UDC]],TableGCNETSCM[],7,FALSE),"")</f>
        <v/>
      </c>
      <c r="AH167" s="183" t="str">
        <f>IFERROR(VLOOKUP(TableHandbook[[#This Row],[UDC]],TableMCINTRNS[],7,FALSE),"")</f>
        <v/>
      </c>
      <c r="AI167" s="118" t="str">
        <f>IFERROR(VLOOKUP(TableHandbook[[#This Row],[UDC]],TableGDINTRNS[],7,FALSE),"")</f>
        <v/>
      </c>
      <c r="AJ167" s="184" t="str">
        <f>IFERROR(VLOOKUP(TableHandbook[[#This Row],[UDC]],TableGCINTRNS[],7,FALSE),"")</f>
        <v/>
      </c>
    </row>
    <row r="168" spans="1:36" x14ac:dyDescent="0.25">
      <c r="A168" s="6" t="s">
        <v>556</v>
      </c>
      <c r="B168" s="7">
        <v>0</v>
      </c>
      <c r="C168" s="6"/>
      <c r="D168" s="6" t="s">
        <v>557</v>
      </c>
      <c r="E168" s="7">
        <v>100</v>
      </c>
      <c r="F168" s="186"/>
      <c r="G168" s="75" t="str">
        <f>IFERROR(IF(VLOOKUP(TableHandbook[[#This Row],[UDC]],TableAvailabilities[],2,FALSE)&gt;0,"Y",""),"")</f>
        <v/>
      </c>
      <c r="H168" s="116" t="str">
        <f>IFERROR(IF(VLOOKUP(TableHandbook[[#This Row],[UDC]],TableAvailabilities[],3,FALSE)&gt;0,"Y",""),"")</f>
        <v/>
      </c>
      <c r="I168" s="117" t="str">
        <f>IFERROR(IF(VLOOKUP(TableHandbook[[#This Row],[UDC]],TableAvailabilities[],4,FALSE)&gt;0,"Y",""),"")</f>
        <v/>
      </c>
      <c r="J168" s="76" t="str">
        <f>IFERROR(IF(VLOOKUP(TableHandbook[[#This Row],[UDC]],TableAvailabilities[],5,FALSE)&gt;0,"Y",""),"")</f>
        <v/>
      </c>
      <c r="K168" s="289"/>
      <c r="L168" s="183" t="str">
        <f>IFERROR(VLOOKUP(TableHandbook[[#This Row],[UDC]],TableMCARTS[],7,FALSE),"")</f>
        <v/>
      </c>
      <c r="M168" s="118" t="str">
        <f>IFERROR(VLOOKUP(TableHandbook[[#This Row],[UDC]],TableMJRPCWRIT[],7,FALSE),"")</f>
        <v/>
      </c>
      <c r="N168" s="118" t="str">
        <f>IFERROR(VLOOKUP(TableHandbook[[#This Row],[UDC]],TableMJRPFINAR[],7,FALSE),"")</f>
        <v/>
      </c>
      <c r="O168" s="118" t="str">
        <f>IFERROR(VLOOKUP(TableHandbook[[#This Row],[UDC]],TableMJRPPWRIT[],7,FALSE),"")</f>
        <v/>
      </c>
      <c r="P168" s="184" t="str">
        <f>IFERROR(VLOOKUP(TableHandbook[[#This Row],[UDC]],TableMJRPSCRAR[],7,FALSE),"")</f>
        <v/>
      </c>
      <c r="Q168" s="183" t="str">
        <f>IFERROR(VLOOKUP(TableHandbook[[#This Row],[UDC]],TableMCMMJRG[],7,FALSE),"")</f>
        <v/>
      </c>
      <c r="R168" s="118" t="str">
        <f>IFERROR(VLOOKUP(TableHandbook[[#This Row],[UDC]],TableMCMMJRN[],7,FALSE),"")</f>
        <v/>
      </c>
      <c r="S168" s="118" t="str">
        <f>IFERROR(VLOOKUP(TableHandbook[[#This Row],[UDC]],TableGDMMJRN[],7,FALSE),"")</f>
        <v/>
      </c>
      <c r="T168" s="184" t="str">
        <f>IFERROR(VLOOKUP(TableHandbook[[#This Row],[UDC]],TableGCMMJRN[],7,FALSE),"")</f>
        <v/>
      </c>
      <c r="U168" s="183" t="str">
        <f>IFERROR(VLOOKUP(TableHandbook[[#This Row],[UDC]],TableMCHRIGLO[],7,FALSE),"")</f>
        <v/>
      </c>
      <c r="V168" s="118" t="str">
        <f>IFERROR(VLOOKUP(TableHandbook[[#This Row],[UDC]],TableMCHRIGHT[],7,FALSE),"")</f>
        <v/>
      </c>
      <c r="W168" s="118" t="str">
        <f>IFERROR(VLOOKUP(TableHandbook[[#This Row],[UDC]],TableGDHRIGHT[],7,FALSE),"")</f>
        <v/>
      </c>
      <c r="X168" s="184" t="str">
        <f>IFERROR(VLOOKUP(TableHandbook[[#This Row],[UDC]],TableGCHRIGHT[],7,FALSE),"")</f>
        <v/>
      </c>
      <c r="Y168" s="183" t="str">
        <f>IFERROR(VLOOKUP(TableHandbook[[#This Row],[UDC]],TableMCGLOBL2[],7,FALSE),"")</f>
        <v/>
      </c>
      <c r="Z168" s="118" t="str">
        <f>IFERROR(VLOOKUP(TableHandbook[[#This Row],[UDC]],TableMCGLOBL[],7,FALSE),"")</f>
        <v/>
      </c>
      <c r="AA168" s="297" t="str">
        <f>IFERROR(VLOOKUP(TableHandbook[[#This Row],[UDC]],TableSTRPGLOBL[],7,FALSE),"")</f>
        <v/>
      </c>
      <c r="AB168" s="297" t="str">
        <f>IFERROR(VLOOKUP(TableHandbook[[#This Row],[UDC]],TableSTRPHRIGT[],7,FALSE),"")</f>
        <v/>
      </c>
      <c r="AC168" s="297" t="str">
        <f>IFERROR(VLOOKUP(TableHandbook[[#This Row],[UDC]],TableSTRPINTRN[],7,FALSE),"")</f>
        <v/>
      </c>
      <c r="AD168" s="184" t="str">
        <f>IFERROR(VLOOKUP(TableHandbook[[#This Row],[UDC]],TableGCGLOBL[],7,FALSE),"")</f>
        <v/>
      </c>
      <c r="AE168" s="183" t="str">
        <f>IFERROR(VLOOKUP(TableHandbook[[#This Row],[UDC]],TableMCNETSCM[],7,FALSE),"")</f>
        <v/>
      </c>
      <c r="AF168" s="118" t="str">
        <f>IFERROR(VLOOKUP(TableHandbook[[#This Row],[UDC]],TableGDNETSCM[],7,FALSE),"")</f>
        <v/>
      </c>
      <c r="AG168" s="184" t="str">
        <f>IFERROR(VLOOKUP(TableHandbook[[#This Row],[UDC]],TableGCNETSCM[],7,FALSE),"")</f>
        <v/>
      </c>
      <c r="AH168" s="183" t="str">
        <f>IFERROR(VLOOKUP(TableHandbook[[#This Row],[UDC]],TableMCINTRNS[],7,FALSE),"")</f>
        <v/>
      </c>
      <c r="AI168" s="118" t="str">
        <f>IFERROR(VLOOKUP(TableHandbook[[#This Row],[UDC]],TableGDINTRNS[],7,FALSE),"")</f>
        <v/>
      </c>
      <c r="AJ168" s="184" t="str">
        <f>IFERROR(VLOOKUP(TableHandbook[[#This Row],[UDC]],TableGCINTRNS[],7,FALSE),"")</f>
        <v/>
      </c>
    </row>
    <row r="169" spans="1:36" x14ac:dyDescent="0.25">
      <c r="A169" s="6" t="s">
        <v>558</v>
      </c>
      <c r="B169" s="7">
        <v>0</v>
      </c>
      <c r="C169" s="6"/>
      <c r="D169" s="6" t="s">
        <v>559</v>
      </c>
      <c r="E169" s="7">
        <v>100</v>
      </c>
      <c r="F169" s="186"/>
      <c r="G169" s="75" t="str">
        <f>IFERROR(IF(VLOOKUP(TableHandbook[[#This Row],[UDC]],TableAvailabilities[],2,FALSE)&gt;0,"Y",""),"")</f>
        <v/>
      </c>
      <c r="H169" s="116" t="str">
        <f>IFERROR(IF(VLOOKUP(TableHandbook[[#This Row],[UDC]],TableAvailabilities[],3,FALSE)&gt;0,"Y",""),"")</f>
        <v/>
      </c>
      <c r="I169" s="117" t="str">
        <f>IFERROR(IF(VLOOKUP(TableHandbook[[#This Row],[UDC]],TableAvailabilities[],4,FALSE)&gt;0,"Y",""),"")</f>
        <v/>
      </c>
      <c r="J169" s="76" t="str">
        <f>IFERROR(IF(VLOOKUP(TableHandbook[[#This Row],[UDC]],TableAvailabilities[],5,FALSE)&gt;0,"Y",""),"")</f>
        <v/>
      </c>
      <c r="K169" s="289"/>
      <c r="L169" s="183" t="str">
        <f>IFERROR(VLOOKUP(TableHandbook[[#This Row],[UDC]],TableMCARTS[],7,FALSE),"")</f>
        <v/>
      </c>
      <c r="M169" s="118" t="str">
        <f>IFERROR(VLOOKUP(TableHandbook[[#This Row],[UDC]],TableMJRPCWRIT[],7,FALSE),"")</f>
        <v/>
      </c>
      <c r="N169" s="118" t="str">
        <f>IFERROR(VLOOKUP(TableHandbook[[#This Row],[UDC]],TableMJRPFINAR[],7,FALSE),"")</f>
        <v/>
      </c>
      <c r="O169" s="118" t="str">
        <f>IFERROR(VLOOKUP(TableHandbook[[#This Row],[UDC]],TableMJRPPWRIT[],7,FALSE),"")</f>
        <v/>
      </c>
      <c r="P169" s="184" t="str">
        <f>IFERROR(VLOOKUP(TableHandbook[[#This Row],[UDC]],TableMJRPSCRAR[],7,FALSE),"")</f>
        <v/>
      </c>
      <c r="Q169" s="183" t="str">
        <f>IFERROR(VLOOKUP(TableHandbook[[#This Row],[UDC]],TableMCMMJRG[],7,FALSE),"")</f>
        <v/>
      </c>
      <c r="R169" s="118" t="str">
        <f>IFERROR(VLOOKUP(TableHandbook[[#This Row],[UDC]],TableMCMMJRN[],7,FALSE),"")</f>
        <v/>
      </c>
      <c r="S169" s="118" t="str">
        <f>IFERROR(VLOOKUP(TableHandbook[[#This Row],[UDC]],TableGDMMJRN[],7,FALSE),"")</f>
        <v/>
      </c>
      <c r="T169" s="184" t="str">
        <f>IFERROR(VLOOKUP(TableHandbook[[#This Row],[UDC]],TableGCMMJRN[],7,FALSE),"")</f>
        <v/>
      </c>
      <c r="U169" s="183" t="str">
        <f>IFERROR(VLOOKUP(TableHandbook[[#This Row],[UDC]],TableMCHRIGLO[],7,FALSE),"")</f>
        <v/>
      </c>
      <c r="V169" s="118" t="str">
        <f>IFERROR(VLOOKUP(TableHandbook[[#This Row],[UDC]],TableMCHRIGHT[],7,FALSE),"")</f>
        <v/>
      </c>
      <c r="W169" s="118" t="str">
        <f>IFERROR(VLOOKUP(TableHandbook[[#This Row],[UDC]],TableGDHRIGHT[],7,FALSE),"")</f>
        <v/>
      </c>
      <c r="X169" s="184" t="str">
        <f>IFERROR(VLOOKUP(TableHandbook[[#This Row],[UDC]],TableGCHRIGHT[],7,FALSE),"")</f>
        <v/>
      </c>
      <c r="Y169" s="183" t="str">
        <f>IFERROR(VLOOKUP(TableHandbook[[#This Row],[UDC]],TableMCGLOBL2[],7,FALSE),"")</f>
        <v/>
      </c>
      <c r="Z169" s="118" t="str">
        <f>IFERROR(VLOOKUP(TableHandbook[[#This Row],[UDC]],TableMCGLOBL[],7,FALSE),"")</f>
        <v>Option</v>
      </c>
      <c r="AA169" s="297" t="str">
        <f>IFERROR(VLOOKUP(TableHandbook[[#This Row],[UDC]],TableSTRPGLOBL[],7,FALSE),"")</f>
        <v/>
      </c>
      <c r="AB169" s="297" t="str">
        <f>IFERROR(VLOOKUP(TableHandbook[[#This Row],[UDC]],TableSTRPHRIGT[],7,FALSE),"")</f>
        <v/>
      </c>
      <c r="AC169" s="297" t="str">
        <f>IFERROR(VLOOKUP(TableHandbook[[#This Row],[UDC]],TableSTRPINTRN[],7,FALSE),"")</f>
        <v/>
      </c>
      <c r="AD169" s="184" t="str">
        <f>IFERROR(VLOOKUP(TableHandbook[[#This Row],[UDC]],TableGCGLOBL[],7,FALSE),"")</f>
        <v/>
      </c>
      <c r="AE169" s="183" t="str">
        <f>IFERROR(VLOOKUP(TableHandbook[[#This Row],[UDC]],TableMCNETSCM[],7,FALSE),"")</f>
        <v/>
      </c>
      <c r="AF169" s="118" t="str">
        <f>IFERROR(VLOOKUP(TableHandbook[[#This Row],[UDC]],TableGDNETSCM[],7,FALSE),"")</f>
        <v/>
      </c>
      <c r="AG169" s="184" t="str">
        <f>IFERROR(VLOOKUP(TableHandbook[[#This Row],[UDC]],TableGCNETSCM[],7,FALSE),"")</f>
        <v/>
      </c>
      <c r="AH169" s="183" t="str">
        <f>IFERROR(VLOOKUP(TableHandbook[[#This Row],[UDC]],TableMCINTRNS[],7,FALSE),"")</f>
        <v/>
      </c>
      <c r="AI169" s="118" t="str">
        <f>IFERROR(VLOOKUP(TableHandbook[[#This Row],[UDC]],TableGDINTRNS[],7,FALSE),"")</f>
        <v/>
      </c>
      <c r="AJ169" s="184" t="str">
        <f>IFERROR(VLOOKUP(TableHandbook[[#This Row],[UDC]],TableGCINTRNS[],7,FALSE),"")</f>
        <v/>
      </c>
    </row>
    <row r="170" spans="1:36" x14ac:dyDescent="0.25">
      <c r="A170" s="6" t="s">
        <v>164</v>
      </c>
      <c r="B170" s="7">
        <v>1</v>
      </c>
      <c r="C170" s="6"/>
      <c r="D170" s="6" t="s">
        <v>163</v>
      </c>
      <c r="E170" s="7">
        <v>100</v>
      </c>
      <c r="F170" s="186"/>
      <c r="G170" s="75" t="str">
        <f>IFERROR(IF(VLOOKUP(TableHandbook[[#This Row],[UDC]],TableAvailabilities[],2,FALSE)&gt;0,"Y",""),"")</f>
        <v/>
      </c>
      <c r="H170" s="116" t="str">
        <f>IFERROR(IF(VLOOKUP(TableHandbook[[#This Row],[UDC]],TableAvailabilities[],3,FALSE)&gt;0,"Y",""),"")</f>
        <v/>
      </c>
      <c r="I170" s="117" t="str">
        <f>IFERROR(IF(VLOOKUP(TableHandbook[[#This Row],[UDC]],TableAvailabilities[],4,FALSE)&gt;0,"Y",""),"")</f>
        <v/>
      </c>
      <c r="J170" s="76" t="str">
        <f>IFERROR(IF(VLOOKUP(TableHandbook[[#This Row],[UDC]],TableAvailabilities[],5,FALSE)&gt;0,"Y",""),"")</f>
        <v/>
      </c>
      <c r="K170" s="289"/>
      <c r="L170" s="183" t="str">
        <f>IFERROR(VLOOKUP(TableHandbook[[#This Row],[UDC]],TableMCARTS[],7,FALSE),"")</f>
        <v/>
      </c>
      <c r="M170" s="118" t="str">
        <f>IFERROR(VLOOKUP(TableHandbook[[#This Row],[UDC]],TableMJRPCWRIT[],7,FALSE),"")</f>
        <v/>
      </c>
      <c r="N170" s="118" t="str">
        <f>IFERROR(VLOOKUP(TableHandbook[[#This Row],[UDC]],TableMJRPFINAR[],7,FALSE),"")</f>
        <v/>
      </c>
      <c r="O170" s="118" t="str">
        <f>IFERROR(VLOOKUP(TableHandbook[[#This Row],[UDC]],TableMJRPPWRIT[],7,FALSE),"")</f>
        <v/>
      </c>
      <c r="P170" s="184" t="str">
        <f>IFERROR(VLOOKUP(TableHandbook[[#This Row],[UDC]],TableMJRPSCRAR[],7,FALSE),"")</f>
        <v/>
      </c>
      <c r="Q170" s="183" t="str">
        <f>IFERROR(VLOOKUP(TableHandbook[[#This Row],[UDC]],TableMCMMJRG[],7,FALSE),"")</f>
        <v/>
      </c>
      <c r="R170" s="118" t="str">
        <f>IFERROR(VLOOKUP(TableHandbook[[#This Row],[UDC]],TableMCMMJRN[],7,FALSE),"")</f>
        <v/>
      </c>
      <c r="S170" s="118" t="str">
        <f>IFERROR(VLOOKUP(TableHandbook[[#This Row],[UDC]],TableGDMMJRN[],7,FALSE),"")</f>
        <v/>
      </c>
      <c r="T170" s="184" t="str">
        <f>IFERROR(VLOOKUP(TableHandbook[[#This Row],[UDC]],TableGCMMJRN[],7,FALSE),"")</f>
        <v/>
      </c>
      <c r="U170" s="183" t="str">
        <f>IFERROR(VLOOKUP(TableHandbook[[#This Row],[UDC]],TableMCHRIGLO[],7,FALSE),"")</f>
        <v/>
      </c>
      <c r="V170" s="118" t="str">
        <f>IFERROR(VLOOKUP(TableHandbook[[#This Row],[UDC]],TableMCHRIGHT[],7,FALSE),"")</f>
        <v/>
      </c>
      <c r="W170" s="118" t="str">
        <f>IFERROR(VLOOKUP(TableHandbook[[#This Row],[UDC]],TableGDHRIGHT[],7,FALSE),"")</f>
        <v/>
      </c>
      <c r="X170" s="184" t="str">
        <f>IFERROR(VLOOKUP(TableHandbook[[#This Row],[UDC]],TableGCHRIGHT[],7,FALSE),"")</f>
        <v/>
      </c>
      <c r="Y170" s="183" t="str">
        <f>IFERROR(VLOOKUP(TableHandbook[[#This Row],[UDC]],TableMCGLOBL2[],7,FALSE),"")</f>
        <v>Core</v>
      </c>
      <c r="Z170" s="118" t="str">
        <f>IFERROR(VLOOKUP(TableHandbook[[#This Row],[UDC]],TableMCGLOBL[],7,FALSE),"")</f>
        <v>Core</v>
      </c>
      <c r="AA170" s="297" t="str">
        <f>IFERROR(VLOOKUP(TableHandbook[[#This Row],[UDC]],TableSTRPGLOBL[],7,FALSE),"")</f>
        <v/>
      </c>
      <c r="AB170" s="297" t="str">
        <f>IFERROR(VLOOKUP(TableHandbook[[#This Row],[UDC]],TableSTRPHRIGT[],7,FALSE),"")</f>
        <v/>
      </c>
      <c r="AC170" s="297" t="str">
        <f>IFERROR(VLOOKUP(TableHandbook[[#This Row],[UDC]],TableSTRPINTRN[],7,FALSE),"")</f>
        <v/>
      </c>
      <c r="AD170" s="184" t="str">
        <f>IFERROR(VLOOKUP(TableHandbook[[#This Row],[UDC]],TableGCGLOBL[],7,FALSE),"")</f>
        <v/>
      </c>
      <c r="AE170" s="183" t="str">
        <f>IFERROR(VLOOKUP(TableHandbook[[#This Row],[UDC]],TableMCNETSCM[],7,FALSE),"")</f>
        <v/>
      </c>
      <c r="AF170" s="118" t="str">
        <f>IFERROR(VLOOKUP(TableHandbook[[#This Row],[UDC]],TableGDNETSCM[],7,FALSE),"")</f>
        <v/>
      </c>
      <c r="AG170" s="184" t="str">
        <f>IFERROR(VLOOKUP(TableHandbook[[#This Row],[UDC]],TableGCNETSCM[],7,FALSE),"")</f>
        <v/>
      </c>
      <c r="AH170" s="183" t="str">
        <f>IFERROR(VLOOKUP(TableHandbook[[#This Row],[UDC]],TableMCINTRNS[],7,FALSE),"")</f>
        <v/>
      </c>
      <c r="AI170" s="118" t="str">
        <f>IFERROR(VLOOKUP(TableHandbook[[#This Row],[UDC]],TableGDINTRNS[],7,FALSE),"")</f>
        <v/>
      </c>
      <c r="AJ170" s="184" t="str">
        <f>IFERROR(VLOOKUP(TableHandbook[[#This Row],[UDC]],TableGCINTRNS[],7,FALSE),"")</f>
        <v/>
      </c>
    </row>
    <row r="171" spans="1:36" x14ac:dyDescent="0.25">
      <c r="A171" s="6" t="s">
        <v>155</v>
      </c>
      <c r="B171" s="7">
        <v>1</v>
      </c>
      <c r="C171" s="6"/>
      <c r="D171" s="6" t="s">
        <v>154</v>
      </c>
      <c r="E171" s="7">
        <v>100</v>
      </c>
      <c r="F171" s="186"/>
      <c r="G171" s="75" t="str">
        <f>IFERROR(IF(VLOOKUP(TableHandbook[[#This Row],[UDC]],TableAvailabilities[],2,FALSE)&gt;0,"Y",""),"")</f>
        <v/>
      </c>
      <c r="H171" s="116" t="str">
        <f>IFERROR(IF(VLOOKUP(TableHandbook[[#This Row],[UDC]],TableAvailabilities[],3,FALSE)&gt;0,"Y",""),"")</f>
        <v/>
      </c>
      <c r="I171" s="117" t="str">
        <f>IFERROR(IF(VLOOKUP(TableHandbook[[#This Row],[UDC]],TableAvailabilities[],4,FALSE)&gt;0,"Y",""),"")</f>
        <v/>
      </c>
      <c r="J171" s="76" t="str">
        <f>IFERROR(IF(VLOOKUP(TableHandbook[[#This Row],[UDC]],TableAvailabilities[],5,FALSE)&gt;0,"Y",""),"")</f>
        <v/>
      </c>
      <c r="K171" s="289"/>
      <c r="L171" s="183" t="str">
        <f>IFERROR(VLOOKUP(TableHandbook[[#This Row],[UDC]],TableMCARTS[],7,FALSE),"")</f>
        <v/>
      </c>
      <c r="M171" s="118" t="str">
        <f>IFERROR(VLOOKUP(TableHandbook[[#This Row],[UDC]],TableMJRPCWRIT[],7,FALSE),"")</f>
        <v/>
      </c>
      <c r="N171" s="118" t="str">
        <f>IFERROR(VLOOKUP(TableHandbook[[#This Row],[UDC]],TableMJRPFINAR[],7,FALSE),"")</f>
        <v/>
      </c>
      <c r="O171" s="118" t="str">
        <f>IFERROR(VLOOKUP(TableHandbook[[#This Row],[UDC]],TableMJRPPWRIT[],7,FALSE),"")</f>
        <v/>
      </c>
      <c r="P171" s="184" t="str">
        <f>IFERROR(VLOOKUP(TableHandbook[[#This Row],[UDC]],TableMJRPSCRAR[],7,FALSE),"")</f>
        <v/>
      </c>
      <c r="Q171" s="183" t="str">
        <f>IFERROR(VLOOKUP(TableHandbook[[#This Row],[UDC]],TableMCMMJRG[],7,FALSE),"")</f>
        <v/>
      </c>
      <c r="R171" s="118" t="str">
        <f>IFERROR(VLOOKUP(TableHandbook[[#This Row],[UDC]],TableMCMMJRN[],7,FALSE),"")</f>
        <v/>
      </c>
      <c r="S171" s="118" t="str">
        <f>IFERROR(VLOOKUP(TableHandbook[[#This Row],[UDC]],TableGDMMJRN[],7,FALSE),"")</f>
        <v/>
      </c>
      <c r="T171" s="184" t="str">
        <f>IFERROR(VLOOKUP(TableHandbook[[#This Row],[UDC]],TableGCMMJRN[],7,FALSE),"")</f>
        <v/>
      </c>
      <c r="U171" s="183" t="str">
        <f>IFERROR(VLOOKUP(TableHandbook[[#This Row],[UDC]],TableMCHRIGLO[],7,FALSE),"")</f>
        <v/>
      </c>
      <c r="V171" s="118" t="str">
        <f>IFERROR(VLOOKUP(TableHandbook[[#This Row],[UDC]],TableMCHRIGHT[],7,FALSE),"")</f>
        <v/>
      </c>
      <c r="W171" s="118" t="str">
        <f>IFERROR(VLOOKUP(TableHandbook[[#This Row],[UDC]],TableGDHRIGHT[],7,FALSE),"")</f>
        <v/>
      </c>
      <c r="X171" s="184" t="str">
        <f>IFERROR(VLOOKUP(TableHandbook[[#This Row],[UDC]],TableGCHRIGHT[],7,FALSE),"")</f>
        <v/>
      </c>
      <c r="Y171" s="183" t="str">
        <f>IFERROR(VLOOKUP(TableHandbook[[#This Row],[UDC]],TableMCGLOBL2[],7,FALSE),"")</f>
        <v>Core</v>
      </c>
      <c r="Z171" s="118" t="str">
        <f>IFERROR(VLOOKUP(TableHandbook[[#This Row],[UDC]],TableMCGLOBL[],7,FALSE),"")</f>
        <v>Option</v>
      </c>
      <c r="AA171" s="297" t="str">
        <f>IFERROR(VLOOKUP(TableHandbook[[#This Row],[UDC]],TableSTRPGLOBL[],7,FALSE),"")</f>
        <v/>
      </c>
      <c r="AB171" s="297" t="str">
        <f>IFERROR(VLOOKUP(TableHandbook[[#This Row],[UDC]],TableSTRPHRIGT[],7,FALSE),"")</f>
        <v/>
      </c>
      <c r="AC171" s="297" t="str">
        <f>IFERROR(VLOOKUP(TableHandbook[[#This Row],[UDC]],TableSTRPINTRN[],7,FALSE),"")</f>
        <v/>
      </c>
      <c r="AD171" s="184" t="str">
        <f>IFERROR(VLOOKUP(TableHandbook[[#This Row],[UDC]],TableGCGLOBL[],7,FALSE),"")</f>
        <v/>
      </c>
      <c r="AE171" s="183" t="str">
        <f>IFERROR(VLOOKUP(TableHandbook[[#This Row],[UDC]],TableMCNETSCM[],7,FALSE),"")</f>
        <v/>
      </c>
      <c r="AF171" s="118" t="str">
        <f>IFERROR(VLOOKUP(TableHandbook[[#This Row],[UDC]],TableGDNETSCM[],7,FALSE),"")</f>
        <v/>
      </c>
      <c r="AG171" s="184" t="str">
        <f>IFERROR(VLOOKUP(TableHandbook[[#This Row],[UDC]],TableGCNETSCM[],7,FALSE),"")</f>
        <v/>
      </c>
      <c r="AH171" s="183" t="str">
        <f>IFERROR(VLOOKUP(TableHandbook[[#This Row],[UDC]],TableMCINTRNS[],7,FALSE),"")</f>
        <v/>
      </c>
      <c r="AI171" s="118" t="str">
        <f>IFERROR(VLOOKUP(TableHandbook[[#This Row],[UDC]],TableGDINTRNS[],7,FALSE),"")</f>
        <v/>
      </c>
      <c r="AJ171" s="184" t="str">
        <f>IFERROR(VLOOKUP(TableHandbook[[#This Row],[UDC]],TableGCINTRNS[],7,FALSE),"")</f>
        <v/>
      </c>
    </row>
    <row r="172" spans="1:36" x14ac:dyDescent="0.25">
      <c r="A172" s="6" t="s">
        <v>160</v>
      </c>
      <c r="B172" s="7">
        <v>1</v>
      </c>
      <c r="C172" s="6"/>
      <c r="D172" s="6" t="s">
        <v>159</v>
      </c>
      <c r="E172" s="7">
        <v>100</v>
      </c>
      <c r="F172" s="186"/>
      <c r="G172" s="75" t="str">
        <f>IFERROR(IF(VLOOKUP(TableHandbook[[#This Row],[UDC]],TableAvailabilities[],2,FALSE)&gt;0,"Y",""),"")</f>
        <v/>
      </c>
      <c r="H172" s="116" t="str">
        <f>IFERROR(IF(VLOOKUP(TableHandbook[[#This Row],[UDC]],TableAvailabilities[],3,FALSE)&gt;0,"Y",""),"")</f>
        <v/>
      </c>
      <c r="I172" s="117" t="str">
        <f>IFERROR(IF(VLOOKUP(TableHandbook[[#This Row],[UDC]],TableAvailabilities[],4,FALSE)&gt;0,"Y",""),"")</f>
        <v/>
      </c>
      <c r="J172" s="76" t="str">
        <f>IFERROR(IF(VLOOKUP(TableHandbook[[#This Row],[UDC]],TableAvailabilities[],5,FALSE)&gt;0,"Y",""),"")</f>
        <v/>
      </c>
      <c r="K172" s="289"/>
      <c r="L172" s="183" t="str">
        <f>IFERROR(VLOOKUP(TableHandbook[[#This Row],[UDC]],TableMCARTS[],7,FALSE),"")</f>
        <v/>
      </c>
      <c r="M172" s="118" t="str">
        <f>IFERROR(VLOOKUP(TableHandbook[[#This Row],[UDC]],TableMJRPCWRIT[],7,FALSE),"")</f>
        <v/>
      </c>
      <c r="N172" s="118" t="str">
        <f>IFERROR(VLOOKUP(TableHandbook[[#This Row],[UDC]],TableMJRPFINAR[],7,FALSE),"")</f>
        <v/>
      </c>
      <c r="O172" s="118" t="str">
        <f>IFERROR(VLOOKUP(TableHandbook[[#This Row],[UDC]],TableMJRPPWRIT[],7,FALSE),"")</f>
        <v/>
      </c>
      <c r="P172" s="184" t="str">
        <f>IFERROR(VLOOKUP(TableHandbook[[#This Row],[UDC]],TableMJRPSCRAR[],7,FALSE),"")</f>
        <v/>
      </c>
      <c r="Q172" s="183" t="str">
        <f>IFERROR(VLOOKUP(TableHandbook[[#This Row],[UDC]],TableMCMMJRG[],7,FALSE),"")</f>
        <v/>
      </c>
      <c r="R172" s="118" t="str">
        <f>IFERROR(VLOOKUP(TableHandbook[[#This Row],[UDC]],TableMCMMJRN[],7,FALSE),"")</f>
        <v/>
      </c>
      <c r="S172" s="118" t="str">
        <f>IFERROR(VLOOKUP(TableHandbook[[#This Row],[UDC]],TableGDMMJRN[],7,FALSE),"")</f>
        <v/>
      </c>
      <c r="T172" s="184" t="str">
        <f>IFERROR(VLOOKUP(TableHandbook[[#This Row],[UDC]],TableGCMMJRN[],7,FALSE),"")</f>
        <v/>
      </c>
      <c r="U172" s="183" t="str">
        <f>IFERROR(VLOOKUP(TableHandbook[[#This Row],[UDC]],TableMCHRIGLO[],7,FALSE),"")</f>
        <v/>
      </c>
      <c r="V172" s="118" t="str">
        <f>IFERROR(VLOOKUP(TableHandbook[[#This Row],[UDC]],TableMCHRIGHT[],7,FALSE),"")</f>
        <v/>
      </c>
      <c r="W172" s="118" t="str">
        <f>IFERROR(VLOOKUP(TableHandbook[[#This Row],[UDC]],TableGDHRIGHT[],7,FALSE),"")</f>
        <v/>
      </c>
      <c r="X172" s="184" t="str">
        <f>IFERROR(VLOOKUP(TableHandbook[[#This Row],[UDC]],TableGCHRIGHT[],7,FALSE),"")</f>
        <v/>
      </c>
      <c r="Y172" s="183" t="str">
        <f>IFERROR(VLOOKUP(TableHandbook[[#This Row],[UDC]],TableMCGLOBL2[],7,FALSE),"")</f>
        <v>Core</v>
      </c>
      <c r="Z172" s="118" t="str">
        <f>IFERROR(VLOOKUP(TableHandbook[[#This Row],[UDC]],TableMCGLOBL[],7,FALSE),"")</f>
        <v>Option</v>
      </c>
      <c r="AA172" s="297" t="str">
        <f>IFERROR(VLOOKUP(TableHandbook[[#This Row],[UDC]],TableSTRPGLOBL[],7,FALSE),"")</f>
        <v/>
      </c>
      <c r="AB172" s="297" t="str">
        <f>IFERROR(VLOOKUP(TableHandbook[[#This Row],[UDC]],TableSTRPHRIGT[],7,FALSE),"")</f>
        <v/>
      </c>
      <c r="AC172" s="297" t="str">
        <f>IFERROR(VLOOKUP(TableHandbook[[#This Row],[UDC]],TableSTRPINTRN[],7,FALSE),"")</f>
        <v/>
      </c>
      <c r="AD172" s="184" t="str">
        <f>IFERROR(VLOOKUP(TableHandbook[[#This Row],[UDC]],TableGCGLOBL[],7,FALSE),"")</f>
        <v/>
      </c>
      <c r="AE172" s="183" t="str">
        <f>IFERROR(VLOOKUP(TableHandbook[[#This Row],[UDC]],TableMCNETSCM[],7,FALSE),"")</f>
        <v/>
      </c>
      <c r="AF172" s="118" t="str">
        <f>IFERROR(VLOOKUP(TableHandbook[[#This Row],[UDC]],TableGDNETSCM[],7,FALSE),"")</f>
        <v/>
      </c>
      <c r="AG172" s="184" t="str">
        <f>IFERROR(VLOOKUP(TableHandbook[[#This Row],[UDC]],TableGCNETSCM[],7,FALSE),"")</f>
        <v/>
      </c>
      <c r="AH172" s="183" t="str">
        <f>IFERROR(VLOOKUP(TableHandbook[[#This Row],[UDC]],TableMCINTRNS[],7,FALSE),"")</f>
        <v/>
      </c>
      <c r="AI172" s="118" t="str">
        <f>IFERROR(VLOOKUP(TableHandbook[[#This Row],[UDC]],TableGDINTRNS[],7,FALSE),"")</f>
        <v/>
      </c>
      <c r="AJ172" s="184" t="str">
        <f>IFERROR(VLOOKUP(TableHandbook[[#This Row],[UDC]],TableGCINTRNS[],7,FALSE),"")</f>
        <v/>
      </c>
    </row>
    <row r="173" spans="1:36" x14ac:dyDescent="0.25">
      <c r="A173" s="5" t="s">
        <v>560</v>
      </c>
      <c r="B173" s="73">
        <v>2</v>
      </c>
      <c r="C173" s="5"/>
      <c r="D173" s="5" t="s">
        <v>561</v>
      </c>
      <c r="E173" s="73">
        <v>25</v>
      </c>
      <c r="F173" s="188" t="s">
        <v>368</v>
      </c>
      <c r="G173" s="75" t="str">
        <f>IFERROR(IF(VLOOKUP(TableHandbook[[#This Row],[UDC]],TableAvailabilities[],2,FALSE)&gt;0,"Y",""),"")</f>
        <v/>
      </c>
      <c r="H173" s="116" t="str">
        <f>IFERROR(IF(VLOOKUP(TableHandbook[[#This Row],[UDC]],TableAvailabilities[],3,FALSE)&gt;0,"Y",""),"")</f>
        <v/>
      </c>
      <c r="I173" s="117" t="str">
        <f>IFERROR(IF(VLOOKUP(TableHandbook[[#This Row],[UDC]],TableAvailabilities[],4,FALSE)&gt;0,"Y",""),"")</f>
        <v/>
      </c>
      <c r="J173" s="76" t="str">
        <f>IFERROR(IF(VLOOKUP(TableHandbook[[#This Row],[UDC]],TableAvailabilities[],5,FALSE)&gt;0,"Y",""),"")</f>
        <v/>
      </c>
      <c r="K173" s="292" t="s">
        <v>562</v>
      </c>
      <c r="L173" s="183" t="str">
        <f>IFERROR(VLOOKUP(TableHandbook[[#This Row],[UDC]],TableMCARTS[],7,FALSE),"")</f>
        <v/>
      </c>
      <c r="M173" s="118" t="str">
        <f>IFERROR(VLOOKUP(TableHandbook[[#This Row],[UDC]],TableMJRPCWRIT[],7,FALSE),"")</f>
        <v/>
      </c>
      <c r="N173" s="118" t="str">
        <f>IFERROR(VLOOKUP(TableHandbook[[#This Row],[UDC]],TableMJRPFINAR[],7,FALSE),"")</f>
        <v/>
      </c>
      <c r="O173" s="118" t="str">
        <f>IFERROR(VLOOKUP(TableHandbook[[#This Row],[UDC]],TableMJRPPWRIT[],7,FALSE),"")</f>
        <v/>
      </c>
      <c r="P173" s="184" t="str">
        <f>IFERROR(VLOOKUP(TableHandbook[[#This Row],[UDC]],TableMJRPSCRAR[],7,FALSE),"")</f>
        <v/>
      </c>
      <c r="Q173" s="183" t="str">
        <f>IFERROR(VLOOKUP(TableHandbook[[#This Row],[UDC]],TableMCMMJRG[],7,FALSE),"")</f>
        <v/>
      </c>
      <c r="R173" s="118" t="str">
        <f>IFERROR(VLOOKUP(TableHandbook[[#This Row],[UDC]],TableMCMMJRN[],7,FALSE),"")</f>
        <v/>
      </c>
      <c r="S173" s="118" t="str">
        <f>IFERROR(VLOOKUP(TableHandbook[[#This Row],[UDC]],TableGDMMJRN[],7,FALSE),"")</f>
        <v/>
      </c>
      <c r="T173" s="184" t="str">
        <f>IFERROR(VLOOKUP(TableHandbook[[#This Row],[UDC]],TableGCMMJRN[],7,FALSE),"")</f>
        <v/>
      </c>
      <c r="U173" s="183" t="str">
        <f>IFERROR(VLOOKUP(TableHandbook[[#This Row],[UDC]],TableMCHRIGLO[],7,FALSE),"")</f>
        <v/>
      </c>
      <c r="V173" s="118" t="str">
        <f>IFERROR(VLOOKUP(TableHandbook[[#This Row],[UDC]],TableMCHRIGHT[],7,FALSE),"")</f>
        <v/>
      </c>
      <c r="W173" s="118" t="str">
        <f>IFERROR(VLOOKUP(TableHandbook[[#This Row],[UDC]],TableGDHRIGHT[],7,FALSE),"")</f>
        <v/>
      </c>
      <c r="X173" s="184" t="str">
        <f>IFERROR(VLOOKUP(TableHandbook[[#This Row],[UDC]],TableGCHRIGHT[],7,FALSE),"")</f>
        <v/>
      </c>
      <c r="Y173" s="183" t="str">
        <f>IFERROR(VLOOKUP(TableHandbook[[#This Row],[UDC]],TableMCGLOBL2[],7,FALSE),"")</f>
        <v/>
      </c>
      <c r="Z173" s="118" t="str">
        <f>IFERROR(VLOOKUP(TableHandbook[[#This Row],[UDC]],TableMCGLOBL[],7,FALSE),"")</f>
        <v/>
      </c>
      <c r="AA173" s="297" t="str">
        <f>IFERROR(VLOOKUP(TableHandbook[[#This Row],[UDC]],TableSTRPGLOBL[],7,FALSE),"")</f>
        <v/>
      </c>
      <c r="AB173" s="297" t="str">
        <f>IFERROR(VLOOKUP(TableHandbook[[#This Row],[UDC]],TableSTRPHRIGT[],7,FALSE),"")</f>
        <v/>
      </c>
      <c r="AC173" s="297" t="str">
        <f>IFERROR(VLOOKUP(TableHandbook[[#This Row],[UDC]],TableSTRPINTRN[],7,FALSE),"")</f>
        <v/>
      </c>
      <c r="AD173" s="184" t="str">
        <f>IFERROR(VLOOKUP(TableHandbook[[#This Row],[UDC]],TableGCGLOBL[],7,FALSE),"")</f>
        <v/>
      </c>
      <c r="AE173" s="183" t="str">
        <f>IFERROR(VLOOKUP(TableHandbook[[#This Row],[UDC]],TableMCNETSCM[],7,FALSE),"")</f>
        <v/>
      </c>
      <c r="AF173" s="118" t="str">
        <f>IFERROR(VLOOKUP(TableHandbook[[#This Row],[UDC]],TableGDNETSCM[],7,FALSE),"")</f>
        <v/>
      </c>
      <c r="AG173" s="184" t="str">
        <f>IFERROR(VLOOKUP(TableHandbook[[#This Row],[UDC]],TableGCNETSCM[],7,FALSE),"")</f>
        <v/>
      </c>
      <c r="AH173" s="183" t="str">
        <f>IFERROR(VLOOKUP(TableHandbook[[#This Row],[UDC]],TableMCINTRNS[],7,FALSE),"")</f>
        <v/>
      </c>
      <c r="AI173" s="118" t="str">
        <f>IFERROR(VLOOKUP(TableHandbook[[#This Row],[UDC]],TableGDINTRNS[],7,FALSE),"")</f>
        <v/>
      </c>
      <c r="AJ173" s="184" t="str">
        <f>IFERROR(VLOOKUP(TableHandbook[[#This Row],[UDC]],TableGCINTRNS[],7,FALSE),"")</f>
        <v/>
      </c>
    </row>
    <row r="174" spans="1:36" x14ac:dyDescent="0.25">
      <c r="A174" s="6" t="s">
        <v>140</v>
      </c>
      <c r="B174" s="7">
        <v>2</v>
      </c>
      <c r="C174" s="6"/>
      <c r="D174" s="6" t="s">
        <v>563</v>
      </c>
      <c r="E174" s="7">
        <v>25</v>
      </c>
      <c r="F174" s="186" t="s">
        <v>368</v>
      </c>
      <c r="G174" s="75" t="str">
        <f>IFERROR(IF(VLOOKUP(TableHandbook[[#This Row],[UDC]],TableAvailabilities[],2,FALSE)&gt;0,"Y",""),"")</f>
        <v>Y</v>
      </c>
      <c r="H174" s="116" t="str">
        <f>IFERROR(IF(VLOOKUP(TableHandbook[[#This Row],[UDC]],TableAvailabilities[],3,FALSE)&gt;0,"Y",""),"")</f>
        <v/>
      </c>
      <c r="I174" s="117" t="str">
        <f>IFERROR(IF(VLOOKUP(TableHandbook[[#This Row],[UDC]],TableAvailabilities[],4,FALSE)&gt;0,"Y",""),"")</f>
        <v/>
      </c>
      <c r="J174" s="76" t="str">
        <f>IFERROR(IF(VLOOKUP(TableHandbook[[#This Row],[UDC]],TableAvailabilities[],5,FALSE)&gt;0,"Y",""),"")</f>
        <v/>
      </c>
      <c r="K174" s="289"/>
      <c r="L174" s="183" t="str">
        <f>IFERROR(VLOOKUP(TableHandbook[[#This Row],[UDC]],TableMCARTS[],7,FALSE),"")</f>
        <v/>
      </c>
      <c r="M174" s="118" t="str">
        <f>IFERROR(VLOOKUP(TableHandbook[[#This Row],[UDC]],TableMJRPCWRIT[],7,FALSE),"")</f>
        <v/>
      </c>
      <c r="N174" s="118" t="str">
        <f>IFERROR(VLOOKUP(TableHandbook[[#This Row],[UDC]],TableMJRPFINAR[],7,FALSE),"")</f>
        <v>AltCore</v>
      </c>
      <c r="O174" s="118" t="str">
        <f>IFERROR(VLOOKUP(TableHandbook[[#This Row],[UDC]],TableMJRPPWRIT[],7,FALSE),"")</f>
        <v/>
      </c>
      <c r="P174" s="184" t="str">
        <f>IFERROR(VLOOKUP(TableHandbook[[#This Row],[UDC]],TableMJRPSCRAR[],7,FALSE),"")</f>
        <v/>
      </c>
      <c r="Q174" s="183" t="str">
        <f>IFERROR(VLOOKUP(TableHandbook[[#This Row],[UDC]],TableMCMMJRG[],7,FALSE),"")</f>
        <v/>
      </c>
      <c r="R174" s="118" t="str">
        <f>IFERROR(VLOOKUP(TableHandbook[[#This Row],[UDC]],TableMCMMJRN[],7,FALSE),"")</f>
        <v/>
      </c>
      <c r="S174" s="118" t="str">
        <f>IFERROR(VLOOKUP(TableHandbook[[#This Row],[UDC]],TableGDMMJRN[],7,FALSE),"")</f>
        <v/>
      </c>
      <c r="T174" s="184" t="str">
        <f>IFERROR(VLOOKUP(TableHandbook[[#This Row],[UDC]],TableGCMMJRN[],7,FALSE),"")</f>
        <v/>
      </c>
      <c r="U174" s="183" t="str">
        <f>IFERROR(VLOOKUP(TableHandbook[[#This Row],[UDC]],TableMCHRIGLO[],7,FALSE),"")</f>
        <v/>
      </c>
      <c r="V174" s="118" t="str">
        <f>IFERROR(VLOOKUP(TableHandbook[[#This Row],[UDC]],TableMCHRIGHT[],7,FALSE),"")</f>
        <v/>
      </c>
      <c r="W174" s="118" t="str">
        <f>IFERROR(VLOOKUP(TableHandbook[[#This Row],[UDC]],TableGDHRIGHT[],7,FALSE),"")</f>
        <v/>
      </c>
      <c r="X174" s="184" t="str">
        <f>IFERROR(VLOOKUP(TableHandbook[[#This Row],[UDC]],TableGCHRIGHT[],7,FALSE),"")</f>
        <v/>
      </c>
      <c r="Y174" s="183" t="str">
        <f>IFERROR(VLOOKUP(TableHandbook[[#This Row],[UDC]],TableMCGLOBL2[],7,FALSE),"")</f>
        <v/>
      </c>
      <c r="Z174" s="118" t="str">
        <f>IFERROR(VLOOKUP(TableHandbook[[#This Row],[UDC]],TableMCGLOBL[],7,FALSE),"")</f>
        <v/>
      </c>
      <c r="AA174" s="297" t="str">
        <f>IFERROR(VLOOKUP(TableHandbook[[#This Row],[UDC]],TableSTRPGLOBL[],7,FALSE),"")</f>
        <v/>
      </c>
      <c r="AB174" s="297" t="str">
        <f>IFERROR(VLOOKUP(TableHandbook[[#This Row],[UDC]],TableSTRPHRIGT[],7,FALSE),"")</f>
        <v/>
      </c>
      <c r="AC174" s="297" t="str">
        <f>IFERROR(VLOOKUP(TableHandbook[[#This Row],[UDC]],TableSTRPINTRN[],7,FALSE),"")</f>
        <v/>
      </c>
      <c r="AD174" s="184" t="str">
        <f>IFERROR(VLOOKUP(TableHandbook[[#This Row],[UDC]],TableGCGLOBL[],7,FALSE),"")</f>
        <v/>
      </c>
      <c r="AE174" s="183" t="str">
        <f>IFERROR(VLOOKUP(TableHandbook[[#This Row],[UDC]],TableMCNETSCM[],7,FALSE),"")</f>
        <v/>
      </c>
      <c r="AF174" s="118" t="str">
        <f>IFERROR(VLOOKUP(TableHandbook[[#This Row],[UDC]],TableGDNETSCM[],7,FALSE),"")</f>
        <v/>
      </c>
      <c r="AG174" s="184" t="str">
        <f>IFERROR(VLOOKUP(TableHandbook[[#This Row],[UDC]],TableGCNETSCM[],7,FALSE),"")</f>
        <v/>
      </c>
      <c r="AH174" s="183" t="str">
        <f>IFERROR(VLOOKUP(TableHandbook[[#This Row],[UDC]],TableMCINTRNS[],7,FALSE),"")</f>
        <v/>
      </c>
      <c r="AI174" s="118" t="str">
        <f>IFERROR(VLOOKUP(TableHandbook[[#This Row],[UDC]],TableGDINTRNS[],7,FALSE),"")</f>
        <v/>
      </c>
      <c r="AJ174" s="184" t="str">
        <f>IFERROR(VLOOKUP(TableHandbook[[#This Row],[UDC]],TableGCINTRNS[],7,FALSE),"")</f>
        <v/>
      </c>
    </row>
    <row r="175" spans="1:36" x14ac:dyDescent="0.25">
      <c r="A175" s="6" t="s">
        <v>166</v>
      </c>
      <c r="B175" s="7">
        <v>1</v>
      </c>
      <c r="C175" s="6"/>
      <c r="D175" s="6" t="s">
        <v>564</v>
      </c>
      <c r="E175" s="7">
        <v>25</v>
      </c>
      <c r="F175" s="186" t="s">
        <v>368</v>
      </c>
      <c r="G175" s="75" t="str">
        <f>IFERROR(IF(VLOOKUP(TableHandbook[[#This Row],[UDC]],TableAvailabilities[],2,FALSE)&gt;0,"Y",""),"")</f>
        <v>Y</v>
      </c>
      <c r="H175" s="116" t="str">
        <f>IFERROR(IF(VLOOKUP(TableHandbook[[#This Row],[UDC]],TableAvailabilities[],3,FALSE)&gt;0,"Y",""),"")</f>
        <v/>
      </c>
      <c r="I175" s="117" t="str">
        <f>IFERROR(IF(VLOOKUP(TableHandbook[[#This Row],[UDC]],TableAvailabilities[],4,FALSE)&gt;0,"Y",""),"")</f>
        <v>Y</v>
      </c>
      <c r="J175" s="76" t="str">
        <f>IFERROR(IF(VLOOKUP(TableHandbook[[#This Row],[UDC]],TableAvailabilities[],5,FALSE)&gt;0,"Y",""),"")</f>
        <v/>
      </c>
      <c r="K175" s="289"/>
      <c r="L175" s="183" t="str">
        <f>IFERROR(VLOOKUP(TableHandbook[[#This Row],[UDC]],TableMCARTS[],7,FALSE),"")</f>
        <v/>
      </c>
      <c r="M175" s="118" t="str">
        <f>IFERROR(VLOOKUP(TableHandbook[[#This Row],[UDC]],TableMJRPCWRIT[],7,FALSE),"")</f>
        <v/>
      </c>
      <c r="N175" s="118" t="str">
        <f>IFERROR(VLOOKUP(TableHandbook[[#This Row],[UDC]],TableMJRPFINAR[],7,FALSE),"")</f>
        <v>Option</v>
      </c>
      <c r="O175" s="118" t="str">
        <f>IFERROR(VLOOKUP(TableHandbook[[#This Row],[UDC]],TableMJRPPWRIT[],7,FALSE),"")</f>
        <v/>
      </c>
      <c r="P175" s="184" t="str">
        <f>IFERROR(VLOOKUP(TableHandbook[[#This Row],[UDC]],TableMJRPSCRAR[],7,FALSE),"")</f>
        <v/>
      </c>
      <c r="Q175" s="183" t="str">
        <f>IFERROR(VLOOKUP(TableHandbook[[#This Row],[UDC]],TableMCMMJRG[],7,FALSE),"")</f>
        <v/>
      </c>
      <c r="R175" s="118" t="str">
        <f>IFERROR(VLOOKUP(TableHandbook[[#This Row],[UDC]],TableMCMMJRN[],7,FALSE),"")</f>
        <v/>
      </c>
      <c r="S175" s="118" t="str">
        <f>IFERROR(VLOOKUP(TableHandbook[[#This Row],[UDC]],TableGDMMJRN[],7,FALSE),"")</f>
        <v/>
      </c>
      <c r="T175" s="184" t="str">
        <f>IFERROR(VLOOKUP(TableHandbook[[#This Row],[UDC]],TableGCMMJRN[],7,FALSE),"")</f>
        <v/>
      </c>
      <c r="U175" s="183" t="str">
        <f>IFERROR(VLOOKUP(TableHandbook[[#This Row],[UDC]],TableMCHRIGLO[],7,FALSE),"")</f>
        <v/>
      </c>
      <c r="V175" s="118" t="str">
        <f>IFERROR(VLOOKUP(TableHandbook[[#This Row],[UDC]],TableMCHRIGHT[],7,FALSE),"")</f>
        <v/>
      </c>
      <c r="W175" s="118" t="str">
        <f>IFERROR(VLOOKUP(TableHandbook[[#This Row],[UDC]],TableGDHRIGHT[],7,FALSE),"")</f>
        <v/>
      </c>
      <c r="X175" s="184" t="str">
        <f>IFERROR(VLOOKUP(TableHandbook[[#This Row],[UDC]],TableGCHRIGHT[],7,FALSE),"")</f>
        <v/>
      </c>
      <c r="Y175" s="183" t="str">
        <f>IFERROR(VLOOKUP(TableHandbook[[#This Row],[UDC]],TableMCGLOBL2[],7,FALSE),"")</f>
        <v/>
      </c>
      <c r="Z175" s="118" t="str">
        <f>IFERROR(VLOOKUP(TableHandbook[[#This Row],[UDC]],TableMCGLOBL[],7,FALSE),"")</f>
        <v/>
      </c>
      <c r="AA175" s="297" t="str">
        <f>IFERROR(VLOOKUP(TableHandbook[[#This Row],[UDC]],TableSTRPGLOBL[],7,FALSE),"")</f>
        <v/>
      </c>
      <c r="AB175" s="297" t="str">
        <f>IFERROR(VLOOKUP(TableHandbook[[#This Row],[UDC]],TableSTRPHRIGT[],7,FALSE),"")</f>
        <v/>
      </c>
      <c r="AC175" s="297" t="str">
        <f>IFERROR(VLOOKUP(TableHandbook[[#This Row],[UDC]],TableSTRPINTRN[],7,FALSE),"")</f>
        <v/>
      </c>
      <c r="AD175" s="184" t="str">
        <f>IFERROR(VLOOKUP(TableHandbook[[#This Row],[UDC]],TableGCGLOBL[],7,FALSE),"")</f>
        <v/>
      </c>
      <c r="AE175" s="183" t="str">
        <f>IFERROR(VLOOKUP(TableHandbook[[#This Row],[UDC]],TableMCNETSCM[],7,FALSE),"")</f>
        <v/>
      </c>
      <c r="AF175" s="118" t="str">
        <f>IFERROR(VLOOKUP(TableHandbook[[#This Row],[UDC]],TableGDNETSCM[],7,FALSE),"")</f>
        <v/>
      </c>
      <c r="AG175" s="184" t="str">
        <f>IFERROR(VLOOKUP(TableHandbook[[#This Row],[UDC]],TableGCNETSCM[],7,FALSE),"")</f>
        <v/>
      </c>
      <c r="AH175" s="183" t="str">
        <f>IFERROR(VLOOKUP(TableHandbook[[#This Row],[UDC]],TableMCINTRNS[],7,FALSE),"")</f>
        <v/>
      </c>
      <c r="AI175" s="118" t="str">
        <f>IFERROR(VLOOKUP(TableHandbook[[#This Row],[UDC]],TableGDINTRNS[],7,FALSE),"")</f>
        <v/>
      </c>
      <c r="AJ175" s="184" t="str">
        <f>IFERROR(VLOOKUP(TableHandbook[[#This Row],[UDC]],TableGCINTRNS[],7,FALSE),"")</f>
        <v/>
      </c>
    </row>
    <row r="176" spans="1:36" x14ac:dyDescent="0.25">
      <c r="A176" s="6" t="s">
        <v>145</v>
      </c>
      <c r="B176" s="7">
        <v>1</v>
      </c>
      <c r="C176" s="6"/>
      <c r="D176" s="6" t="s">
        <v>565</v>
      </c>
      <c r="E176" s="7">
        <v>25</v>
      </c>
      <c r="F176" s="186" t="s">
        <v>368</v>
      </c>
      <c r="G176" s="75" t="str">
        <f>IFERROR(IF(VLOOKUP(TableHandbook[[#This Row],[UDC]],TableAvailabilities[],2,FALSE)&gt;0,"Y",""),"")</f>
        <v/>
      </c>
      <c r="H176" s="116" t="str">
        <f>IFERROR(IF(VLOOKUP(TableHandbook[[#This Row],[UDC]],TableAvailabilities[],3,FALSE)&gt;0,"Y",""),"")</f>
        <v/>
      </c>
      <c r="I176" s="117" t="str">
        <f>IFERROR(IF(VLOOKUP(TableHandbook[[#This Row],[UDC]],TableAvailabilities[],4,FALSE)&gt;0,"Y",""),"")</f>
        <v>Y</v>
      </c>
      <c r="J176" s="76" t="str">
        <f>IFERROR(IF(VLOOKUP(TableHandbook[[#This Row],[UDC]],TableAvailabilities[],5,FALSE)&gt;0,"Y",""),"")</f>
        <v/>
      </c>
      <c r="K176" s="289"/>
      <c r="L176" s="183" t="str">
        <f>IFERROR(VLOOKUP(TableHandbook[[#This Row],[UDC]],TableMCARTS[],7,FALSE),"")</f>
        <v/>
      </c>
      <c r="M176" s="118" t="str">
        <f>IFERROR(VLOOKUP(TableHandbook[[#This Row],[UDC]],TableMJRPCWRIT[],7,FALSE),"")</f>
        <v/>
      </c>
      <c r="N176" s="118" t="str">
        <f>IFERROR(VLOOKUP(TableHandbook[[#This Row],[UDC]],TableMJRPFINAR[],7,FALSE),"")</f>
        <v>AltCore</v>
      </c>
      <c r="O176" s="118" t="str">
        <f>IFERROR(VLOOKUP(TableHandbook[[#This Row],[UDC]],TableMJRPPWRIT[],7,FALSE),"")</f>
        <v/>
      </c>
      <c r="P176" s="184" t="str">
        <f>IFERROR(VLOOKUP(TableHandbook[[#This Row],[UDC]],TableMJRPSCRAR[],7,FALSE),"")</f>
        <v/>
      </c>
      <c r="Q176" s="183" t="str">
        <f>IFERROR(VLOOKUP(TableHandbook[[#This Row],[UDC]],TableMCMMJRG[],7,FALSE),"")</f>
        <v/>
      </c>
      <c r="R176" s="118" t="str">
        <f>IFERROR(VLOOKUP(TableHandbook[[#This Row],[UDC]],TableMCMMJRN[],7,FALSE),"")</f>
        <v/>
      </c>
      <c r="S176" s="118" t="str">
        <f>IFERROR(VLOOKUP(TableHandbook[[#This Row],[UDC]],TableGDMMJRN[],7,FALSE),"")</f>
        <v/>
      </c>
      <c r="T176" s="184" t="str">
        <f>IFERROR(VLOOKUP(TableHandbook[[#This Row],[UDC]],TableGCMMJRN[],7,FALSE),"")</f>
        <v/>
      </c>
      <c r="U176" s="183" t="str">
        <f>IFERROR(VLOOKUP(TableHandbook[[#This Row],[UDC]],TableMCHRIGLO[],7,FALSE),"")</f>
        <v/>
      </c>
      <c r="V176" s="118" t="str">
        <f>IFERROR(VLOOKUP(TableHandbook[[#This Row],[UDC]],TableMCHRIGHT[],7,FALSE),"")</f>
        <v/>
      </c>
      <c r="W176" s="118" t="str">
        <f>IFERROR(VLOOKUP(TableHandbook[[#This Row],[UDC]],TableGDHRIGHT[],7,FALSE),"")</f>
        <v/>
      </c>
      <c r="X176" s="184" t="str">
        <f>IFERROR(VLOOKUP(TableHandbook[[#This Row],[UDC]],TableGCHRIGHT[],7,FALSE),"")</f>
        <v/>
      </c>
      <c r="Y176" s="183" t="str">
        <f>IFERROR(VLOOKUP(TableHandbook[[#This Row],[UDC]],TableMCGLOBL2[],7,FALSE),"")</f>
        <v/>
      </c>
      <c r="Z176" s="118" t="str">
        <f>IFERROR(VLOOKUP(TableHandbook[[#This Row],[UDC]],TableMCGLOBL[],7,FALSE),"")</f>
        <v/>
      </c>
      <c r="AA176" s="297" t="str">
        <f>IFERROR(VLOOKUP(TableHandbook[[#This Row],[UDC]],TableSTRPGLOBL[],7,FALSE),"")</f>
        <v/>
      </c>
      <c r="AB176" s="297" t="str">
        <f>IFERROR(VLOOKUP(TableHandbook[[#This Row],[UDC]],TableSTRPHRIGT[],7,FALSE),"")</f>
        <v/>
      </c>
      <c r="AC176" s="297" t="str">
        <f>IFERROR(VLOOKUP(TableHandbook[[#This Row],[UDC]],TableSTRPINTRN[],7,FALSE),"")</f>
        <v/>
      </c>
      <c r="AD176" s="184" t="str">
        <f>IFERROR(VLOOKUP(TableHandbook[[#This Row],[UDC]],TableGCGLOBL[],7,FALSE),"")</f>
        <v/>
      </c>
      <c r="AE176" s="183" t="str">
        <f>IFERROR(VLOOKUP(TableHandbook[[#This Row],[UDC]],TableMCNETSCM[],7,FALSE),"")</f>
        <v/>
      </c>
      <c r="AF176" s="118" t="str">
        <f>IFERROR(VLOOKUP(TableHandbook[[#This Row],[UDC]],TableGDNETSCM[],7,FALSE),"")</f>
        <v/>
      </c>
      <c r="AG176" s="184" t="str">
        <f>IFERROR(VLOOKUP(TableHandbook[[#This Row],[UDC]],TableGCNETSCM[],7,FALSE),"")</f>
        <v/>
      </c>
      <c r="AH176" s="183" t="str">
        <f>IFERROR(VLOOKUP(TableHandbook[[#This Row],[UDC]],TableMCINTRNS[],7,FALSE),"")</f>
        <v/>
      </c>
      <c r="AI176" s="118" t="str">
        <f>IFERROR(VLOOKUP(TableHandbook[[#This Row],[UDC]],TableGDINTRNS[],7,FALSE),"")</f>
        <v/>
      </c>
      <c r="AJ176" s="184" t="str">
        <f>IFERROR(VLOOKUP(TableHandbook[[#This Row],[UDC]],TableGCINTRNS[],7,FALSE),"")</f>
        <v/>
      </c>
    </row>
    <row r="177" spans="1:36" x14ac:dyDescent="0.25">
      <c r="A177" s="6" t="s">
        <v>168</v>
      </c>
      <c r="B177" s="7">
        <v>1</v>
      </c>
      <c r="C177" s="6"/>
      <c r="D177" s="6" t="s">
        <v>566</v>
      </c>
      <c r="E177" s="7">
        <v>25</v>
      </c>
      <c r="F177" s="186" t="s">
        <v>368</v>
      </c>
      <c r="G177" s="75" t="str">
        <f>IFERROR(IF(VLOOKUP(TableHandbook[[#This Row],[UDC]],TableAvailabilities[],2,FALSE)&gt;0,"Y",""),"")</f>
        <v/>
      </c>
      <c r="H177" s="116" t="str">
        <f>IFERROR(IF(VLOOKUP(TableHandbook[[#This Row],[UDC]],TableAvailabilities[],3,FALSE)&gt;0,"Y",""),"")</f>
        <v/>
      </c>
      <c r="I177" s="117" t="str">
        <f>IFERROR(IF(VLOOKUP(TableHandbook[[#This Row],[UDC]],TableAvailabilities[],4,FALSE)&gt;0,"Y",""),"")</f>
        <v>Y</v>
      </c>
      <c r="J177" s="76" t="str">
        <f>IFERROR(IF(VLOOKUP(TableHandbook[[#This Row],[UDC]],TableAvailabilities[],5,FALSE)&gt;0,"Y",""),"")</f>
        <v/>
      </c>
      <c r="K177" s="289"/>
      <c r="L177" s="183" t="str">
        <f>IFERROR(VLOOKUP(TableHandbook[[#This Row],[UDC]],TableMCARTS[],7,FALSE),"")</f>
        <v/>
      </c>
      <c r="M177" s="118" t="str">
        <f>IFERROR(VLOOKUP(TableHandbook[[#This Row],[UDC]],TableMJRPCWRIT[],7,FALSE),"")</f>
        <v/>
      </c>
      <c r="N177" s="118" t="str">
        <f>IFERROR(VLOOKUP(TableHandbook[[#This Row],[UDC]],TableMJRPFINAR[],7,FALSE),"")</f>
        <v>Option</v>
      </c>
      <c r="O177" s="118" t="str">
        <f>IFERROR(VLOOKUP(TableHandbook[[#This Row],[UDC]],TableMJRPPWRIT[],7,FALSE),"")</f>
        <v/>
      </c>
      <c r="P177" s="184" t="str">
        <f>IFERROR(VLOOKUP(TableHandbook[[#This Row],[UDC]],TableMJRPSCRAR[],7,FALSE),"")</f>
        <v/>
      </c>
      <c r="Q177" s="183" t="str">
        <f>IFERROR(VLOOKUP(TableHandbook[[#This Row],[UDC]],TableMCMMJRG[],7,FALSE),"")</f>
        <v/>
      </c>
      <c r="R177" s="118" t="str">
        <f>IFERROR(VLOOKUP(TableHandbook[[#This Row],[UDC]],TableMCMMJRN[],7,FALSE),"")</f>
        <v/>
      </c>
      <c r="S177" s="118" t="str">
        <f>IFERROR(VLOOKUP(TableHandbook[[#This Row],[UDC]],TableGDMMJRN[],7,FALSE),"")</f>
        <v/>
      </c>
      <c r="T177" s="184" t="str">
        <f>IFERROR(VLOOKUP(TableHandbook[[#This Row],[UDC]],TableGCMMJRN[],7,FALSE),"")</f>
        <v/>
      </c>
      <c r="U177" s="183" t="str">
        <f>IFERROR(VLOOKUP(TableHandbook[[#This Row],[UDC]],TableMCHRIGLO[],7,FALSE),"")</f>
        <v/>
      </c>
      <c r="V177" s="118" t="str">
        <f>IFERROR(VLOOKUP(TableHandbook[[#This Row],[UDC]],TableMCHRIGHT[],7,FALSE),"")</f>
        <v/>
      </c>
      <c r="W177" s="118" t="str">
        <f>IFERROR(VLOOKUP(TableHandbook[[#This Row],[UDC]],TableGDHRIGHT[],7,FALSE),"")</f>
        <v/>
      </c>
      <c r="X177" s="184" t="str">
        <f>IFERROR(VLOOKUP(TableHandbook[[#This Row],[UDC]],TableGCHRIGHT[],7,FALSE),"")</f>
        <v/>
      </c>
      <c r="Y177" s="183" t="str">
        <f>IFERROR(VLOOKUP(TableHandbook[[#This Row],[UDC]],TableMCGLOBL2[],7,FALSE),"")</f>
        <v/>
      </c>
      <c r="Z177" s="118" t="str">
        <f>IFERROR(VLOOKUP(TableHandbook[[#This Row],[UDC]],TableMCGLOBL[],7,FALSE),"")</f>
        <v/>
      </c>
      <c r="AA177" s="297" t="str">
        <f>IFERROR(VLOOKUP(TableHandbook[[#This Row],[UDC]],TableSTRPGLOBL[],7,FALSE),"")</f>
        <v/>
      </c>
      <c r="AB177" s="297" t="str">
        <f>IFERROR(VLOOKUP(TableHandbook[[#This Row],[UDC]],TableSTRPHRIGT[],7,FALSE),"")</f>
        <v/>
      </c>
      <c r="AC177" s="297" t="str">
        <f>IFERROR(VLOOKUP(TableHandbook[[#This Row],[UDC]],TableSTRPINTRN[],7,FALSE),"")</f>
        <v/>
      </c>
      <c r="AD177" s="184" t="str">
        <f>IFERROR(VLOOKUP(TableHandbook[[#This Row],[UDC]],TableGCGLOBL[],7,FALSE),"")</f>
        <v/>
      </c>
      <c r="AE177" s="183" t="str">
        <f>IFERROR(VLOOKUP(TableHandbook[[#This Row],[UDC]],TableMCNETSCM[],7,FALSE),"")</f>
        <v/>
      </c>
      <c r="AF177" s="118" t="str">
        <f>IFERROR(VLOOKUP(TableHandbook[[#This Row],[UDC]],TableGDNETSCM[],7,FALSE),"")</f>
        <v/>
      </c>
      <c r="AG177" s="184" t="str">
        <f>IFERROR(VLOOKUP(TableHandbook[[#This Row],[UDC]],TableGCNETSCM[],7,FALSE),"")</f>
        <v/>
      </c>
      <c r="AH177" s="183" t="str">
        <f>IFERROR(VLOOKUP(TableHandbook[[#This Row],[UDC]],TableMCINTRNS[],7,FALSE),"")</f>
        <v/>
      </c>
      <c r="AI177" s="118" t="str">
        <f>IFERROR(VLOOKUP(TableHandbook[[#This Row],[UDC]],TableGDINTRNS[],7,FALSE),"")</f>
        <v/>
      </c>
      <c r="AJ177" s="184" t="str">
        <f>IFERROR(VLOOKUP(TableHandbook[[#This Row],[UDC]],TableGCINTRNS[],7,FALSE),"")</f>
        <v/>
      </c>
    </row>
    <row r="178" spans="1:36" x14ac:dyDescent="0.25">
      <c r="A178" s="6" t="s">
        <v>171</v>
      </c>
      <c r="B178" s="7">
        <v>1</v>
      </c>
      <c r="C178" s="6"/>
      <c r="D178" s="6" t="s">
        <v>567</v>
      </c>
      <c r="E178" s="7">
        <v>25</v>
      </c>
      <c r="F178" s="186" t="s">
        <v>368</v>
      </c>
      <c r="G178" s="75" t="str">
        <f>IFERROR(IF(VLOOKUP(TableHandbook[[#This Row],[UDC]],TableAvailabilities[],2,FALSE)&gt;0,"Y",""),"")</f>
        <v/>
      </c>
      <c r="H178" s="116" t="str">
        <f>IFERROR(IF(VLOOKUP(TableHandbook[[#This Row],[UDC]],TableAvailabilities[],3,FALSE)&gt;0,"Y",""),"")</f>
        <v/>
      </c>
      <c r="I178" s="117" t="str">
        <f>IFERROR(IF(VLOOKUP(TableHandbook[[#This Row],[UDC]],TableAvailabilities[],4,FALSE)&gt;0,"Y",""),"")</f>
        <v>Y</v>
      </c>
      <c r="J178" s="76" t="str">
        <f>IFERROR(IF(VLOOKUP(TableHandbook[[#This Row],[UDC]],TableAvailabilities[],5,FALSE)&gt;0,"Y",""),"")</f>
        <v/>
      </c>
      <c r="K178" s="289"/>
      <c r="L178" s="183" t="str">
        <f>IFERROR(VLOOKUP(TableHandbook[[#This Row],[UDC]],TableMCARTS[],7,FALSE),"")</f>
        <v/>
      </c>
      <c r="M178" s="118" t="str">
        <f>IFERROR(VLOOKUP(TableHandbook[[#This Row],[UDC]],TableMJRPCWRIT[],7,FALSE),"")</f>
        <v/>
      </c>
      <c r="N178" s="118" t="str">
        <f>IFERROR(VLOOKUP(TableHandbook[[#This Row],[UDC]],TableMJRPFINAR[],7,FALSE),"")</f>
        <v>Option</v>
      </c>
      <c r="O178" s="118" t="str">
        <f>IFERROR(VLOOKUP(TableHandbook[[#This Row],[UDC]],TableMJRPPWRIT[],7,FALSE),"")</f>
        <v/>
      </c>
      <c r="P178" s="184" t="str">
        <f>IFERROR(VLOOKUP(TableHandbook[[#This Row],[UDC]],TableMJRPSCRAR[],7,FALSE),"")</f>
        <v/>
      </c>
      <c r="Q178" s="183" t="str">
        <f>IFERROR(VLOOKUP(TableHandbook[[#This Row],[UDC]],TableMCMMJRG[],7,FALSE),"")</f>
        <v/>
      </c>
      <c r="R178" s="118" t="str">
        <f>IFERROR(VLOOKUP(TableHandbook[[#This Row],[UDC]],TableMCMMJRN[],7,FALSE),"")</f>
        <v/>
      </c>
      <c r="S178" s="118" t="str">
        <f>IFERROR(VLOOKUP(TableHandbook[[#This Row],[UDC]],TableGDMMJRN[],7,FALSE),"")</f>
        <v/>
      </c>
      <c r="T178" s="184" t="str">
        <f>IFERROR(VLOOKUP(TableHandbook[[#This Row],[UDC]],TableGCMMJRN[],7,FALSE),"")</f>
        <v/>
      </c>
      <c r="U178" s="183" t="str">
        <f>IFERROR(VLOOKUP(TableHandbook[[#This Row],[UDC]],TableMCHRIGLO[],7,FALSE),"")</f>
        <v/>
      </c>
      <c r="V178" s="118" t="str">
        <f>IFERROR(VLOOKUP(TableHandbook[[#This Row],[UDC]],TableMCHRIGHT[],7,FALSE),"")</f>
        <v/>
      </c>
      <c r="W178" s="118" t="str">
        <f>IFERROR(VLOOKUP(TableHandbook[[#This Row],[UDC]],TableGDHRIGHT[],7,FALSE),"")</f>
        <v/>
      </c>
      <c r="X178" s="184" t="str">
        <f>IFERROR(VLOOKUP(TableHandbook[[#This Row],[UDC]],TableGCHRIGHT[],7,FALSE),"")</f>
        <v/>
      </c>
      <c r="Y178" s="183" t="str">
        <f>IFERROR(VLOOKUP(TableHandbook[[#This Row],[UDC]],TableMCGLOBL2[],7,FALSE),"")</f>
        <v/>
      </c>
      <c r="Z178" s="118" t="str">
        <f>IFERROR(VLOOKUP(TableHandbook[[#This Row],[UDC]],TableMCGLOBL[],7,FALSE),"")</f>
        <v/>
      </c>
      <c r="AA178" s="297" t="str">
        <f>IFERROR(VLOOKUP(TableHandbook[[#This Row],[UDC]],TableSTRPGLOBL[],7,FALSE),"")</f>
        <v/>
      </c>
      <c r="AB178" s="297" t="str">
        <f>IFERROR(VLOOKUP(TableHandbook[[#This Row],[UDC]],TableSTRPHRIGT[],7,FALSE),"")</f>
        <v/>
      </c>
      <c r="AC178" s="297" t="str">
        <f>IFERROR(VLOOKUP(TableHandbook[[#This Row],[UDC]],TableSTRPINTRN[],7,FALSE),"")</f>
        <v/>
      </c>
      <c r="AD178" s="184" t="str">
        <f>IFERROR(VLOOKUP(TableHandbook[[#This Row],[UDC]],TableGCGLOBL[],7,FALSE),"")</f>
        <v/>
      </c>
      <c r="AE178" s="183" t="str">
        <f>IFERROR(VLOOKUP(TableHandbook[[#This Row],[UDC]],TableMCNETSCM[],7,FALSE),"")</f>
        <v/>
      </c>
      <c r="AF178" s="118" t="str">
        <f>IFERROR(VLOOKUP(TableHandbook[[#This Row],[UDC]],TableGDNETSCM[],7,FALSE),"")</f>
        <v/>
      </c>
      <c r="AG178" s="184" t="str">
        <f>IFERROR(VLOOKUP(TableHandbook[[#This Row],[UDC]],TableGCNETSCM[],7,FALSE),"")</f>
        <v/>
      </c>
      <c r="AH178" s="183" t="str">
        <f>IFERROR(VLOOKUP(TableHandbook[[#This Row],[UDC]],TableMCINTRNS[],7,FALSE),"")</f>
        <v/>
      </c>
      <c r="AI178" s="118" t="str">
        <f>IFERROR(VLOOKUP(TableHandbook[[#This Row],[UDC]],TableGDINTRNS[],7,FALSE),"")</f>
        <v/>
      </c>
      <c r="AJ178" s="184" t="str">
        <f>IFERROR(VLOOKUP(TableHandbook[[#This Row],[UDC]],TableGCINTRNS[],7,FALSE),"")</f>
        <v/>
      </c>
    </row>
    <row r="179" spans="1:36" x14ac:dyDescent="0.25">
      <c r="A179" s="6" t="s">
        <v>175</v>
      </c>
      <c r="B179" s="7">
        <v>1</v>
      </c>
      <c r="C179" s="6"/>
      <c r="D179" s="6" t="s">
        <v>568</v>
      </c>
      <c r="E179" s="7">
        <v>25</v>
      </c>
      <c r="F179" s="186" t="s">
        <v>368</v>
      </c>
      <c r="G179" s="75" t="str">
        <f>IFERROR(IF(VLOOKUP(TableHandbook[[#This Row],[UDC]],TableAvailabilities[],2,FALSE)&gt;0,"Y",""),"")</f>
        <v>Y</v>
      </c>
      <c r="H179" s="116" t="str">
        <f>IFERROR(IF(VLOOKUP(TableHandbook[[#This Row],[UDC]],TableAvailabilities[],3,FALSE)&gt;0,"Y",""),"")</f>
        <v/>
      </c>
      <c r="I179" s="117" t="str">
        <f>IFERROR(IF(VLOOKUP(TableHandbook[[#This Row],[UDC]],TableAvailabilities[],4,FALSE)&gt;0,"Y",""),"")</f>
        <v/>
      </c>
      <c r="J179" s="76" t="str">
        <f>IFERROR(IF(VLOOKUP(TableHandbook[[#This Row],[UDC]],TableAvailabilities[],5,FALSE)&gt;0,"Y",""),"")</f>
        <v/>
      </c>
      <c r="K179" s="289"/>
      <c r="L179" s="183" t="str">
        <f>IFERROR(VLOOKUP(TableHandbook[[#This Row],[UDC]],TableMCARTS[],7,FALSE),"")</f>
        <v/>
      </c>
      <c r="M179" s="118" t="str">
        <f>IFERROR(VLOOKUP(TableHandbook[[#This Row],[UDC]],TableMJRPCWRIT[],7,FALSE),"")</f>
        <v/>
      </c>
      <c r="N179" s="118" t="str">
        <f>IFERROR(VLOOKUP(TableHandbook[[#This Row],[UDC]],TableMJRPFINAR[],7,FALSE),"")</f>
        <v>Option</v>
      </c>
      <c r="O179" s="118" t="str">
        <f>IFERROR(VLOOKUP(TableHandbook[[#This Row],[UDC]],TableMJRPPWRIT[],7,FALSE),"")</f>
        <v/>
      </c>
      <c r="P179" s="184" t="str">
        <f>IFERROR(VLOOKUP(TableHandbook[[#This Row],[UDC]],TableMJRPSCRAR[],7,FALSE),"")</f>
        <v/>
      </c>
      <c r="Q179" s="183" t="str">
        <f>IFERROR(VLOOKUP(TableHandbook[[#This Row],[UDC]],TableMCMMJRG[],7,FALSE),"")</f>
        <v/>
      </c>
      <c r="R179" s="118" t="str">
        <f>IFERROR(VLOOKUP(TableHandbook[[#This Row],[UDC]],TableMCMMJRN[],7,FALSE),"")</f>
        <v/>
      </c>
      <c r="S179" s="118" t="str">
        <f>IFERROR(VLOOKUP(TableHandbook[[#This Row],[UDC]],TableGDMMJRN[],7,FALSE),"")</f>
        <v/>
      </c>
      <c r="T179" s="184" t="str">
        <f>IFERROR(VLOOKUP(TableHandbook[[#This Row],[UDC]],TableGCMMJRN[],7,FALSE),"")</f>
        <v/>
      </c>
      <c r="U179" s="183" t="str">
        <f>IFERROR(VLOOKUP(TableHandbook[[#This Row],[UDC]],TableMCHRIGLO[],7,FALSE),"")</f>
        <v/>
      </c>
      <c r="V179" s="118" t="str">
        <f>IFERROR(VLOOKUP(TableHandbook[[#This Row],[UDC]],TableMCHRIGHT[],7,FALSE),"")</f>
        <v/>
      </c>
      <c r="W179" s="118" t="str">
        <f>IFERROR(VLOOKUP(TableHandbook[[#This Row],[UDC]],TableGDHRIGHT[],7,FALSE),"")</f>
        <v/>
      </c>
      <c r="X179" s="184" t="str">
        <f>IFERROR(VLOOKUP(TableHandbook[[#This Row],[UDC]],TableGCHRIGHT[],7,FALSE),"")</f>
        <v/>
      </c>
      <c r="Y179" s="183" t="str">
        <f>IFERROR(VLOOKUP(TableHandbook[[#This Row],[UDC]],TableMCGLOBL2[],7,FALSE),"")</f>
        <v/>
      </c>
      <c r="Z179" s="118" t="str">
        <f>IFERROR(VLOOKUP(TableHandbook[[#This Row],[UDC]],TableMCGLOBL[],7,FALSE),"")</f>
        <v/>
      </c>
      <c r="AA179" s="297" t="str">
        <f>IFERROR(VLOOKUP(TableHandbook[[#This Row],[UDC]],TableSTRPGLOBL[],7,FALSE),"")</f>
        <v/>
      </c>
      <c r="AB179" s="297" t="str">
        <f>IFERROR(VLOOKUP(TableHandbook[[#This Row],[UDC]],TableSTRPHRIGT[],7,FALSE),"")</f>
        <v/>
      </c>
      <c r="AC179" s="297" t="str">
        <f>IFERROR(VLOOKUP(TableHandbook[[#This Row],[UDC]],TableSTRPINTRN[],7,FALSE),"")</f>
        <v/>
      </c>
      <c r="AD179" s="184" t="str">
        <f>IFERROR(VLOOKUP(TableHandbook[[#This Row],[UDC]],TableGCGLOBL[],7,FALSE),"")</f>
        <v/>
      </c>
      <c r="AE179" s="183" t="str">
        <f>IFERROR(VLOOKUP(TableHandbook[[#This Row],[UDC]],TableMCNETSCM[],7,FALSE),"")</f>
        <v/>
      </c>
      <c r="AF179" s="118" t="str">
        <f>IFERROR(VLOOKUP(TableHandbook[[#This Row],[UDC]],TableGDNETSCM[],7,FALSE),"")</f>
        <v/>
      </c>
      <c r="AG179" s="184" t="str">
        <f>IFERROR(VLOOKUP(TableHandbook[[#This Row],[UDC]],TableGCNETSCM[],7,FALSE),"")</f>
        <v/>
      </c>
      <c r="AH179" s="183" t="str">
        <f>IFERROR(VLOOKUP(TableHandbook[[#This Row],[UDC]],TableMCINTRNS[],7,FALSE),"")</f>
        <v/>
      </c>
      <c r="AI179" s="118" t="str">
        <f>IFERROR(VLOOKUP(TableHandbook[[#This Row],[UDC]],TableGDINTRNS[],7,FALSE),"")</f>
        <v/>
      </c>
      <c r="AJ179" s="184" t="str">
        <f>IFERROR(VLOOKUP(TableHandbook[[#This Row],[UDC]],TableGCINTRNS[],7,FALSE),"")</f>
        <v/>
      </c>
    </row>
    <row r="180" spans="1:36" x14ac:dyDescent="0.25">
      <c r="A180" s="5" t="s">
        <v>198</v>
      </c>
      <c r="B180" s="73">
        <v>2</v>
      </c>
      <c r="C180" s="5"/>
      <c r="D180" s="5" t="s">
        <v>569</v>
      </c>
      <c r="E180" s="7">
        <v>25</v>
      </c>
      <c r="F180" s="186" t="s">
        <v>368</v>
      </c>
      <c r="G180" s="75" t="str">
        <f>IFERROR(IF(VLOOKUP(TableHandbook[[#This Row],[UDC]],TableAvailabilities[],2,FALSE)&gt;0,"Y",""),"")</f>
        <v>Y</v>
      </c>
      <c r="H180" s="116" t="str">
        <f>IFERROR(IF(VLOOKUP(TableHandbook[[#This Row],[UDC]],TableAvailabilities[],3,FALSE)&gt;0,"Y",""),"")</f>
        <v/>
      </c>
      <c r="I180" s="117" t="str">
        <f>IFERROR(IF(VLOOKUP(TableHandbook[[#This Row],[UDC]],TableAvailabilities[],4,FALSE)&gt;0,"Y",""),"")</f>
        <v/>
      </c>
      <c r="J180" s="76" t="str">
        <f>IFERROR(IF(VLOOKUP(TableHandbook[[#This Row],[UDC]],TableAvailabilities[],5,FALSE)&gt;0,"Y",""),"")</f>
        <v/>
      </c>
      <c r="K180" s="290"/>
      <c r="L180" s="183" t="str">
        <f>IFERROR(VLOOKUP(TableHandbook[[#This Row],[UDC]],TableMCARTS[],7,FALSE),"")</f>
        <v/>
      </c>
      <c r="M180" s="118" t="str">
        <f>IFERROR(VLOOKUP(TableHandbook[[#This Row],[UDC]],TableMJRPCWRIT[],7,FALSE),"")</f>
        <v/>
      </c>
      <c r="N180" s="118" t="str">
        <f>IFERROR(VLOOKUP(TableHandbook[[#This Row],[UDC]],TableMJRPFINAR[],7,FALSE),"")</f>
        <v>Option</v>
      </c>
      <c r="O180" s="118" t="str">
        <f>IFERROR(VLOOKUP(TableHandbook[[#This Row],[UDC]],TableMJRPPWRIT[],7,FALSE),"")</f>
        <v/>
      </c>
      <c r="P180" s="184" t="str">
        <f>IFERROR(VLOOKUP(TableHandbook[[#This Row],[UDC]],TableMJRPSCRAR[],7,FALSE),"")</f>
        <v/>
      </c>
      <c r="Q180" s="183" t="str">
        <f>IFERROR(VLOOKUP(TableHandbook[[#This Row],[UDC]],TableMCMMJRG[],7,FALSE),"")</f>
        <v/>
      </c>
      <c r="R180" s="118" t="str">
        <f>IFERROR(VLOOKUP(TableHandbook[[#This Row],[UDC]],TableMCMMJRN[],7,FALSE),"")</f>
        <v/>
      </c>
      <c r="S180" s="118" t="str">
        <f>IFERROR(VLOOKUP(TableHandbook[[#This Row],[UDC]],TableGDMMJRN[],7,FALSE),"")</f>
        <v/>
      </c>
      <c r="T180" s="184" t="str">
        <f>IFERROR(VLOOKUP(TableHandbook[[#This Row],[UDC]],TableGCMMJRN[],7,FALSE),"")</f>
        <v/>
      </c>
      <c r="U180" s="183" t="str">
        <f>IFERROR(VLOOKUP(TableHandbook[[#This Row],[UDC]],TableMCHRIGLO[],7,FALSE),"")</f>
        <v/>
      </c>
      <c r="V180" s="118" t="str">
        <f>IFERROR(VLOOKUP(TableHandbook[[#This Row],[UDC]],TableMCHRIGHT[],7,FALSE),"")</f>
        <v/>
      </c>
      <c r="W180" s="118" t="str">
        <f>IFERROR(VLOOKUP(TableHandbook[[#This Row],[UDC]],TableGDHRIGHT[],7,FALSE),"")</f>
        <v/>
      </c>
      <c r="X180" s="184" t="str">
        <f>IFERROR(VLOOKUP(TableHandbook[[#This Row],[UDC]],TableGCHRIGHT[],7,FALSE),"")</f>
        <v/>
      </c>
      <c r="Y180" s="183" t="str">
        <f>IFERROR(VLOOKUP(TableHandbook[[#This Row],[UDC]],TableMCGLOBL2[],7,FALSE),"")</f>
        <v/>
      </c>
      <c r="Z180" s="118" t="str">
        <f>IFERROR(VLOOKUP(TableHandbook[[#This Row],[UDC]],TableMCGLOBL[],7,FALSE),"")</f>
        <v/>
      </c>
      <c r="AA180" s="297" t="str">
        <f>IFERROR(VLOOKUP(TableHandbook[[#This Row],[UDC]],TableSTRPGLOBL[],7,FALSE),"")</f>
        <v/>
      </c>
      <c r="AB180" s="297" t="str">
        <f>IFERROR(VLOOKUP(TableHandbook[[#This Row],[UDC]],TableSTRPHRIGT[],7,FALSE),"")</f>
        <v/>
      </c>
      <c r="AC180" s="297" t="str">
        <f>IFERROR(VLOOKUP(TableHandbook[[#This Row],[UDC]],TableSTRPINTRN[],7,FALSE),"")</f>
        <v/>
      </c>
      <c r="AD180" s="184" t="str">
        <f>IFERROR(VLOOKUP(TableHandbook[[#This Row],[UDC]],TableGCGLOBL[],7,FALSE),"")</f>
        <v/>
      </c>
      <c r="AE180" s="183" t="str">
        <f>IFERROR(VLOOKUP(TableHandbook[[#This Row],[UDC]],TableMCNETSCM[],7,FALSE),"")</f>
        <v/>
      </c>
      <c r="AF180" s="118" t="str">
        <f>IFERROR(VLOOKUP(TableHandbook[[#This Row],[UDC]],TableGDNETSCM[],7,FALSE),"")</f>
        <v/>
      </c>
      <c r="AG180" s="184" t="str">
        <f>IFERROR(VLOOKUP(TableHandbook[[#This Row],[UDC]],TableGCNETSCM[],7,FALSE),"")</f>
        <v/>
      </c>
      <c r="AH180" s="183" t="str">
        <f>IFERROR(VLOOKUP(TableHandbook[[#This Row],[UDC]],TableMCINTRNS[],7,FALSE),"")</f>
        <v/>
      </c>
      <c r="AI180" s="118" t="str">
        <f>IFERROR(VLOOKUP(TableHandbook[[#This Row],[UDC]],TableGDINTRNS[],7,FALSE),"")</f>
        <v/>
      </c>
      <c r="AJ180" s="184" t="str">
        <f>IFERROR(VLOOKUP(TableHandbook[[#This Row],[UDC]],TableGCINTRNS[],7,FALSE),"")</f>
        <v/>
      </c>
    </row>
    <row r="181" spans="1:36" x14ac:dyDescent="0.25">
      <c r="A181" s="6" t="s">
        <v>199</v>
      </c>
      <c r="B181" s="7">
        <v>1</v>
      </c>
      <c r="C181" s="6"/>
      <c r="D181" s="6" t="s">
        <v>570</v>
      </c>
      <c r="E181" s="7">
        <v>25</v>
      </c>
      <c r="F181" s="186" t="s">
        <v>171</v>
      </c>
      <c r="G181" s="75" t="str">
        <f>IFERROR(IF(VLOOKUP(TableHandbook[[#This Row],[UDC]],TableAvailabilities[],2,FALSE)&gt;0,"Y",""),"")</f>
        <v>Y</v>
      </c>
      <c r="H181" s="116" t="str">
        <f>IFERROR(IF(VLOOKUP(TableHandbook[[#This Row],[UDC]],TableAvailabilities[],3,FALSE)&gt;0,"Y",""),"")</f>
        <v/>
      </c>
      <c r="I181" s="117" t="str">
        <f>IFERROR(IF(VLOOKUP(TableHandbook[[#This Row],[UDC]],TableAvailabilities[],4,FALSE)&gt;0,"Y",""),"")</f>
        <v/>
      </c>
      <c r="J181" s="76" t="str">
        <f>IFERROR(IF(VLOOKUP(TableHandbook[[#This Row],[UDC]],TableAvailabilities[],5,FALSE)&gt;0,"Y",""),"")</f>
        <v/>
      </c>
      <c r="K181" s="289"/>
      <c r="L181" s="183" t="str">
        <f>IFERROR(VLOOKUP(TableHandbook[[#This Row],[UDC]],TableMCARTS[],7,FALSE),"")</f>
        <v/>
      </c>
      <c r="M181" s="118" t="str">
        <f>IFERROR(VLOOKUP(TableHandbook[[#This Row],[UDC]],TableMJRPCWRIT[],7,FALSE),"")</f>
        <v/>
      </c>
      <c r="N181" s="118" t="str">
        <f>IFERROR(VLOOKUP(TableHandbook[[#This Row],[UDC]],TableMJRPFINAR[],7,FALSE),"")</f>
        <v>Option</v>
      </c>
      <c r="O181" s="118" t="str">
        <f>IFERROR(VLOOKUP(TableHandbook[[#This Row],[UDC]],TableMJRPPWRIT[],7,FALSE),"")</f>
        <v/>
      </c>
      <c r="P181" s="184" t="str">
        <f>IFERROR(VLOOKUP(TableHandbook[[#This Row],[UDC]],TableMJRPSCRAR[],7,FALSE),"")</f>
        <v/>
      </c>
      <c r="Q181" s="183" t="str">
        <f>IFERROR(VLOOKUP(TableHandbook[[#This Row],[UDC]],TableMCMMJRG[],7,FALSE),"")</f>
        <v/>
      </c>
      <c r="R181" s="118" t="str">
        <f>IFERROR(VLOOKUP(TableHandbook[[#This Row],[UDC]],TableMCMMJRN[],7,FALSE),"")</f>
        <v/>
      </c>
      <c r="S181" s="118" t="str">
        <f>IFERROR(VLOOKUP(TableHandbook[[#This Row],[UDC]],TableGDMMJRN[],7,FALSE),"")</f>
        <v/>
      </c>
      <c r="T181" s="184" t="str">
        <f>IFERROR(VLOOKUP(TableHandbook[[#This Row],[UDC]],TableGCMMJRN[],7,FALSE),"")</f>
        <v/>
      </c>
      <c r="U181" s="183" t="str">
        <f>IFERROR(VLOOKUP(TableHandbook[[#This Row],[UDC]],TableMCHRIGLO[],7,FALSE),"")</f>
        <v/>
      </c>
      <c r="V181" s="118" t="str">
        <f>IFERROR(VLOOKUP(TableHandbook[[#This Row],[UDC]],TableMCHRIGHT[],7,FALSE),"")</f>
        <v/>
      </c>
      <c r="W181" s="118" t="str">
        <f>IFERROR(VLOOKUP(TableHandbook[[#This Row],[UDC]],TableGDHRIGHT[],7,FALSE),"")</f>
        <v/>
      </c>
      <c r="X181" s="184" t="str">
        <f>IFERROR(VLOOKUP(TableHandbook[[#This Row],[UDC]],TableGCHRIGHT[],7,FALSE),"")</f>
        <v/>
      </c>
      <c r="Y181" s="183" t="str">
        <f>IFERROR(VLOOKUP(TableHandbook[[#This Row],[UDC]],TableMCGLOBL2[],7,FALSE),"")</f>
        <v/>
      </c>
      <c r="Z181" s="118" t="str">
        <f>IFERROR(VLOOKUP(TableHandbook[[#This Row],[UDC]],TableMCGLOBL[],7,FALSE),"")</f>
        <v/>
      </c>
      <c r="AA181" s="297" t="str">
        <f>IFERROR(VLOOKUP(TableHandbook[[#This Row],[UDC]],TableSTRPGLOBL[],7,FALSE),"")</f>
        <v/>
      </c>
      <c r="AB181" s="297" t="str">
        <f>IFERROR(VLOOKUP(TableHandbook[[#This Row],[UDC]],TableSTRPHRIGT[],7,FALSE),"")</f>
        <v/>
      </c>
      <c r="AC181" s="297" t="str">
        <f>IFERROR(VLOOKUP(TableHandbook[[#This Row],[UDC]],TableSTRPINTRN[],7,FALSE),"")</f>
        <v/>
      </c>
      <c r="AD181" s="184" t="str">
        <f>IFERROR(VLOOKUP(TableHandbook[[#This Row],[UDC]],TableGCGLOBL[],7,FALSE),"")</f>
        <v/>
      </c>
      <c r="AE181" s="183" t="str">
        <f>IFERROR(VLOOKUP(TableHandbook[[#This Row],[UDC]],TableMCNETSCM[],7,FALSE),"")</f>
        <v/>
      </c>
      <c r="AF181" s="118" t="str">
        <f>IFERROR(VLOOKUP(TableHandbook[[#This Row],[UDC]],TableGDNETSCM[],7,FALSE),"")</f>
        <v/>
      </c>
      <c r="AG181" s="184" t="str">
        <f>IFERROR(VLOOKUP(TableHandbook[[#This Row],[UDC]],TableGCNETSCM[],7,FALSE),"")</f>
        <v/>
      </c>
      <c r="AH181" s="183" t="str">
        <f>IFERROR(VLOOKUP(TableHandbook[[#This Row],[UDC]],TableMCINTRNS[],7,FALSE),"")</f>
        <v/>
      </c>
      <c r="AI181" s="118" t="str">
        <f>IFERROR(VLOOKUP(TableHandbook[[#This Row],[UDC]],TableGDINTRNS[],7,FALSE),"")</f>
        <v/>
      </c>
      <c r="AJ181" s="184" t="str">
        <f>IFERROR(VLOOKUP(TableHandbook[[#This Row],[UDC]],TableGCINTRNS[],7,FALSE),"")</f>
        <v/>
      </c>
    </row>
    <row r="182" spans="1:36" x14ac:dyDescent="0.25">
      <c r="A182" s="6" t="s">
        <v>200</v>
      </c>
      <c r="B182" s="7">
        <v>1</v>
      </c>
      <c r="C182" s="6"/>
      <c r="D182" s="6" t="s">
        <v>571</v>
      </c>
      <c r="E182" s="7">
        <v>25</v>
      </c>
      <c r="F182" s="186" t="s">
        <v>168</v>
      </c>
      <c r="G182" s="75" t="str">
        <f>IFERROR(IF(VLOOKUP(TableHandbook[[#This Row],[UDC]],TableAvailabilities[],2,FALSE)&gt;0,"Y",""),"")</f>
        <v>Y</v>
      </c>
      <c r="H182" s="116" t="str">
        <f>IFERROR(IF(VLOOKUP(TableHandbook[[#This Row],[UDC]],TableAvailabilities[],3,FALSE)&gt;0,"Y",""),"")</f>
        <v/>
      </c>
      <c r="I182" s="117" t="str">
        <f>IFERROR(IF(VLOOKUP(TableHandbook[[#This Row],[UDC]],TableAvailabilities[],4,FALSE)&gt;0,"Y",""),"")</f>
        <v/>
      </c>
      <c r="J182" s="76" t="str">
        <f>IFERROR(IF(VLOOKUP(TableHandbook[[#This Row],[UDC]],TableAvailabilities[],5,FALSE)&gt;0,"Y",""),"")</f>
        <v/>
      </c>
      <c r="K182" s="289"/>
      <c r="L182" s="183" t="str">
        <f>IFERROR(VLOOKUP(TableHandbook[[#This Row],[UDC]],TableMCARTS[],7,FALSE),"")</f>
        <v/>
      </c>
      <c r="M182" s="118" t="str">
        <f>IFERROR(VLOOKUP(TableHandbook[[#This Row],[UDC]],TableMJRPCWRIT[],7,FALSE),"")</f>
        <v/>
      </c>
      <c r="N182" s="118" t="str">
        <f>IFERROR(VLOOKUP(TableHandbook[[#This Row],[UDC]],TableMJRPFINAR[],7,FALSE),"")</f>
        <v>Option</v>
      </c>
      <c r="O182" s="118" t="str">
        <f>IFERROR(VLOOKUP(TableHandbook[[#This Row],[UDC]],TableMJRPPWRIT[],7,FALSE),"")</f>
        <v/>
      </c>
      <c r="P182" s="184" t="str">
        <f>IFERROR(VLOOKUP(TableHandbook[[#This Row],[UDC]],TableMJRPSCRAR[],7,FALSE),"")</f>
        <v/>
      </c>
      <c r="Q182" s="183" t="str">
        <f>IFERROR(VLOOKUP(TableHandbook[[#This Row],[UDC]],TableMCMMJRG[],7,FALSE),"")</f>
        <v/>
      </c>
      <c r="R182" s="118" t="str">
        <f>IFERROR(VLOOKUP(TableHandbook[[#This Row],[UDC]],TableMCMMJRN[],7,FALSE),"")</f>
        <v/>
      </c>
      <c r="S182" s="118" t="str">
        <f>IFERROR(VLOOKUP(TableHandbook[[#This Row],[UDC]],TableGDMMJRN[],7,FALSE),"")</f>
        <v/>
      </c>
      <c r="T182" s="184" t="str">
        <f>IFERROR(VLOOKUP(TableHandbook[[#This Row],[UDC]],TableGCMMJRN[],7,FALSE),"")</f>
        <v/>
      </c>
      <c r="U182" s="183" t="str">
        <f>IFERROR(VLOOKUP(TableHandbook[[#This Row],[UDC]],TableMCHRIGLO[],7,FALSE),"")</f>
        <v/>
      </c>
      <c r="V182" s="118" t="str">
        <f>IFERROR(VLOOKUP(TableHandbook[[#This Row],[UDC]],TableMCHRIGHT[],7,FALSE),"")</f>
        <v/>
      </c>
      <c r="W182" s="118" t="str">
        <f>IFERROR(VLOOKUP(TableHandbook[[#This Row],[UDC]],TableGDHRIGHT[],7,FALSE),"")</f>
        <v/>
      </c>
      <c r="X182" s="184" t="str">
        <f>IFERROR(VLOOKUP(TableHandbook[[#This Row],[UDC]],TableGCHRIGHT[],7,FALSE),"")</f>
        <v/>
      </c>
      <c r="Y182" s="183" t="str">
        <f>IFERROR(VLOOKUP(TableHandbook[[#This Row],[UDC]],TableMCGLOBL2[],7,FALSE),"")</f>
        <v/>
      </c>
      <c r="Z182" s="118" t="str">
        <f>IFERROR(VLOOKUP(TableHandbook[[#This Row],[UDC]],TableMCGLOBL[],7,FALSE),"")</f>
        <v/>
      </c>
      <c r="AA182" s="297" t="str">
        <f>IFERROR(VLOOKUP(TableHandbook[[#This Row],[UDC]],TableSTRPGLOBL[],7,FALSE),"")</f>
        <v/>
      </c>
      <c r="AB182" s="297" t="str">
        <f>IFERROR(VLOOKUP(TableHandbook[[#This Row],[UDC]],TableSTRPHRIGT[],7,FALSE),"")</f>
        <v/>
      </c>
      <c r="AC182" s="297" t="str">
        <f>IFERROR(VLOOKUP(TableHandbook[[#This Row],[UDC]],TableSTRPINTRN[],7,FALSE),"")</f>
        <v/>
      </c>
      <c r="AD182" s="184" t="str">
        <f>IFERROR(VLOOKUP(TableHandbook[[#This Row],[UDC]],TableGCGLOBL[],7,FALSE),"")</f>
        <v/>
      </c>
      <c r="AE182" s="183" t="str">
        <f>IFERROR(VLOOKUP(TableHandbook[[#This Row],[UDC]],TableMCNETSCM[],7,FALSE),"")</f>
        <v/>
      </c>
      <c r="AF182" s="118" t="str">
        <f>IFERROR(VLOOKUP(TableHandbook[[#This Row],[UDC]],TableGDNETSCM[],7,FALSE),"")</f>
        <v/>
      </c>
      <c r="AG182" s="184" t="str">
        <f>IFERROR(VLOOKUP(TableHandbook[[#This Row],[UDC]],TableGCNETSCM[],7,FALSE),"")</f>
        <v/>
      </c>
      <c r="AH182" s="183" t="str">
        <f>IFERROR(VLOOKUP(TableHandbook[[#This Row],[UDC]],TableMCINTRNS[],7,FALSE),"")</f>
        <v/>
      </c>
      <c r="AI182" s="118" t="str">
        <f>IFERROR(VLOOKUP(TableHandbook[[#This Row],[UDC]],TableGDINTRNS[],7,FALSE),"")</f>
        <v/>
      </c>
      <c r="AJ182" s="184" t="str">
        <f>IFERROR(VLOOKUP(TableHandbook[[#This Row],[UDC]],TableGCINTRNS[],7,FALSE),"")</f>
        <v/>
      </c>
    </row>
  </sheetData>
  <sortState ref="A25:D38">
    <sortCondition ref="A25"/>
  </sortState>
  <conditionalFormatting sqref="A4:A182">
    <cfRule type="duplicateValues" dxfId="435" priority="466"/>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1FD9A3B18F6A4F962F43D3E5842A09" ma:contentTypeVersion="8" ma:contentTypeDescription="Create a new document." ma:contentTypeScope="" ma:versionID="0fec357dfda34a9eccea4537b6ac44b5">
  <xsd:schema xmlns:xsd="http://www.w3.org/2001/XMLSchema" xmlns:xs="http://www.w3.org/2001/XMLSchema" xmlns:p="http://schemas.microsoft.com/office/2006/metadata/properties" xmlns:ns2="710b5fa5-af83-4923-9b32-0a1622da1318" xmlns:ns3="ba69df13-0c3c-4942-8695-6ca01564010c" targetNamespace="http://schemas.microsoft.com/office/2006/metadata/properties" ma:root="true" ma:fieldsID="af3140d31589414582d4b7bfd9e6e8b1" ns2:_="" ns3:_="">
    <xsd:import namespace="710b5fa5-af83-4923-9b32-0a1622da1318"/>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b5fa5-af83-4923-9b32-0a1622da1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ba69df13-0c3c-4942-8695-6ca01564010c"/>
    <ds:schemaRef ds:uri="710b5fa5-af83-4923-9b32-0a1622da1318"/>
    <ds:schemaRef ds:uri="http://www.w3.org/XML/1998/namespace"/>
  </ds:schemaRefs>
</ds:datastoreItem>
</file>

<file path=customXml/itemProps2.xml><?xml version="1.0" encoding="utf-8"?>
<ds:datastoreItem xmlns:ds="http://schemas.openxmlformats.org/officeDocument/2006/customXml" ds:itemID="{1403348F-0E11-4F48-AFA1-D640FC79B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b5fa5-af83-4923-9b32-0a1622da1318"/>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Planner M-Arts</vt:lpstr>
      <vt:lpstr>Unitsets</vt:lpstr>
      <vt:lpstr>Planner MMJ</vt:lpstr>
      <vt:lpstr>Planner HumRightsGlobEng</vt:lpstr>
      <vt:lpstr>Planner DaSM</vt:lpstr>
      <vt:lpstr>Planner IRaNS</vt:lpstr>
      <vt:lpstr>Planner GlobEng</vt:lpstr>
      <vt:lpstr>Unitsets Other</vt:lpstr>
      <vt:lpstr>Handbook</vt:lpstr>
      <vt:lpstr>Structures</vt:lpstr>
      <vt:lpstr>Availabilities</vt:lpstr>
      <vt:lpstr>'Planner DaSM'!Print_Area</vt:lpstr>
      <vt:lpstr>'Planner GlobEng'!Print_Area</vt:lpstr>
      <vt:lpstr>'Planner HumRightsGlobEng'!Print_Area</vt:lpstr>
      <vt:lpstr>'Planner IRaNS'!Print_Area</vt:lpstr>
      <vt:lpstr>'Planner M-Arts'!Print_Area</vt:lpstr>
      <vt:lpstr>'Planner MMJ'!Print_Area</vt:lpstr>
      <vt:lpstr>RangeGLOBLOptions</vt:lpstr>
      <vt:lpstr>RangeGLOBLUnitsets</vt:lpstr>
      <vt:lpstr>RangeHRIGHTOptions</vt:lpstr>
      <vt:lpstr>RangeHRIGHTUnitsets</vt:lpstr>
      <vt:lpstr>RangeINTRNSOptions</vt:lpstr>
      <vt:lpstr>RangeINTRNSUnitsets</vt:lpstr>
      <vt:lpstr>'Unitsets Other'!RangeMARTSAltCore</vt:lpstr>
      <vt:lpstr>RangeMARTSAltCore</vt:lpstr>
      <vt:lpstr>'Unitsets Other'!RangeMARTSOptions</vt:lpstr>
      <vt:lpstr>RangeMARTSOptions</vt:lpstr>
      <vt:lpstr>'Unitsets Other'!RangeMARTSUnitsets</vt:lpstr>
      <vt:lpstr>RangeMARTSUnitsets</vt:lpstr>
      <vt:lpstr>RangeMMJRNOptions</vt:lpstr>
      <vt:lpstr>RangeMMJRNUnitsets</vt:lpstr>
      <vt:lpstr>RangeNETSCMOptions</vt:lpstr>
      <vt:lpstr>RangeNETSCMUnitsets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2024-07-18T05:44:07Z</cp:lastPrinted>
  <dcterms:created xsi:type="dcterms:W3CDTF">2022-02-28T04:48:12Z</dcterms:created>
  <dcterms:modified xsi:type="dcterms:W3CDTF">2024-07-18T05:47:20Z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0x0101009A1FD9A3B18F6A4F962F43D3E5842A09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