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50BF9F80-3809-4AAF-8502-8D6B0657ADAC}" xr6:coauthVersionLast="47" xr6:coauthVersionMax="47" xr10:uidLastSave="{00000000-0000-0000-0000-000000000000}"/>
  <workbookProtection workbookAlgorithmName="SHA-512" workbookHashValue="hLsZb9ixR0BRKj0K1iMGlAcS51Y7hcDTBHEhUVpv31YoF3d9JkRkivqX6SmU4Cqm1MQw4vTJV+Hw0Frzf7sppw==" workbookSaltValue="EfkbEn9onWskLzsuKUssiQ==" workbookSpinCount="100000" lockStructure="1"/>
  <bookViews>
    <workbookView xWindow="28680" yWindow="10680" windowWidth="29040" windowHeight="17520" xr2:uid="{00000000-000D-0000-FFFF-FFFF00000000}"/>
  </bookViews>
  <sheets>
    <sheet name="Master of Architecture Planner"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Handbook!#REF!</definedName>
    <definedName name="_xlnm.Print_Area" localSheetId="0">'Master of Architecture Planner'!$A$1:$L$51</definedName>
    <definedName name="RangeUnitsets">Unitsets!$L$3:$O$19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3" l="1"/>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J4" i="3"/>
  <c r="I4" i="3"/>
  <c r="H4" i="3"/>
  <c r="G4" i="3"/>
  <c r="N33" i="3" l="1"/>
  <c r="M33" i="3"/>
  <c r="L33" i="3"/>
  <c r="K33" i="3"/>
  <c r="N32" i="3"/>
  <c r="M32" i="3"/>
  <c r="L32" i="3"/>
  <c r="K32" i="3"/>
  <c r="N31" i="3"/>
  <c r="M31" i="3"/>
  <c r="L31" i="3"/>
  <c r="K31" i="3"/>
  <c r="N30" i="3"/>
  <c r="M30" i="3"/>
  <c r="L30" i="3"/>
  <c r="K30" i="3"/>
  <c r="N29" i="3"/>
  <c r="M29" i="3"/>
  <c r="L29" i="3"/>
  <c r="K29" i="3"/>
  <c r="N28" i="3"/>
  <c r="M28" i="3"/>
  <c r="L28" i="3"/>
  <c r="K28" i="3"/>
  <c r="N27" i="3"/>
  <c r="M27" i="3"/>
  <c r="L27" i="3"/>
  <c r="K27" i="3"/>
  <c r="N26" i="3"/>
  <c r="M26" i="3"/>
  <c r="L26" i="3"/>
  <c r="K26" i="3"/>
  <c r="N25" i="3"/>
  <c r="M25" i="3"/>
  <c r="L25" i="3"/>
  <c r="K25" i="3"/>
  <c r="N24" i="3"/>
  <c r="M24" i="3"/>
  <c r="L24" i="3"/>
  <c r="K24" i="3"/>
  <c r="N23" i="3"/>
  <c r="M23" i="3"/>
  <c r="L23" i="3"/>
  <c r="K23" i="3"/>
  <c r="N22" i="3"/>
  <c r="M22" i="3"/>
  <c r="L22" i="3"/>
  <c r="K22" i="3"/>
  <c r="N21" i="3"/>
  <c r="M21" i="3"/>
  <c r="L21" i="3"/>
  <c r="K21" i="3"/>
  <c r="N20" i="3"/>
  <c r="M20" i="3"/>
  <c r="L20" i="3"/>
  <c r="K20" i="3"/>
  <c r="N19" i="3"/>
  <c r="M19" i="3"/>
  <c r="L19" i="3"/>
  <c r="K19" i="3"/>
  <c r="N18" i="3"/>
  <c r="M18" i="3"/>
  <c r="L18" i="3"/>
  <c r="K18" i="3"/>
  <c r="N17" i="3"/>
  <c r="M17" i="3"/>
  <c r="L17" i="3"/>
  <c r="K17" i="3"/>
  <c r="N16" i="3"/>
  <c r="M16" i="3"/>
  <c r="L16" i="3"/>
  <c r="K16" i="3"/>
  <c r="N15" i="3"/>
  <c r="M15" i="3"/>
  <c r="L15" i="3"/>
  <c r="K15" i="3"/>
  <c r="N14" i="3"/>
  <c r="M14" i="3"/>
  <c r="L14" i="3"/>
  <c r="K14" i="3"/>
  <c r="N13" i="3"/>
  <c r="M13" i="3"/>
  <c r="L13" i="3"/>
  <c r="K13" i="3"/>
  <c r="N12" i="3"/>
  <c r="M12" i="3"/>
  <c r="L12" i="3"/>
  <c r="K12" i="3"/>
  <c r="N11" i="3"/>
  <c r="M11" i="3"/>
  <c r="L11" i="3"/>
  <c r="K11" i="3"/>
  <c r="N10" i="3"/>
  <c r="M10" i="3"/>
  <c r="L10" i="3"/>
  <c r="K10" i="3"/>
  <c r="N9" i="3"/>
  <c r="M9" i="3"/>
  <c r="L9" i="3"/>
  <c r="K9" i="3"/>
  <c r="N8" i="3"/>
  <c r="M8" i="3"/>
  <c r="L8" i="3"/>
  <c r="K8" i="3"/>
  <c r="N7" i="3"/>
  <c r="M7" i="3"/>
  <c r="L7" i="3"/>
  <c r="K7" i="3"/>
  <c r="N6" i="3"/>
  <c r="M6" i="3"/>
  <c r="L6" i="3"/>
  <c r="K6" i="3"/>
  <c r="N5" i="3"/>
  <c r="M5" i="3"/>
  <c r="L5" i="3"/>
  <c r="K5" i="3"/>
  <c r="N4" i="3"/>
  <c r="M4" i="3"/>
  <c r="L4" i="3"/>
  <c r="K4" i="3"/>
  <c r="I2" i="9" l="1"/>
  <c r="H2" i="9"/>
  <c r="G2" i="9"/>
  <c r="F2" i="9"/>
  <c r="E2" i="9"/>
  <c r="D2" i="9"/>
  <c r="C2" i="9"/>
  <c r="B2" i="9"/>
  <c r="A2" i="9"/>
  <c r="N3" i="3"/>
  <c r="K32" i="5"/>
  <c r="K33" i="5"/>
  <c r="K34" i="5"/>
  <c r="K35" i="5"/>
  <c r="K36" i="5"/>
  <c r="K37" i="5"/>
  <c r="K38" i="5"/>
  <c r="K39" i="5"/>
  <c r="K40" i="5"/>
  <c r="K41" i="5"/>
  <c r="K42" i="5"/>
  <c r="K43" i="5"/>
  <c r="K44" i="5"/>
  <c r="K45" i="5"/>
  <c r="K46" i="5"/>
  <c r="K47" i="5"/>
  <c r="M3" i="3"/>
  <c r="J32" i="5"/>
  <c r="J33" i="5"/>
  <c r="J34" i="5"/>
  <c r="J35" i="5"/>
  <c r="J36" i="5"/>
  <c r="J37" i="5"/>
  <c r="J38" i="5"/>
  <c r="J39" i="5"/>
  <c r="J40" i="5"/>
  <c r="J41" i="5"/>
  <c r="J42" i="5"/>
  <c r="J43" i="5"/>
  <c r="J44" i="5"/>
  <c r="J45" i="5"/>
  <c r="J46" i="5"/>
  <c r="J47" i="5"/>
  <c r="L3" i="3"/>
  <c r="K3" i="3"/>
  <c r="H32" i="5"/>
  <c r="H33" i="5"/>
  <c r="H34" i="5"/>
  <c r="H35" i="5"/>
  <c r="H36" i="5"/>
  <c r="H37" i="5"/>
  <c r="H38" i="5"/>
  <c r="H39" i="5"/>
  <c r="H40" i="5"/>
  <c r="H41" i="5"/>
  <c r="H42" i="5"/>
  <c r="H43" i="5"/>
  <c r="H44" i="5"/>
  <c r="H45" i="5"/>
  <c r="H46" i="5"/>
  <c r="H47" i="5"/>
  <c r="J3" i="3"/>
  <c r="I3" i="3"/>
  <c r="H3" i="3"/>
  <c r="H1" i="3"/>
  <c r="I1" i="3"/>
  <c r="J1" i="3"/>
  <c r="K1" i="3"/>
  <c r="L1" i="3"/>
  <c r="M1" i="3"/>
  <c r="N1" i="3"/>
  <c r="O1" i="3"/>
  <c r="P1" i="3"/>
  <c r="G6" i="5" l="1"/>
  <c r="G1" i="3"/>
  <c r="F1" i="3"/>
  <c r="E1" i="3"/>
  <c r="D1" i="3"/>
  <c r="C1" i="3"/>
  <c r="B1" i="3"/>
  <c r="A1" i="3"/>
  <c r="L30" i="5" l="1"/>
  <c r="K30" i="5"/>
  <c r="J30" i="5"/>
  <c r="I30" i="5"/>
  <c r="H30" i="5"/>
  <c r="H29" i="5"/>
  <c r="L18" i="5"/>
  <c r="K18" i="5"/>
  <c r="J18" i="5"/>
  <c r="I18" i="5"/>
  <c r="H18" i="5"/>
  <c r="I47" i="5" l="1"/>
  <c r="I46" i="5"/>
  <c r="I45" i="5"/>
  <c r="I44" i="5"/>
  <c r="I43" i="5"/>
  <c r="I42" i="5"/>
  <c r="I41" i="5"/>
  <c r="I40" i="5"/>
  <c r="I39" i="5"/>
  <c r="I38" i="5"/>
  <c r="I37" i="5"/>
  <c r="I36" i="5"/>
  <c r="I35" i="5"/>
  <c r="I34" i="5"/>
  <c r="I33" i="5"/>
  <c r="I32" i="5"/>
  <c r="G3" i="3" l="1"/>
  <c r="K31" i="5" l="1"/>
  <c r="J31" i="5"/>
  <c r="I31" i="5"/>
  <c r="H31" i="5"/>
  <c r="G47" i="5" l="1"/>
  <c r="F47" i="5"/>
  <c r="D47" i="5"/>
  <c r="B47" i="5"/>
  <c r="G5" i="5" l="1"/>
  <c r="E3" i="8" l="1"/>
  <c r="E4" i="8"/>
  <c r="E5" i="8"/>
  <c r="E6" i="8"/>
  <c r="E7" i="8"/>
  <c r="E8" i="8"/>
  <c r="E9" i="8"/>
  <c r="E10" i="8"/>
  <c r="E11" i="8"/>
  <c r="E12" i="8"/>
  <c r="E13" i="8"/>
  <c r="E14" i="8"/>
  <c r="E15" i="8"/>
  <c r="E16" i="8"/>
  <c r="E17" i="8"/>
  <c r="E18" i="8"/>
  <c r="E19" i="8"/>
  <c r="E20" i="8"/>
  <c r="E21" i="8"/>
  <c r="E22" i="8"/>
  <c r="E23" i="8"/>
  <c r="E24" i="8"/>
  <c r="E25" i="8"/>
  <c r="E26" i="8"/>
  <c r="E27" i="8"/>
  <c r="E28" i="8"/>
  <c r="E29" i="8"/>
  <c r="E30" i="8"/>
  <c r="E31" i="8"/>
  <c r="E3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 i="8"/>
  <c r="P15" i="3" l="1"/>
  <c r="P10" i="3"/>
  <c r="P18" i="3"/>
  <c r="P25" i="3"/>
  <c r="P32" i="3"/>
  <c r="P4" i="3"/>
  <c r="P3" i="3"/>
  <c r="P11" i="3"/>
  <c r="P19" i="3"/>
  <c r="P26" i="3"/>
  <c r="P33" i="3"/>
  <c r="P20" i="3"/>
  <c r="P5" i="3"/>
  <c r="P13" i="3"/>
  <c r="P21" i="3"/>
  <c r="P28" i="3"/>
  <c r="P23" i="3"/>
  <c r="P27" i="3"/>
  <c r="P6" i="3"/>
  <c r="P14" i="3"/>
  <c r="P29" i="3"/>
  <c r="P16" i="3"/>
  <c r="P7" i="3"/>
  <c r="P22" i="3"/>
  <c r="P8" i="3"/>
  <c r="P30" i="3"/>
  <c r="P9" i="3"/>
  <c r="P17" i="3"/>
  <c r="P24" i="3"/>
  <c r="P31" i="3"/>
  <c r="P12" i="3"/>
  <c r="G46" i="5"/>
  <c r="F46" i="5"/>
  <c r="D46" i="5"/>
  <c r="B46" i="5"/>
  <c r="G45" i="5"/>
  <c r="F45" i="5"/>
  <c r="D45" i="5"/>
  <c r="B45" i="5"/>
  <c r="G44" i="5"/>
  <c r="F44" i="5"/>
  <c r="D44" i="5"/>
  <c r="B44" i="5"/>
  <c r="G43" i="5"/>
  <c r="F43" i="5"/>
  <c r="D43" i="5"/>
  <c r="B43" i="5"/>
  <c r="G42" i="5"/>
  <c r="F42" i="5"/>
  <c r="D42" i="5"/>
  <c r="B42" i="5"/>
  <c r="G41" i="5"/>
  <c r="F41" i="5"/>
  <c r="D41" i="5"/>
  <c r="B41" i="5"/>
  <c r="G40" i="5"/>
  <c r="F40" i="5"/>
  <c r="D40" i="5"/>
  <c r="B40" i="5"/>
  <c r="G39" i="5"/>
  <c r="F39" i="5"/>
  <c r="D39" i="5"/>
  <c r="B39" i="5"/>
  <c r="G38" i="5"/>
  <c r="F38" i="5"/>
  <c r="D38" i="5"/>
  <c r="B38" i="5"/>
  <c r="G37" i="5"/>
  <c r="F37" i="5"/>
  <c r="D37" i="5"/>
  <c r="B37" i="5"/>
  <c r="G36" i="5"/>
  <c r="F36" i="5"/>
  <c r="D36" i="5"/>
  <c r="B36" i="5"/>
  <c r="G35" i="5"/>
  <c r="F35" i="5"/>
  <c r="D35" i="5"/>
  <c r="B35" i="5"/>
  <c r="G34" i="5"/>
  <c r="F34" i="5"/>
  <c r="D34" i="5"/>
  <c r="B34" i="5"/>
  <c r="G33" i="5"/>
  <c r="F33" i="5"/>
  <c r="D33" i="5"/>
  <c r="B33" i="5"/>
  <c r="G32" i="5"/>
  <c r="F32" i="5"/>
  <c r="D32" i="5"/>
  <c r="B32" i="5"/>
  <c r="G31" i="5"/>
  <c r="F31" i="5"/>
  <c r="D31" i="5"/>
  <c r="B31" i="5"/>
  <c r="L5" i="5" l="1"/>
  <c r="A25" i="5" l="1"/>
  <c r="A15" i="5"/>
  <c r="A24" i="5"/>
  <c r="A14" i="5"/>
  <c r="E14" i="5" s="1"/>
  <c r="A22" i="5"/>
  <c r="E22" i="5" s="1"/>
  <c r="A12" i="5"/>
  <c r="E12" i="5" s="1"/>
  <c r="A21" i="5"/>
  <c r="A11" i="5"/>
  <c r="A20" i="5"/>
  <c r="A10" i="5"/>
  <c r="A16" i="5"/>
  <c r="A19" i="5"/>
  <c r="A9" i="5"/>
  <c r="E9" i="5" s="1"/>
  <c r="A27" i="5"/>
  <c r="E27" i="5" s="1"/>
  <c r="A17" i="5"/>
  <c r="E17" i="5" s="1"/>
  <c r="A26" i="5"/>
  <c r="E15" i="5" l="1"/>
  <c r="E16" i="5" s="1"/>
  <c r="E10" i="5"/>
  <c r="E11" i="5" s="1"/>
  <c r="J17" i="5"/>
  <c r="I17" i="5"/>
  <c r="H17" i="5"/>
  <c r="K17" i="5"/>
  <c r="H27" i="5"/>
  <c r="J27" i="5"/>
  <c r="I27" i="5"/>
  <c r="K27" i="5"/>
  <c r="H12" i="5"/>
  <c r="J12" i="5"/>
  <c r="I12" i="5"/>
  <c r="K12" i="5"/>
  <c r="K21" i="5"/>
  <c r="J21" i="5"/>
  <c r="I21" i="5"/>
  <c r="H21" i="5"/>
  <c r="K9" i="5"/>
  <c r="J9" i="5"/>
  <c r="I9" i="5"/>
  <c r="H9" i="5"/>
  <c r="I22" i="5"/>
  <c r="H22" i="5"/>
  <c r="K22" i="5"/>
  <c r="J22" i="5"/>
  <c r="K19" i="5"/>
  <c r="H19" i="5"/>
  <c r="J19" i="5"/>
  <c r="I19" i="5"/>
  <c r="J14" i="5"/>
  <c r="H14" i="5"/>
  <c r="I14" i="5"/>
  <c r="K14" i="5"/>
  <c r="J26" i="5"/>
  <c r="I26" i="5"/>
  <c r="H26" i="5"/>
  <c r="K26" i="5"/>
  <c r="K16" i="5"/>
  <c r="I16" i="5"/>
  <c r="J16" i="5"/>
  <c r="H16" i="5"/>
  <c r="K24" i="5"/>
  <c r="H24" i="5"/>
  <c r="J24" i="5"/>
  <c r="I24" i="5"/>
  <c r="K10" i="5"/>
  <c r="J10" i="5"/>
  <c r="I10" i="5"/>
  <c r="H10" i="5"/>
  <c r="H15" i="5"/>
  <c r="J15" i="5"/>
  <c r="I15" i="5"/>
  <c r="K15" i="5"/>
  <c r="K11" i="5"/>
  <c r="H11" i="5"/>
  <c r="J11" i="5"/>
  <c r="I11" i="5"/>
  <c r="J20" i="5"/>
  <c r="H20" i="5"/>
  <c r="I20" i="5"/>
  <c r="K20" i="5"/>
  <c r="J25" i="5"/>
  <c r="H25" i="5"/>
  <c r="I25" i="5"/>
  <c r="K25" i="5"/>
  <c r="E19" i="5"/>
  <c r="E20" i="5" s="1"/>
  <c r="E21" i="5" s="1"/>
  <c r="E24" i="5"/>
  <c r="E25" i="5" s="1"/>
  <c r="E26" i="5" s="1"/>
  <c r="G14" i="5" l="1"/>
  <c r="F14" i="5"/>
  <c r="B14" i="5"/>
  <c r="G12" i="5"/>
  <c r="F12" i="5"/>
  <c r="B12" i="5"/>
  <c r="B15" i="5"/>
  <c r="G15" i="5"/>
  <c r="F15" i="5"/>
  <c r="G11" i="5"/>
  <c r="F11" i="5"/>
  <c r="B11" i="5"/>
  <c r="G16" i="5"/>
  <c r="F16" i="5"/>
  <c r="B16" i="5"/>
  <c r="G10" i="5"/>
  <c r="F10" i="5"/>
  <c r="B10" i="5"/>
  <c r="G17" i="5"/>
  <c r="F17" i="5"/>
  <c r="B17" i="5"/>
  <c r="G9" i="5"/>
  <c r="F9" i="5"/>
  <c r="B9" i="5"/>
  <c r="G19" i="5"/>
  <c r="F19" i="5"/>
  <c r="B19" i="5"/>
  <c r="G27" i="5"/>
  <c r="F27" i="5"/>
  <c r="B27" i="5"/>
  <c r="G22" i="5"/>
  <c r="F22" i="5"/>
  <c r="B22" i="5"/>
  <c r="G24" i="5"/>
  <c r="F24" i="5"/>
  <c r="B24" i="5"/>
  <c r="G20" i="5"/>
  <c r="F20" i="5"/>
  <c r="B20" i="5"/>
  <c r="G25" i="5"/>
  <c r="F25" i="5"/>
  <c r="B25" i="5"/>
  <c r="G26" i="5"/>
  <c r="F26" i="5"/>
  <c r="B26" i="5"/>
  <c r="G21" i="5"/>
  <c r="F21" i="5"/>
  <c r="B21" i="5"/>
  <c r="D19" i="5"/>
  <c r="D27" i="5"/>
  <c r="D22" i="5"/>
  <c r="D24" i="5"/>
  <c r="D20" i="5"/>
  <c r="D25" i="5"/>
  <c r="D26" i="5"/>
  <c r="D21" i="5"/>
  <c r="D15" i="5"/>
  <c r="D16" i="5"/>
  <c r="D14" i="5"/>
  <c r="D17" i="5"/>
  <c r="D11" i="5"/>
  <c r="D12" i="5"/>
  <c r="D10" i="5"/>
  <c r="D9" i="5"/>
</calcChain>
</file>

<file path=xl/sharedStrings.xml><?xml version="1.0" encoding="utf-8"?>
<sst xmlns="http://schemas.openxmlformats.org/spreadsheetml/2006/main" count="495" uniqueCount="179">
  <si>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</si>
  <si>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</si>
  <si>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</si>
  <si>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</si>
  <si>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</si>
  <si>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</si>
  <si>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</si>
  <si>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</si>
  <si>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</si>
  <si>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</si>
  <si>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</si>
  <si>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Master of Architecture</t>
  </si>
  <si>
    <t>Course version:</t>
  </si>
  <si>
    <t>Commencing:</t>
  </si>
  <si>
    <t>Semester 2 (July -  November)</t>
  </si>
  <si>
    <t>Credits to Complete:</t>
  </si>
  <si>
    <t>2025 Availabilities</t>
  </si>
  <si>
    <t>Year 1</t>
  </si>
  <si>
    <t>Study Period</t>
  </si>
  <si>
    <t>Pre-Requisite(s)</t>
  </si>
  <si>
    <t>CP</t>
  </si>
  <si>
    <t>Sem1 BEN</t>
  </si>
  <si>
    <t>Sem1 FO</t>
  </si>
  <si>
    <t>Sem2 BEN</t>
  </si>
  <si>
    <t>Sem2 FO</t>
  </si>
  <si>
    <t>Notes / Progress</t>
  </si>
  <si>
    <t>Year 2</t>
  </si>
  <si>
    <t>Option List</t>
  </si>
  <si>
    <t>Unit Code</t>
  </si>
  <si>
    <t>ARCH5008</t>
  </si>
  <si>
    <t>S</t>
  </si>
  <si>
    <t>GRDE5012</t>
  </si>
  <si>
    <t>T</t>
  </si>
  <si>
    <t>GRDE5013</t>
  </si>
  <si>
    <t>A</t>
  </si>
  <si>
    <t>GRDE5014</t>
  </si>
  <si>
    <t>PRJM6000</t>
  </si>
  <si>
    <t>I</t>
  </si>
  <si>
    <t>PRJM6001</t>
  </si>
  <si>
    <t>C</t>
  </si>
  <si>
    <t>PRJM6002</t>
  </si>
  <si>
    <t>PRJM6010</t>
  </si>
  <si>
    <t>L</t>
  </si>
  <si>
    <t>SUST5003</t>
  </si>
  <si>
    <t>SUST5005</t>
  </si>
  <si>
    <t>SUST5008</t>
  </si>
  <si>
    <t>SUST5018</t>
  </si>
  <si>
    <t>URDE5009</t>
  </si>
  <si>
    <t>URDE5013</t>
  </si>
  <si>
    <t>URDE5027</t>
  </si>
  <si>
    <t>WORK5000</t>
  </si>
  <si>
    <t>XINO5001</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</si>
  <si>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</si>
  <si>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</si>
  <si>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</si>
  <si>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</si>
  <si>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RangeUnitSets</t>
  </si>
  <si>
    <t>MC-ARCHSem1</t>
  </si>
  <si>
    <t>MC-ARCHSem2</t>
  </si>
  <si>
    <t>Y1Sem1</t>
  </si>
  <si>
    <t>ARCH5007</t>
  </si>
  <si>
    <t>Y1Sem2</t>
  </si>
  <si>
    <t>URDE6006</t>
  </si>
  <si>
    <t>TableCourses</t>
  </si>
  <si>
    <t>ARCH5006</t>
  </si>
  <si>
    <t>Option</t>
  </si>
  <si>
    <t>Choose your Course</t>
  </si>
  <si>
    <t>SM Version</t>
  </si>
  <si>
    <t>SM Effective Date</t>
  </si>
  <si>
    <t>Akari Iteration</t>
  </si>
  <si>
    <t>Akari Effective Date</t>
  </si>
  <si>
    <t>Credit Points</t>
  </si>
  <si>
    <t>SM Availabilities</t>
  </si>
  <si>
    <t>ARCH5031</t>
  </si>
  <si>
    <t>MC-ARCH</t>
  </si>
  <si>
    <t>v.4</t>
  </si>
  <si>
    <t>400 credit points required</t>
  </si>
  <si>
    <t>Sem1; Sem2</t>
  </si>
  <si>
    <t>-</t>
  </si>
  <si>
    <t>TableStudyPeriod</t>
  </si>
  <si>
    <t>ARCH6026</t>
  </si>
  <si>
    <t>Choose your commencing study period (drop-down list)</t>
  </si>
  <si>
    <t>START</t>
  </si>
  <si>
    <t>Next</t>
  </si>
  <si>
    <t>ARCH5033</t>
  </si>
  <si>
    <t>Semester 1 (February - June)</t>
  </si>
  <si>
    <t>Sem1</t>
  </si>
  <si>
    <t>Sem2</t>
  </si>
  <si>
    <t>Y2Sem1</t>
  </si>
  <si>
    <t>ARCH6007</t>
  </si>
  <si>
    <t>Y2Sem2</t>
  </si>
  <si>
    <t>ARCH6021</t>
  </si>
  <si>
    <t>ARCH6009</t>
  </si>
  <si>
    <t>ARCH6017</t>
  </si>
  <si>
    <t>2024 version Approved by Vuk via Teams meeting 16/02/2024</t>
  </si>
  <si>
    <t>ARCH6019</t>
  </si>
  <si>
    <t>1)      Update high level course / component &amp; study period details (Unitsets Tab)</t>
  </si>
  <si>
    <t>2)      Update Planner page(s) to reference year of planner e.g. “2025” (Planner Tab)</t>
  </si>
  <si>
    <t>50CP Unit</t>
  </si>
  <si>
    <t>3)      Update structures (Structures Tab)</t>
  </si>
  <si>
    <t>4)      Update Handbook unit list from updated structures (Handbook Tab)</t>
  </si>
  <si>
    <t>5)      Update Availabilities using updated Handbook unit list (Availabilities Tab)</t>
  </si>
  <si>
    <t>6)      Update Pre Requisites (Handbook Tab)</t>
  </si>
  <si>
    <t>7)      Update sequences for courses / components (Unitsets Tab)</t>
  </si>
  <si>
    <t>8)      Review Handbook Tab for obvious issues / errors and enter notes (Handbook Tab)</t>
  </si>
  <si>
    <t>9)      Review Planner Tab(s) for obvious issues / errors (Planner Tab)</t>
  </si>
  <si>
    <t>Title</t>
  </si>
  <si>
    <t>Pre Requisites</t>
  </si>
  <si>
    <t>OpenUnis SP 1</t>
  </si>
  <si>
    <t>OpenUnis SP 2</t>
  </si>
  <si>
    <t>OpenUnis SP 3</t>
  </si>
  <si>
    <t>OpenUnis SP 4</t>
  </si>
  <si>
    <t>Sem1 Internal</t>
  </si>
  <si>
    <t>Sem1 Online</t>
  </si>
  <si>
    <t>Sem2 Internal</t>
  </si>
  <si>
    <t>Sem2 Online</t>
  </si>
  <si>
    <t>Notes</t>
  </si>
  <si>
    <t>Please note this is a 50CP Unit</t>
  </si>
  <si>
    <t>Architecture and Culture Research Topics and Methods</t>
  </si>
  <si>
    <t>None</t>
  </si>
  <si>
    <t>Architectural Systems and Research Methods</t>
  </si>
  <si>
    <t>Advanced Architectural Systems Research Applications</t>
  </si>
  <si>
    <t>ARCH5009</t>
  </si>
  <si>
    <t>Architecture and Culture Research Applications</t>
  </si>
  <si>
    <t>No 2023-2024 Availability, removed from Option list presented to students.</t>
  </si>
  <si>
    <t>Urban Design Studio</t>
  </si>
  <si>
    <t>Complex Buildings Studio</t>
  </si>
  <si>
    <t>Architectural Professional Project Delivery</t>
  </si>
  <si>
    <t>Architectural Practice Management</t>
  </si>
  <si>
    <t>Praxis Studio</t>
  </si>
  <si>
    <t>Architectural Thesis Project 2</t>
  </si>
  <si>
    <t xml:space="preserve">ARCH6026 + ARCH5031 + ARCH5033 + ARCH6017 </t>
  </si>
  <si>
    <t>Architectural Practical Experience (* see Practicum Placement note)</t>
  </si>
  <si>
    <t>Architectural Thesis Project 1</t>
  </si>
  <si>
    <t>URDE6006 + (ARCH5031 or ARCH5033 or ARCH6017)</t>
  </si>
  <si>
    <t>Design Paradigms</t>
  </si>
  <si>
    <t>Design Entrepreneurship</t>
  </si>
  <si>
    <t>Future Interfaces</t>
  </si>
  <si>
    <t>Study an Option unit from the list below</t>
  </si>
  <si>
    <t>See below</t>
  </si>
  <si>
    <t>Project Management Overview</t>
  </si>
  <si>
    <t>Project Cost Management</t>
  </si>
  <si>
    <t>Project Planning and Schedule Management</t>
  </si>
  <si>
    <t>Project and People</t>
  </si>
  <si>
    <t>Pathways to a Climate Resilient Society</t>
  </si>
  <si>
    <t>Future Cities</t>
  </si>
  <si>
    <t>Option units are only in Sem 2, leave in for PT option.</t>
  </si>
  <si>
    <t>Climate Policy</t>
  </si>
  <si>
    <t>People and Planet</t>
  </si>
  <si>
    <t>Participatory Planning</t>
  </si>
  <si>
    <t>Planning Theory and Context</t>
  </si>
  <si>
    <t>Development Outcomes</t>
  </si>
  <si>
    <t>Design and Built Environment Research Methods</t>
  </si>
  <si>
    <t>Work Based Project (with approval)</t>
  </si>
  <si>
    <t>Contact Course Coordinator</t>
  </si>
  <si>
    <t>International Study Tour (with approval)</t>
  </si>
  <si>
    <t>Do not alter columns A-E, formulas are used to present data as required for transfer to Handbook Tab</t>
  </si>
  <si>
    <t>Effective:</t>
  </si>
  <si>
    <t>Downloaded:</t>
  </si>
  <si>
    <t>Version</t>
  </si>
  <si>
    <t>OUA Code</t>
  </si>
  <si>
    <t>CPs</t>
  </si>
  <si>
    <t>Column4</t>
  </si>
  <si>
    <t>Component Type</t>
  </si>
  <si>
    <t>Year Level</t>
  </si>
  <si>
    <t>Study Package Code</t>
  </si>
  <si>
    <t>Structure Line</t>
  </si>
  <si>
    <t>Effective</t>
  </si>
  <si>
    <t>Discont.</t>
  </si>
  <si>
    <t>SPK</t>
  </si>
  <si>
    <t>Core</t>
  </si>
  <si>
    <t>Semester 1</t>
  </si>
  <si>
    <t>Semester 2</t>
  </si>
  <si>
    <t>Choose an Option</t>
  </si>
  <si>
    <t>Architectural Practical Experience</t>
  </si>
  <si>
    <t>Work Based Project</t>
  </si>
  <si>
    <t>International Study Tour</t>
  </si>
  <si>
    <t>Row Labels</t>
  </si>
  <si>
    <t>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</si>
</sst>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sz val="9"/>
      <color rgb="FFFF0000"/>
      <name val="Segoe UI"/>
      <family val="2"/>
    </font>
    <font>
      <b/>
      <i/>
      <sz val="14"/>
      <color rgb="FFC00000"/>
      <name val="Calibri"/>
      <family val="2"/>
      <scheme val="minor"/>
    </font>
    <font>
      <b/>
      <sz val="10"/>
      <color theme="1"/>
      <name val="Segoe UI"/>
      <family val="2"/>
    </font>
    <font>
      <b/>
      <sz val="18"/>
      <color theme="1"/>
      <name val="Segoe UI"/>
      <family val="2"/>
    </font>
    <font>
      <b/>
      <sz val="14"/>
      <color theme="0"/>
      <name val="Segoe UI"/>
      <family val="2"/>
    </font>
    <font>
      <b/>
      <sz val="11"/>
      <name val="Segoe UI"/>
      <family val="2"/>
    </font>
    <font>
      <b/>
      <i/>
      <sz val="10"/>
      <color theme="0" tint="-0.34998626667073579"/>
      <name val="Arial"/>
      <family val="2"/>
    </font>
    <font>
      <b/>
      <i/>
      <u/>
      <sz val="14"/>
      <name val="Calibri"/>
      <family val="2"/>
      <scheme val="minor"/>
    </font>
    <font>
      <sz val="10"/>
      <color rgb="FF00B050"/>
      <name val="Arial"/>
      <family val="2"/>
    </font>
    <font>
      <strike/>
      <sz val="12"/>
      <color theme="1"/>
      <name val="Calibri"/>
      <family val="2"/>
      <scheme val="minor"/>
    </font>
    <font>
      <b/>
      <i/>
      <sz val="14"/>
      <color rgb="FF00B050"/>
      <name val="Calibri"/>
      <family val="2"/>
      <scheme val="minor"/>
    </font>
    <font>
      <sz val="8"/>
      <color theme="1"/>
      <name val="Calibri"/>
      <family val="2"/>
      <scheme val="minor"/>
    </font>
    <font>
      <sz val="12"/>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theme="4" tint="0.79998168889431442"/>
        <bgColor indexed="64"/>
      </patternFill>
    </fill>
    <fill>
      <patternFill patternType="solid">
        <fgColor theme="7"/>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59999389629810485"/>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style="double">
        <color rgb="FF000000"/>
      </right>
      <top/>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14990691854609822"/>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style="thin">
        <color theme="0" tint="-0.14990691854609822"/>
      </left>
      <right/>
      <top style="thin">
        <color theme="0" tint="-0.14993743705557422"/>
      </top>
      <bottom style="thin">
        <color theme="0" tint="-0.14996795556505021"/>
      </bottom>
      <diagonal/>
    </border>
    <border>
      <left/>
      <right style="thin">
        <color theme="0" tint="-0.14990691854609822"/>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0" tint="-0.14990691854609822"/>
      </left>
      <right/>
      <top style="thin">
        <color theme="0" tint="-0.14996795556505021"/>
      </top>
      <bottom style="thin">
        <color theme="0" tint="-0.14996795556505021"/>
      </bottom>
      <diagonal/>
    </border>
    <border>
      <left/>
      <right style="thin">
        <color theme="0" tint="-0.14990691854609822"/>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6795556505021"/>
      </right>
      <top/>
      <bottom style="thin">
        <color theme="0" tint="-0.14993743705557422"/>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theme="0" tint="-0.14993743705557422"/>
      </right>
      <top/>
      <bottom/>
      <diagonal/>
    </border>
    <border>
      <left style="thin">
        <color theme="0" tint="-0.14993743705557422"/>
      </left>
      <right/>
      <top/>
      <bottom/>
      <diagonal/>
    </border>
    <border>
      <left/>
      <right style="thin">
        <color theme="0" tint="-0.14993743705557422"/>
      </right>
      <top style="thin">
        <color theme="0" tint="-0.14996795556505021"/>
      </top>
      <bottom style="thin">
        <color theme="0" tint="-0.14993743705557422"/>
      </bottom>
      <diagonal/>
    </border>
    <border>
      <left style="thin">
        <color theme="0" tint="-0.14993743705557422"/>
      </left>
      <right/>
      <top style="thin">
        <color theme="0" tint="-0.14996795556505021"/>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6795556505021"/>
      </bottom>
      <diagonal/>
    </border>
    <border>
      <left style="thin">
        <color theme="0" tint="-0.14993743705557422"/>
      </left>
      <right/>
      <top style="thin">
        <color theme="0" tint="-0.14993743705557422"/>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theme="0" tint="-0.14993743705557422"/>
      </left>
      <right/>
      <top style="thin">
        <color theme="0" tint="-0.14996795556505021"/>
      </top>
      <bottom style="thin">
        <color theme="0" tint="-0.14996795556505021"/>
      </bottom>
      <diagonal/>
    </border>
  </borders>
  <cellStyleXfs count="4">
    <xf numFmtId="0" fontId="0" fillId="0" borderId="0"/>
    <xf numFmtId="0" fontId="1" fillId="0" borderId="0"/>
    <xf numFmtId="0" fontId="26" fillId="0" borderId="0" applyNumberFormat="0" applyFill="0" applyBorder="0" applyAlignment="0" applyProtection="0"/>
    <xf numFmtId="0" fontId="8" fillId="0" borderId="0"/>
  </cellStyleXfs>
  <cellXfs count="225">
    <xf numFmtId="0" fontId="0" fillId="0" borderId="0" xfId="0"/>
    <xf numFmtId="0" fontId="2" fillId="3" borderId="1" xfId="0" applyFont="1" applyFill="1" applyBorder="1"/>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8"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2" fillId="3" borderId="2" xfId="0" applyFont="1" applyFill="1" applyBorder="1" applyAlignment="1">
      <alignment horizontal="right" vertical="center"/>
    </xf>
    <xf numFmtId="0" fontId="8"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0" fillId="0" borderId="0" xfId="0" applyFont="1"/>
    <xf numFmtId="0" fontId="13" fillId="0" borderId="0" xfId="0" applyFont="1"/>
    <xf numFmtId="0" fontId="11" fillId="0" borderId="0" xfId="0" applyFont="1"/>
    <xf numFmtId="0" fontId="9" fillId="0" borderId="0" xfId="0" applyFont="1" applyAlignment="1">
      <alignment horizontal="center" vertical="center"/>
    </xf>
    <xf numFmtId="0" fontId="14" fillId="0" borderId="0" xfId="0" applyFont="1"/>
    <xf numFmtId="0" fontId="16" fillId="0" borderId="0" xfId="0" applyFont="1" applyAlignment="1">
      <alignment horizontal="center"/>
    </xf>
    <xf numFmtId="0" fontId="15" fillId="0" borderId="0" xfId="0" applyFont="1"/>
    <xf numFmtId="0" fontId="2" fillId="0" borderId="0" xfId="0" applyFont="1"/>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3" xfId="0" applyFont="1" applyBorder="1" applyAlignment="1">
      <alignment horizontal="center" vertical="center"/>
    </xf>
    <xf numFmtId="0" fontId="2" fillId="3" borderId="3" xfId="0" applyFont="1" applyFill="1" applyBorder="1" applyAlignment="1">
      <alignment horizontal="center" vertical="center"/>
    </xf>
    <xf numFmtId="0" fontId="2" fillId="4" borderId="5" xfId="0" applyFont="1" applyFill="1" applyBorder="1" applyAlignment="1">
      <alignment horizontal="right"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3" fillId="6" borderId="0" xfId="0" applyFont="1" applyFill="1" applyAlignment="1">
      <alignment horizontal="center" vertical="center"/>
    </xf>
    <xf numFmtId="0" fontId="4" fillId="0" borderId="3" xfId="0" applyFont="1" applyBorder="1" applyAlignment="1">
      <alignment horizontal="center" vertical="center"/>
    </xf>
    <xf numFmtId="0" fontId="4" fillId="0" borderId="25" xfId="0" applyFont="1" applyBorder="1" applyAlignment="1">
      <alignment horizontal="center" vertical="center"/>
    </xf>
    <xf numFmtId="0" fontId="4" fillId="6" borderId="24" xfId="0" applyFont="1" applyFill="1" applyBorder="1" applyAlignment="1">
      <alignment horizontal="center" vertical="center"/>
    </xf>
    <xf numFmtId="0" fontId="4" fillId="6" borderId="26"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27" xfId="0" applyBorder="1" applyAlignment="1">
      <alignment vertical="center"/>
    </xf>
    <xf numFmtId="0" fontId="0" fillId="0" borderId="27" xfId="0" applyBorder="1" applyAlignment="1">
      <alignment horizontal="center" vertical="center"/>
    </xf>
    <xf numFmtId="0" fontId="0" fillId="8" borderId="0" xfId="0" applyFill="1" applyAlignment="1">
      <alignment vertical="center"/>
    </xf>
    <xf numFmtId="0" fontId="43" fillId="0" borderId="0" xfId="0" applyFont="1"/>
    <xf numFmtId="0" fontId="43" fillId="0" borderId="0" xfId="0" applyFont="1" applyAlignment="1">
      <alignment horizontal="right"/>
    </xf>
    <xf numFmtId="0" fontId="27" fillId="9" borderId="0" xfId="2" applyFont="1" applyFill="1" applyAlignment="1" applyProtection="1">
      <alignment vertical="center"/>
    </xf>
    <xf numFmtId="0" fontId="26" fillId="9" borderId="0" xfId="2" applyFill="1" applyAlignment="1" applyProtection="1">
      <alignment vertical="center"/>
    </xf>
    <xf numFmtId="0" fontId="20" fillId="2" borderId="32" xfId="1" applyFont="1" applyFill="1" applyBorder="1" applyAlignment="1" applyProtection="1">
      <alignment horizontal="left" vertical="center" wrapText="1"/>
      <protection locked="0"/>
    </xf>
    <xf numFmtId="0" fontId="20" fillId="2" borderId="33" xfId="1" applyFont="1" applyFill="1" applyBorder="1" applyAlignment="1" applyProtection="1">
      <alignment horizontal="left" vertical="center" wrapText="1"/>
      <protection locked="0"/>
    </xf>
    <xf numFmtId="0" fontId="20" fillId="2" borderId="38" xfId="1" applyFont="1" applyFill="1" applyBorder="1" applyAlignment="1" applyProtection="1">
      <alignment horizontal="left" vertical="center" wrapText="1"/>
      <protection locked="0"/>
    </xf>
    <xf numFmtId="0" fontId="20" fillId="0" borderId="33" xfId="1" applyFont="1" applyBorder="1" applyAlignment="1" applyProtection="1">
      <alignment horizontal="left" vertical="center" wrapText="1"/>
      <protection locked="0"/>
    </xf>
    <xf numFmtId="0" fontId="20" fillId="0" borderId="32" xfId="1" applyFont="1" applyBorder="1" applyAlignment="1" applyProtection="1">
      <alignment horizontal="left" vertical="center" wrapText="1"/>
      <protection locked="0"/>
    </xf>
    <xf numFmtId="0" fontId="44" fillId="2" borderId="0" xfId="1" applyFont="1" applyFill="1" applyAlignment="1" applyProtection="1">
      <alignment vertical="center"/>
      <protection locked="0"/>
    </xf>
    <xf numFmtId="0" fontId="20" fillId="0" borderId="18" xfId="1" applyFont="1" applyBorder="1" applyAlignment="1" applyProtection="1">
      <alignment horizontal="left" vertical="center" wrapText="1"/>
      <protection locked="0"/>
    </xf>
    <xf numFmtId="0" fontId="20" fillId="2" borderId="18" xfId="1" applyFont="1" applyFill="1" applyBorder="1" applyAlignment="1" applyProtection="1">
      <alignment horizontal="left" vertical="center" wrapText="1"/>
      <protection locked="0"/>
    </xf>
    <xf numFmtId="0" fontId="43" fillId="0" borderId="0" xfId="0" applyFont="1" applyAlignment="1">
      <alignment horizontal="left"/>
    </xf>
    <xf numFmtId="14" fontId="0" fillId="0" borderId="0" xfId="0" applyNumberFormat="1" applyAlignment="1">
      <alignment vertical="center"/>
    </xf>
    <xf numFmtId="14" fontId="15" fillId="0" borderId="0" xfId="0" applyNumberFormat="1" applyFont="1" applyAlignment="1">
      <alignment horizontal="right"/>
    </xf>
    <xf numFmtId="14" fontId="0" fillId="0" borderId="0" xfId="0" applyNumberFormat="1" applyAlignment="1">
      <alignment horizontal="right"/>
    </xf>
    <xf numFmtId="14" fontId="0" fillId="0" borderId="0" xfId="0" applyNumberFormat="1"/>
    <xf numFmtId="0" fontId="48" fillId="0" borderId="0" xfId="0" applyFont="1" applyAlignment="1">
      <alignment horizontal="right"/>
    </xf>
    <xf numFmtId="0" fontId="48" fillId="0" borderId="0" xfId="0" applyFont="1" applyAlignment="1">
      <alignment horizontal="left"/>
    </xf>
    <xf numFmtId="0" fontId="4" fillId="12" borderId="24" xfId="0" applyFont="1" applyFill="1" applyBorder="1" applyAlignment="1">
      <alignment horizontal="center" vertical="center"/>
    </xf>
    <xf numFmtId="0" fontId="4" fillId="6" borderId="7" xfId="0" applyFont="1" applyFill="1" applyBorder="1" applyAlignment="1">
      <alignment horizontal="center" vertical="center"/>
    </xf>
    <xf numFmtId="0" fontId="4" fillId="12" borderId="7" xfId="0" applyFont="1" applyFill="1" applyBorder="1" applyAlignment="1">
      <alignment horizontal="center" vertical="center"/>
    </xf>
    <xf numFmtId="0" fontId="4" fillId="0" borderId="45" xfId="0" applyFont="1" applyBorder="1" applyAlignment="1">
      <alignment horizontal="center" vertical="center"/>
    </xf>
    <xf numFmtId="0" fontId="4" fillId="12" borderId="46" xfId="0" applyFont="1" applyFill="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12" borderId="50" xfId="0" applyFont="1" applyFill="1" applyBorder="1" applyAlignment="1">
      <alignment horizontal="center" vertical="center"/>
    </xf>
    <xf numFmtId="0" fontId="4" fillId="6" borderId="46" xfId="0" applyFont="1" applyFill="1" applyBorder="1" applyAlignment="1">
      <alignment horizontal="center" vertical="center"/>
    </xf>
    <xf numFmtId="0" fontId="0" fillId="0" borderId="0" xfId="0" applyAlignment="1">
      <alignment horizontal="left"/>
    </xf>
    <xf numFmtId="0" fontId="0" fillId="0" borderId="0" xfId="0" applyAlignment="1">
      <alignment horizontal="left" textRotation="90"/>
    </xf>
    <xf numFmtId="0" fontId="0" fillId="7" borderId="0" xfId="0" applyFill="1"/>
    <xf numFmtId="0" fontId="0" fillId="13" borderId="0" xfId="0" applyFill="1" applyAlignment="1">
      <alignment horizontal="center"/>
    </xf>
    <xf numFmtId="0" fontId="49" fillId="0" borderId="0" xfId="0" applyFont="1"/>
    <xf numFmtId="14" fontId="50" fillId="0" borderId="0" xfId="0" applyNumberFormat="1" applyFont="1" applyAlignment="1">
      <alignment horizontal="center"/>
    </xf>
    <xf numFmtId="0" fontId="50" fillId="0" borderId="0" xfId="0" applyFont="1" applyAlignment="1">
      <alignment horizontal="center"/>
    </xf>
    <xf numFmtId="0" fontId="51" fillId="0" borderId="0" xfId="0" applyFont="1"/>
    <xf numFmtId="14" fontId="52" fillId="0" borderId="0" xfId="0" applyNumberFormat="1" applyFont="1"/>
    <xf numFmtId="0" fontId="52" fillId="0" borderId="0" xfId="0" applyFont="1" applyAlignment="1">
      <alignment horizontal="center"/>
    </xf>
    <xf numFmtId="0" fontId="53" fillId="0" borderId="0" xfId="0" applyFont="1" applyAlignment="1">
      <alignment horizontal="center"/>
    </xf>
    <xf numFmtId="0" fontId="54" fillId="14" borderId="0" xfId="0" applyFont="1" applyFill="1" applyAlignment="1">
      <alignment horizontal="center"/>
    </xf>
    <xf numFmtId="0" fontId="54" fillId="5" borderId="0" xfId="0" applyFont="1" applyFill="1" applyAlignment="1">
      <alignment horizontal="center"/>
    </xf>
    <xf numFmtId="0" fontId="54" fillId="14" borderId="0" xfId="0" applyFont="1" applyFill="1" applyAlignment="1">
      <alignment horizontal="left" textRotation="90"/>
    </xf>
    <xf numFmtId="0" fontId="54" fillId="5" borderId="0" xfId="0" applyFont="1" applyFill="1" applyAlignment="1">
      <alignment horizontal="left" textRotation="90"/>
    </xf>
    <xf numFmtId="14" fontId="8" fillId="0" borderId="0" xfId="0" applyNumberFormat="1" applyFont="1"/>
    <xf numFmtId="14" fontId="0" fillId="8" borderId="0" xfId="0" applyNumberFormat="1" applyFill="1"/>
    <xf numFmtId="0" fontId="0" fillId="8" borderId="0" xfId="0" applyFill="1"/>
    <xf numFmtId="0" fontId="16" fillId="0" borderId="9" xfId="1" applyFont="1" applyBorder="1" applyAlignment="1" applyProtection="1">
      <alignment horizontal="center"/>
    </xf>
    <xf numFmtId="0" fontId="16" fillId="0" borderId="10" xfId="1" applyFont="1" applyBorder="1" applyAlignment="1" applyProtection="1">
      <alignment horizontal="center"/>
    </xf>
    <xf numFmtId="0" fontId="16" fillId="0" borderId="10" xfId="1" applyFont="1" applyBorder="1" applyProtection="1"/>
    <xf numFmtId="0" fontId="16" fillId="0" borderId="11" xfId="1" applyFont="1" applyBorder="1" applyProtection="1"/>
    <xf numFmtId="0" fontId="1" fillId="0" borderId="0" xfId="1" applyProtection="1"/>
    <xf numFmtId="0" fontId="16" fillId="0" borderId="0" xfId="1" applyFont="1" applyAlignment="1" applyProtection="1">
      <alignment horizontal="center"/>
    </xf>
    <xf numFmtId="0" fontId="7" fillId="0" borderId="0" xfId="1" applyFont="1" applyAlignment="1" applyProtection="1">
      <alignment horizontal="center" vertical="center"/>
    </xf>
    <xf numFmtId="0" fontId="38" fillId="10" borderId="12" xfId="1" applyFont="1" applyFill="1" applyBorder="1" applyAlignment="1" applyProtection="1">
      <alignment horizontal="left" vertical="center" wrapText="1"/>
    </xf>
    <xf numFmtId="0" fontId="38" fillId="10" borderId="0" xfId="1" applyFont="1" applyFill="1" applyAlignment="1" applyProtection="1">
      <alignment vertical="center" wrapText="1"/>
    </xf>
    <xf numFmtId="0" fontId="45" fillId="11" borderId="13" xfId="1" applyFont="1" applyFill="1" applyBorder="1" applyAlignment="1" applyProtection="1">
      <alignment horizontal="centerContinuous" vertical="center"/>
    </xf>
    <xf numFmtId="0" fontId="17" fillId="11" borderId="14" xfId="1" applyFont="1" applyFill="1" applyBorder="1" applyAlignment="1" applyProtection="1">
      <alignment horizontal="centerContinuous" vertical="center"/>
    </xf>
    <xf numFmtId="0" fontId="45" fillId="11" borderId="14" xfId="1" applyFont="1" applyFill="1" applyBorder="1" applyAlignment="1" applyProtection="1">
      <alignment horizontal="centerContinuous" vertical="center"/>
    </xf>
    <xf numFmtId="0" fontId="41" fillId="11" borderId="14" xfId="1" applyFont="1" applyFill="1" applyBorder="1" applyAlignment="1" applyProtection="1">
      <alignment horizontal="centerContinuous" vertical="center"/>
    </xf>
    <xf numFmtId="0" fontId="1" fillId="0" borderId="0" xfId="1" applyAlignment="1" applyProtection="1">
      <alignment horizontal="center"/>
    </xf>
    <xf numFmtId="0" fontId="18" fillId="2" borderId="0" xfId="1" applyFont="1" applyFill="1" applyAlignment="1" applyProtection="1">
      <alignment horizontal="right" vertical="center" indent="1"/>
    </xf>
    <xf numFmtId="0" fontId="20" fillId="2" borderId="0" xfId="1" applyFont="1" applyFill="1" applyAlignment="1" applyProtection="1">
      <alignment horizontal="right" vertical="center" indent="1"/>
    </xf>
    <xf numFmtId="0" fontId="47" fillId="2" borderId="0" xfId="1" applyFont="1" applyFill="1" applyAlignment="1" applyProtection="1">
      <alignment vertical="center"/>
    </xf>
    <xf numFmtId="0" fontId="18" fillId="2" borderId="0" xfId="1" applyFont="1" applyFill="1" applyAlignment="1" applyProtection="1">
      <alignment vertical="center"/>
    </xf>
    <xf numFmtId="0" fontId="36" fillId="0" borderId="0" xfId="1" applyFont="1" applyAlignment="1" applyProtection="1">
      <alignment horizontal="right" vertical="center" wrapText="1"/>
    </xf>
    <xf numFmtId="0" fontId="18" fillId="2" borderId="0" xfId="1" applyFont="1" applyFill="1" applyAlignment="1" applyProtection="1">
      <alignment horizontal="left" vertical="center"/>
    </xf>
    <xf numFmtId="0" fontId="18" fillId="2" borderId="0" xfId="1" applyFont="1" applyFill="1" applyAlignment="1" applyProtection="1">
      <alignment horizontal="left" vertical="center" indent="1"/>
    </xf>
    <xf numFmtId="0" fontId="20" fillId="2" borderId="0" xfId="1" applyFont="1" applyFill="1" applyAlignment="1" applyProtection="1">
      <alignment horizontal="left" vertical="center" wrapText="1"/>
    </xf>
    <xf numFmtId="0" fontId="20" fillId="0" borderId="0" xfId="1" applyFont="1" applyAlignment="1" applyProtection="1">
      <alignment vertical="top" wrapText="1"/>
    </xf>
    <xf numFmtId="0" fontId="21" fillId="10" borderId="0" xfId="1" applyFont="1" applyFill="1" applyAlignment="1" applyProtection="1">
      <alignment horizontal="center" vertical="center"/>
    </xf>
    <xf numFmtId="0" fontId="21" fillId="10" borderId="0" xfId="1" applyFont="1" applyFill="1" applyAlignment="1" applyProtection="1">
      <alignment horizontal="left" vertical="center" indent="1"/>
    </xf>
    <xf numFmtId="0" fontId="21" fillId="10" borderId="0" xfId="1" applyFont="1" applyFill="1" applyAlignment="1" applyProtection="1">
      <alignment vertical="center"/>
    </xf>
    <xf numFmtId="0" fontId="21" fillId="10" borderId="19" xfId="1" applyFont="1" applyFill="1" applyBorder="1" applyAlignment="1" applyProtection="1">
      <alignment horizontal="left" vertical="center"/>
    </xf>
    <xf numFmtId="0" fontId="21" fillId="10" borderId="0" xfId="1" applyFont="1" applyFill="1" applyAlignment="1" applyProtection="1">
      <alignment horizontal="left" vertical="center"/>
    </xf>
    <xf numFmtId="0" fontId="21" fillId="10" borderId="15" xfId="1" applyFont="1" applyFill="1" applyBorder="1" applyAlignment="1" applyProtection="1">
      <alignment horizontal="left" vertical="center"/>
    </xf>
    <xf numFmtId="0" fontId="22" fillId="2" borderId="0" xfId="1" applyFont="1" applyFill="1" applyAlignment="1" applyProtection="1">
      <alignment vertical="center"/>
    </xf>
    <xf numFmtId="0" fontId="23" fillId="2" borderId="0" xfId="1" applyFont="1" applyFill="1" applyAlignment="1" applyProtection="1">
      <alignment vertical="center"/>
    </xf>
    <xf numFmtId="0" fontId="21" fillId="10" borderId="0" xfId="1" applyFont="1" applyFill="1" applyAlignment="1" applyProtection="1">
      <alignment horizontal="center" vertical="center" wrapText="1"/>
    </xf>
    <xf numFmtId="0" fontId="21" fillId="10" borderId="19" xfId="1" applyFont="1" applyFill="1" applyBorder="1" applyAlignment="1" applyProtection="1">
      <alignment horizontal="center" vertical="center" wrapText="1"/>
    </xf>
    <xf numFmtId="0" fontId="21" fillId="10" borderId="51" xfId="1" applyFont="1" applyFill="1" applyBorder="1" applyAlignment="1" applyProtection="1">
      <alignment horizontal="center" vertical="center" wrapText="1"/>
    </xf>
    <xf numFmtId="0" fontId="21" fillId="10" borderId="52" xfId="1" applyFont="1" applyFill="1" applyBorder="1" applyAlignment="1" applyProtection="1">
      <alignment horizontal="center" vertical="center" wrapText="1"/>
    </xf>
    <xf numFmtId="0" fontId="21" fillId="10" borderId="15" xfId="1" applyFont="1" applyFill="1" applyBorder="1" applyAlignment="1" applyProtection="1">
      <alignment horizontal="center" vertical="center" wrapText="1"/>
    </xf>
    <xf numFmtId="0" fontId="20" fillId="2" borderId="28" xfId="1" applyFont="1" applyFill="1" applyBorder="1" applyAlignment="1" applyProtection="1">
      <alignment horizontal="center" vertical="center" wrapText="1"/>
    </xf>
    <xf numFmtId="0" fontId="20" fillId="2" borderId="29" xfId="1" applyFont="1" applyFill="1" applyBorder="1" applyAlignment="1" applyProtection="1">
      <alignment horizontal="center" vertical="center" wrapText="1"/>
    </xf>
    <xf numFmtId="0" fontId="20" fillId="0" borderId="29" xfId="1" applyFont="1" applyBorder="1" applyAlignment="1" applyProtection="1">
      <alignment vertical="center" wrapText="1"/>
    </xf>
    <xf numFmtId="0" fontId="23" fillId="2" borderId="29" xfId="1" applyFont="1" applyFill="1" applyBorder="1" applyAlignment="1" applyProtection="1">
      <alignment horizontal="center" vertical="center" wrapText="1"/>
    </xf>
    <xf numFmtId="0" fontId="20" fillId="2" borderId="30" xfId="1" applyFont="1" applyFill="1" applyBorder="1" applyAlignment="1" applyProtection="1">
      <alignment horizontal="center" vertical="center" wrapText="1"/>
    </xf>
    <xf numFmtId="0" fontId="20" fillId="2" borderId="53" xfId="1" applyFont="1" applyFill="1" applyBorder="1" applyAlignment="1" applyProtection="1">
      <alignment horizontal="center" vertical="center" wrapText="1"/>
    </xf>
    <xf numFmtId="0" fontId="20" fillId="2" borderId="54" xfId="1" applyFont="1" applyFill="1" applyBorder="1" applyAlignment="1" applyProtection="1">
      <alignment horizontal="center" vertical="center" wrapText="1"/>
    </xf>
    <xf numFmtId="0" fontId="20" fillId="2" borderId="31" xfId="1" applyFont="1" applyFill="1" applyBorder="1" applyAlignment="1" applyProtection="1">
      <alignment horizontal="center" vertical="center" wrapText="1"/>
    </xf>
    <xf numFmtId="0" fontId="24" fillId="0" borderId="0" xfId="1" applyFont="1" applyAlignment="1" applyProtection="1">
      <alignment horizontal="center" vertical="center" wrapText="1"/>
    </xf>
    <xf numFmtId="0" fontId="22" fillId="2" borderId="0" xfId="1" applyFont="1" applyFill="1" applyAlignment="1" applyProtection="1">
      <alignment wrapText="1"/>
    </xf>
    <xf numFmtId="0" fontId="23" fillId="2" borderId="0" xfId="1" applyFont="1" applyFill="1" applyAlignment="1" applyProtection="1">
      <alignment wrapText="1"/>
    </xf>
    <xf numFmtId="0" fontId="20" fillId="2" borderId="16" xfId="1" applyFont="1" applyFill="1" applyBorder="1" applyAlignment="1" applyProtection="1">
      <alignment horizontal="center" vertical="center" wrapText="1"/>
    </xf>
    <xf numFmtId="0" fontId="20" fillId="2" borderId="17" xfId="1" applyFont="1" applyFill="1" applyBorder="1" applyAlignment="1" applyProtection="1">
      <alignment horizontal="center" vertical="center" wrapText="1"/>
    </xf>
    <xf numFmtId="0" fontId="20" fillId="2" borderId="17" xfId="1" applyFont="1" applyFill="1" applyBorder="1" applyAlignment="1" applyProtection="1">
      <alignment vertical="center" wrapText="1"/>
    </xf>
    <xf numFmtId="0" fontId="23" fillId="2" borderId="17" xfId="1" applyFont="1" applyFill="1" applyBorder="1" applyAlignment="1" applyProtection="1">
      <alignment horizontal="center" vertical="center" wrapText="1"/>
    </xf>
    <xf numFmtId="0" fontId="20" fillId="2" borderId="20" xfId="1" applyFont="1" applyFill="1" applyBorder="1" applyAlignment="1" applyProtection="1">
      <alignment horizontal="center" vertical="center" wrapText="1"/>
    </xf>
    <xf numFmtId="0" fontId="20" fillId="2" borderId="18" xfId="1" applyFont="1" applyFill="1" applyBorder="1" applyAlignment="1" applyProtection="1">
      <alignment horizontal="center" vertical="center" wrapText="1"/>
    </xf>
    <xf numFmtId="0" fontId="20" fillId="2" borderId="55" xfId="1" applyFont="1" applyFill="1" applyBorder="1" applyAlignment="1" applyProtection="1">
      <alignment horizontal="center" vertical="center" wrapText="1"/>
    </xf>
    <xf numFmtId="0" fontId="20" fillId="2" borderId="21" xfId="1" applyFont="1" applyFill="1" applyBorder="1" applyAlignment="1" applyProtection="1">
      <alignment horizontal="center" vertical="center" wrapText="1"/>
    </xf>
    <xf numFmtId="0" fontId="20" fillId="2" borderId="34" xfId="1" applyFont="1" applyFill="1" applyBorder="1" applyAlignment="1" applyProtection="1">
      <alignment horizontal="center" vertical="center" wrapText="1"/>
    </xf>
    <xf numFmtId="0" fontId="20" fillId="2" borderId="35" xfId="1" applyFont="1" applyFill="1" applyBorder="1" applyAlignment="1" applyProtection="1">
      <alignment horizontal="center" vertical="center" wrapText="1"/>
    </xf>
    <xf numFmtId="0" fontId="20" fillId="2" borderId="35" xfId="1" applyFont="1" applyFill="1" applyBorder="1" applyAlignment="1" applyProtection="1">
      <alignment vertical="center" wrapText="1"/>
    </xf>
    <xf numFmtId="0" fontId="23" fillId="2" borderId="35" xfId="1" applyFont="1" applyFill="1" applyBorder="1" applyAlignment="1" applyProtection="1">
      <alignment horizontal="center" vertical="center" wrapText="1"/>
    </xf>
    <xf numFmtId="0" fontId="20" fillId="2" borderId="36" xfId="1" applyFont="1" applyFill="1" applyBorder="1" applyAlignment="1" applyProtection="1">
      <alignment horizontal="center" vertical="center" wrapText="1"/>
    </xf>
    <xf numFmtId="0" fontId="20" fillId="2" borderId="56" xfId="1" applyFont="1" applyFill="1" applyBorder="1" applyAlignment="1" applyProtection="1">
      <alignment horizontal="center" vertical="center" wrapText="1"/>
    </xf>
    <xf numFmtId="0" fontId="20" fillId="2" borderId="57" xfId="1" applyFont="1" applyFill="1" applyBorder="1" applyAlignment="1" applyProtection="1">
      <alignment horizontal="center" vertical="center" wrapText="1"/>
    </xf>
    <xf numFmtId="0" fontId="20" fillId="2" borderId="37" xfId="1" applyFont="1" applyFill="1" applyBorder="1" applyAlignment="1" applyProtection="1">
      <alignment horizontal="center" vertical="center" wrapText="1"/>
    </xf>
    <xf numFmtId="0" fontId="20" fillId="11" borderId="11" xfId="1" applyFont="1" applyFill="1" applyBorder="1" applyAlignment="1" applyProtection="1">
      <alignment horizontal="center" vertical="center" wrapText="1"/>
    </xf>
    <xf numFmtId="0" fontId="20" fillId="11" borderId="0" xfId="1" applyFont="1" applyFill="1" applyAlignment="1" applyProtection="1">
      <alignment horizontal="center" vertical="center" wrapText="1"/>
    </xf>
    <xf numFmtId="0" fontId="20" fillId="11" borderId="0" xfId="1" applyFont="1" applyFill="1" applyAlignment="1" applyProtection="1">
      <alignment vertical="center" wrapText="1"/>
    </xf>
    <xf numFmtId="0" fontId="23" fillId="11" borderId="0" xfId="1" applyFont="1" applyFill="1" applyAlignment="1" applyProtection="1">
      <alignment horizontal="left" vertical="center" wrapText="1"/>
    </xf>
    <xf numFmtId="0" fontId="42" fillId="11" borderId="19" xfId="1" applyFont="1" applyFill="1" applyBorder="1" applyAlignment="1" applyProtection="1">
      <alignment horizontal="center" vertical="center" wrapText="1"/>
    </xf>
    <xf numFmtId="0" fontId="42" fillId="11" borderId="51" xfId="1" applyFont="1" applyFill="1" applyBorder="1" applyAlignment="1" applyProtection="1">
      <alignment horizontal="center" vertical="center" wrapText="1"/>
    </xf>
    <xf numFmtId="0" fontId="42" fillId="11" borderId="52" xfId="1" applyFont="1" applyFill="1" applyBorder="1" applyAlignment="1" applyProtection="1">
      <alignment horizontal="center" vertical="center" wrapText="1"/>
    </xf>
    <xf numFmtId="0" fontId="42" fillId="11" borderId="15" xfId="1" applyFont="1" applyFill="1" applyBorder="1" applyAlignment="1" applyProtection="1">
      <alignment horizontal="center" vertical="center" wrapText="1"/>
    </xf>
    <xf numFmtId="0" fontId="20" fillId="11" borderId="15" xfId="1" applyFont="1" applyFill="1" applyBorder="1" applyAlignment="1" applyProtection="1">
      <alignment horizontal="center" vertical="center" wrapText="1"/>
    </xf>
    <xf numFmtId="0" fontId="20" fillId="0" borderId="29" xfId="1" applyFont="1" applyBorder="1" applyAlignment="1" applyProtection="1">
      <alignment horizontal="center" vertical="center" wrapText="1"/>
    </xf>
    <xf numFmtId="0" fontId="20" fillId="2" borderId="29" xfId="1" applyFont="1" applyFill="1" applyBorder="1" applyAlignment="1" applyProtection="1">
      <alignment vertical="center" wrapText="1"/>
    </xf>
    <xf numFmtId="0" fontId="20" fillId="0" borderId="30" xfId="1" applyFont="1" applyBorder="1" applyAlignment="1" applyProtection="1">
      <alignment horizontal="center" vertical="center" wrapText="1"/>
    </xf>
    <xf numFmtId="0" fontId="20" fillId="0" borderId="53" xfId="1" applyFont="1" applyBorder="1" applyAlignment="1" applyProtection="1">
      <alignment horizontal="center" vertical="center" wrapText="1"/>
    </xf>
    <xf numFmtId="0" fontId="20" fillId="0" borderId="54" xfId="1" applyFont="1" applyBorder="1" applyAlignment="1" applyProtection="1">
      <alignment horizontal="center" vertical="center" wrapText="1"/>
    </xf>
    <xf numFmtId="0" fontId="20" fillId="0" borderId="31" xfId="1" applyFont="1" applyBorder="1" applyAlignment="1" applyProtection="1">
      <alignment horizontal="center" vertical="center" wrapText="1"/>
    </xf>
    <xf numFmtId="0" fontId="20" fillId="0" borderId="17" xfId="1" applyFont="1" applyBorder="1" applyAlignment="1" applyProtection="1">
      <alignment horizontal="center" vertical="center" wrapText="1"/>
    </xf>
    <xf numFmtId="0" fontId="20" fillId="0" borderId="20" xfId="1" applyFont="1" applyBorder="1" applyAlignment="1" applyProtection="1">
      <alignment horizontal="center" vertical="center" wrapText="1"/>
    </xf>
    <xf numFmtId="0" fontId="20" fillId="0" borderId="18" xfId="1" applyFont="1" applyBorder="1" applyAlignment="1" applyProtection="1">
      <alignment horizontal="center" vertical="center" wrapText="1"/>
    </xf>
    <xf numFmtId="0" fontId="20" fillId="0" borderId="55" xfId="1" applyFont="1" applyBorder="1" applyAlignment="1" applyProtection="1">
      <alignment horizontal="center" vertical="center" wrapText="1"/>
    </xf>
    <xf numFmtId="0" fontId="20" fillId="0" borderId="21" xfId="1" applyFont="1" applyBorder="1" applyAlignment="1" applyProtection="1">
      <alignment horizontal="center" vertical="center" wrapText="1"/>
    </xf>
    <xf numFmtId="0" fontId="22" fillId="2" borderId="0" xfId="1" applyFont="1" applyFill="1" applyProtection="1"/>
    <xf numFmtId="0" fontId="23" fillId="2" borderId="0" xfId="1" applyFont="1" applyFill="1" applyProtection="1"/>
    <xf numFmtId="0" fontId="20" fillId="0" borderId="35" xfId="1" applyFont="1" applyBorder="1" applyAlignment="1" applyProtection="1">
      <alignment horizontal="center" vertical="center" wrapText="1"/>
    </xf>
    <xf numFmtId="0" fontId="20" fillId="0" borderId="35" xfId="1" applyFont="1" applyBorder="1" applyAlignment="1" applyProtection="1">
      <alignment horizontal="left" vertical="center"/>
    </xf>
    <xf numFmtId="0" fontId="21" fillId="10" borderId="39" xfId="1" applyFont="1" applyFill="1" applyBorder="1" applyAlignment="1" applyProtection="1">
      <alignment horizontal="center" vertical="center"/>
    </xf>
    <xf numFmtId="0" fontId="21" fillId="10" borderId="40" xfId="1" applyFont="1" applyFill="1" applyBorder="1" applyAlignment="1" applyProtection="1">
      <alignment horizontal="center" vertical="center"/>
    </xf>
    <xf numFmtId="0" fontId="21" fillId="10" borderId="40" xfId="1" applyFont="1" applyFill="1" applyBorder="1" applyAlignment="1" applyProtection="1">
      <alignment horizontal="left" vertical="center" indent="1"/>
    </xf>
    <xf numFmtId="0" fontId="21" fillId="10" borderId="40" xfId="1" applyFont="1" applyFill="1" applyBorder="1" applyAlignment="1" applyProtection="1">
      <alignment horizontal="center" vertical="center" wrapText="1"/>
    </xf>
    <xf numFmtId="0" fontId="21" fillId="10" borderId="41" xfId="1" applyFont="1" applyFill="1" applyBorder="1" applyAlignment="1" applyProtection="1">
      <alignment horizontal="center" vertical="center" wrapText="1"/>
    </xf>
    <xf numFmtId="0" fontId="21" fillId="10" borderId="58" xfId="1" applyFont="1" applyFill="1" applyBorder="1" applyAlignment="1" applyProtection="1">
      <alignment horizontal="center" vertical="center" wrapText="1"/>
    </xf>
    <xf numFmtId="0" fontId="21" fillId="10" borderId="59" xfId="1" applyFont="1" applyFill="1" applyBorder="1" applyAlignment="1" applyProtection="1">
      <alignment horizontal="center" vertical="center" wrapText="1"/>
    </xf>
    <xf numFmtId="0" fontId="21" fillId="10" borderId="42" xfId="1" applyFont="1" applyFill="1" applyBorder="1" applyAlignment="1" applyProtection="1">
      <alignment horizontal="center" vertical="center" wrapText="1"/>
    </xf>
    <xf numFmtId="0" fontId="22" fillId="2" borderId="0" xfId="1" applyFont="1" applyFill="1" applyAlignment="1" applyProtection="1">
      <alignment horizontal="center" vertical="center"/>
    </xf>
    <xf numFmtId="0" fontId="20" fillId="0" borderId="17" xfId="1" applyFont="1" applyBorder="1" applyAlignment="1" applyProtection="1">
      <alignment horizontal="left" vertical="center"/>
    </xf>
    <xf numFmtId="0" fontId="20" fillId="11" borderId="19" xfId="1" applyFont="1" applyFill="1" applyBorder="1" applyAlignment="1" applyProtection="1">
      <alignment horizontal="center" vertical="center" wrapText="1"/>
    </xf>
    <xf numFmtId="0" fontId="20" fillId="11" borderId="51" xfId="1" applyFont="1" applyFill="1" applyBorder="1" applyAlignment="1" applyProtection="1">
      <alignment horizontal="center" vertical="center" wrapText="1"/>
    </xf>
    <xf numFmtId="0" fontId="20" fillId="11" borderId="52" xfId="1" applyFont="1" applyFill="1" applyBorder="1" applyAlignment="1" applyProtection="1">
      <alignment horizontal="center" vertical="center" wrapText="1"/>
    </xf>
    <xf numFmtId="0" fontId="20" fillId="0" borderId="29" xfId="1" applyFont="1" applyBorder="1" applyAlignment="1" applyProtection="1">
      <alignment horizontal="left" vertical="center"/>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34" fillId="2" borderId="0" xfId="1" applyFont="1" applyFill="1" applyProtection="1"/>
    <xf numFmtId="0" fontId="10" fillId="2" borderId="0" xfId="1" applyFont="1" applyFill="1" applyProtection="1"/>
    <xf numFmtId="0" fontId="46" fillId="10" borderId="0" xfId="1" applyFont="1" applyFill="1" applyAlignment="1" applyProtection="1">
      <alignment vertical="center" readingOrder="1"/>
    </xf>
    <xf numFmtId="0" fontId="36" fillId="10" borderId="0" xfId="1" applyFont="1" applyFill="1" applyAlignment="1" applyProtection="1">
      <alignment horizontal="left" vertical="center" readingOrder="1"/>
    </xf>
    <xf numFmtId="0" fontId="19" fillId="10" borderId="0" xfId="1" applyFont="1" applyFill="1" applyAlignment="1" applyProtection="1">
      <alignment horizontal="left" vertical="center" readingOrder="1"/>
    </xf>
    <xf numFmtId="0" fontId="40" fillId="10" borderId="0" xfId="1" applyFont="1" applyFill="1" applyAlignment="1" applyProtection="1">
      <alignment horizontal="center" vertical="center" readingOrder="1"/>
    </xf>
    <xf numFmtId="0" fontId="21" fillId="10" borderId="0" xfId="1" applyFont="1" applyFill="1" applyAlignment="1" applyProtection="1">
      <alignment vertical="center" readingOrder="1"/>
    </xf>
    <xf numFmtId="0" fontId="40" fillId="10" borderId="0" xfId="1" applyFont="1" applyFill="1" applyAlignment="1" applyProtection="1">
      <alignment vertical="center" readingOrder="1"/>
    </xf>
    <xf numFmtId="0" fontId="40" fillId="10" borderId="15" xfId="1" applyFont="1" applyFill="1" applyBorder="1" applyAlignment="1" applyProtection="1">
      <alignment vertical="center" readingOrder="1"/>
    </xf>
    <xf numFmtId="0" fontId="37" fillId="10" borderId="0" xfId="1" applyFont="1" applyFill="1" applyProtection="1"/>
    <xf numFmtId="0" fontId="21" fillId="10" borderId="0" xfId="1" applyFont="1" applyFill="1" applyAlignment="1" applyProtection="1">
      <alignment horizontal="left" vertical="center" readingOrder="1"/>
    </xf>
    <xf numFmtId="0" fontId="21" fillId="10" borderId="19" xfId="1" applyFont="1" applyFill="1" applyBorder="1" applyAlignment="1" applyProtection="1">
      <alignment horizontal="center" vertical="center" wrapText="1" readingOrder="1"/>
    </xf>
    <xf numFmtId="0" fontId="21" fillId="10" borderId="51" xfId="1" applyFont="1" applyFill="1" applyBorder="1" applyAlignment="1" applyProtection="1">
      <alignment horizontal="center" vertical="center" wrapText="1" readingOrder="1"/>
    </xf>
    <xf numFmtId="0" fontId="21" fillId="10" borderId="52" xfId="1" applyFont="1" applyFill="1" applyBorder="1" applyAlignment="1" applyProtection="1">
      <alignment horizontal="center" vertical="center" wrapText="1" readingOrder="1"/>
    </xf>
    <xf numFmtId="0" fontId="21" fillId="10" borderId="15" xfId="1" applyFont="1" applyFill="1" applyBorder="1" applyAlignment="1" applyProtection="1">
      <alignment horizontal="center" vertical="center" wrapText="1" readingOrder="1"/>
    </xf>
    <xf numFmtId="0" fontId="21" fillId="10" borderId="44" xfId="1" applyFont="1" applyFill="1" applyBorder="1" applyAlignment="1" applyProtection="1">
      <alignment horizontal="center" vertical="center"/>
    </xf>
    <xf numFmtId="0" fontId="1" fillId="0" borderId="0" xfId="1" applyAlignment="1" applyProtection="1">
      <alignment horizontal="center" vertical="top"/>
    </xf>
    <xf numFmtId="0" fontId="35" fillId="0" borderId="16" xfId="1" applyFont="1" applyBorder="1" applyAlignment="1" applyProtection="1">
      <alignment horizontal="center" vertical="center"/>
    </xf>
    <xf numFmtId="0" fontId="35" fillId="0" borderId="17" xfId="1" applyFont="1" applyBorder="1" applyAlignment="1" applyProtection="1">
      <alignment horizontal="center" vertical="center"/>
    </xf>
    <xf numFmtId="0" fontId="35" fillId="0" borderId="17" xfId="1" applyFont="1" applyBorder="1" applyAlignment="1" applyProtection="1">
      <alignment vertical="center"/>
    </xf>
    <xf numFmtId="0" fontId="35" fillId="0" borderId="17" xfId="1" applyFont="1" applyBorder="1" applyAlignment="1" applyProtection="1">
      <alignment horizontal="center" vertical="center" wrapText="1"/>
    </xf>
    <xf numFmtId="0" fontId="0" fillId="0" borderId="0" xfId="0" applyProtection="1"/>
    <xf numFmtId="0" fontId="25" fillId="2" borderId="0" xfId="1" applyFont="1" applyFill="1" applyAlignment="1" applyProtection="1">
      <alignment horizontal="center" vertical="center" wrapText="1"/>
    </xf>
    <xf numFmtId="0" fontId="29" fillId="2" borderId="0" xfId="1" applyFont="1" applyFill="1" applyProtection="1"/>
    <xf numFmtId="0" fontId="30" fillId="2" borderId="0" xfId="1" applyFont="1" applyFill="1" applyProtection="1"/>
    <xf numFmtId="0" fontId="31" fillId="2" borderId="0" xfId="1" applyFont="1" applyFill="1" applyAlignment="1" applyProtection="1">
      <alignment vertical="center"/>
    </xf>
    <xf numFmtId="0" fontId="10" fillId="2" borderId="0" xfId="1" applyFont="1" applyFill="1" applyAlignment="1" applyProtection="1">
      <alignment vertical="center"/>
    </xf>
    <xf numFmtId="0" fontId="33" fillId="2" borderId="0" xfId="1" applyFont="1" applyFill="1" applyAlignment="1" applyProtection="1">
      <alignment horizontal="right" vertical="center"/>
    </xf>
    <xf numFmtId="0" fontId="20" fillId="11" borderId="15" xfId="1" applyFont="1" applyFill="1" applyBorder="1" applyAlignment="1" applyProtection="1">
      <alignment horizontal="center" vertical="center" wrapText="1"/>
      <protection locked="0"/>
    </xf>
    <xf numFmtId="0" fontId="21" fillId="10" borderId="43" xfId="1" applyFont="1" applyFill="1" applyBorder="1" applyAlignment="1" applyProtection="1">
      <alignment horizontal="center" vertical="center"/>
      <protection locked="0"/>
    </xf>
  </cellXfs>
  <cellStyles count="4">
    <cellStyle name="Hyperlink" xfId="2" builtinId="8"/>
    <cellStyle name="Normal" xfId="0" builtinId="0"/>
    <cellStyle name="Normal 2" xfId="1" xr:uid="{00000000-0005-0000-0000-000002000000}"/>
    <cellStyle name="Normal 3" xfId="3" xr:uid="{00000000-0005-0000-0000-000003000000}"/>
  </cellStyles>
  <dxfs count="59">
    <dxf>
      <fill>
        <patternFill>
          <bgColor rgb="FFFFC000"/>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alignment vertical="center" textRotation="0" wrapText="0" indent="0" justifyLastLine="0" shrinkToFit="0" readingOrder="0"/>
    </dxf>
    <dxf>
      <numFmt numFmtId="19" formatCode="d/mm/yyyy"/>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border outline="0">
        <left style="medium">
          <color indexed="64"/>
        </left>
      </border>
    </dxf>
    <dxf>
      <numFmt numFmtId="0" formatCode="General"/>
      <alignment horizontal="center" vertical="center" textRotation="0" wrapText="0" indent="0" justifyLastLine="0" shrinkToFit="0" readingOrder="0"/>
      <border>
        <right style="double">
          <color rgb="FF000000"/>
        </right>
      </border>
    </dxf>
    <dxf>
      <numFmt numFmtId="0" formatCode="General"/>
      <alignment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2"/>
        <color auto="1"/>
        <name val="Calibri"/>
        <scheme val="minor"/>
      </font>
      <numFmt numFmtId="0" formatCode="General"/>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2"/>
        <color auto="1"/>
        <name val="Calibri"/>
        <scheme val="minor"/>
      </font>
      <numFmt numFmtId="0" formatCode="General"/>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2"/>
        <color auto="1"/>
        <name val="Calibri"/>
        <scheme val="minor"/>
      </font>
      <numFmt numFmtId="0" formatCode="General"/>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2"/>
        <color auto="1"/>
        <name val="Calibri"/>
        <scheme val="minor"/>
      </font>
      <numFmt numFmtId="0" formatCode="General"/>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auto="1"/>
        <name val="Calibri"/>
        <scheme val="minor"/>
      </font>
      <numFmt numFmtId="0" formatCode="General"/>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auto="1"/>
        <name val="Calibri"/>
        <scheme val="minor"/>
      </font>
      <numFmt numFmtId="0" formatCode="General"/>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solid">
          <fgColor indexed="64"/>
          <bgColor theme="4" tint="0.59999389629810485"/>
        </patternFill>
      </fill>
      <alignment horizontal="center" vertical="bottom" textRotation="0" wrapText="0" indent="0" justifyLastLine="0" shrinkToFit="0" readingOrder="0"/>
    </dxf>
    <dxf>
      <fill>
        <patternFill patternType="solid">
          <fgColor indexed="64"/>
          <bgColor theme="5" tint="0.79998168889431442"/>
        </patternFill>
      </fill>
    </dxf>
    <dxf>
      <fill>
        <patternFill patternType="none">
          <fgColor indexed="64"/>
          <bgColor auto="1"/>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B4FFFF"/>
      <color rgb="FFF49AC1"/>
      <color rgb="FF0D4B6D"/>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228601</xdr:colOff>
      <xdr:row>3</xdr:row>
      <xdr:rowOff>38101</xdr:rowOff>
    </xdr:from>
    <xdr:ext cx="5629275" cy="6574236"/>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496551" y="542926"/>
          <a:ext cx="5629275" cy="657423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u="sng">
              <a:solidFill>
                <a:schemeClr val="dk1"/>
              </a:solidFill>
              <a:effectLst/>
              <a:latin typeface="+mn-lt"/>
              <a:ea typeface="+mn-ea"/>
              <a:cs typeface="+mn-cs"/>
            </a:rPr>
            <a:t>Enrolment Guidelines</a:t>
          </a:r>
        </a:p>
        <a:p>
          <a:pPr algn="ctr" rtl="0" fontAlgn="base"/>
          <a:endParaRPr lang="en-AU" sz="1100" b="0" i="0">
            <a:solidFill>
              <a:schemeClr val="dk1"/>
            </a:solidFill>
            <a:effectLst/>
            <a:latin typeface="+mn-lt"/>
            <a:ea typeface="+mn-ea"/>
            <a:cs typeface="+mn-cs"/>
          </a:endParaRPr>
        </a:p>
        <a:p>
          <a:pPr algn="ctr" rtl="0" fontAlgn="base"/>
          <a:r>
            <a:rPr lang="en-AU" sz="1100" b="1" i="0">
              <a:solidFill>
                <a:schemeClr val="accent5"/>
              </a:solidFill>
              <a:effectLst/>
              <a:latin typeface="+mn-lt"/>
              <a:ea typeface="+mn-ea"/>
              <a:cs typeface="+mn-cs"/>
            </a:rPr>
            <a:t>Master of Architecture</a:t>
          </a: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100" i="0" baseline="0">
            <a:solidFill>
              <a:schemeClr val="dk1"/>
            </a:solidFill>
            <a:effectLst/>
            <a:latin typeface="+mn-lt"/>
            <a:ea typeface="+mn-ea"/>
            <a:cs typeface="+mn-cs"/>
          </a:endParaRPr>
        </a:p>
        <a:p>
          <a:pPr algn="ctr" rtl="0" fontAlgn="base"/>
          <a:endParaRPr lang="en-AU" sz="1100" b="0" i="0" baseline="0">
            <a:solidFill>
              <a:schemeClr val="dk1"/>
            </a:solidFill>
            <a:effectLst/>
            <a:latin typeface="+mn-lt"/>
            <a:ea typeface="+mn-ea"/>
            <a:cs typeface="+mn-cs"/>
          </a:endParaRPr>
        </a:p>
        <a:p>
          <a:pPr algn="l"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for </a:t>
          </a:r>
          <a:r>
            <a:rPr lang="en-AU" sz="1100" b="1" i="0" u="none">
              <a:solidFill>
                <a:schemeClr val="dk1"/>
              </a:solidFill>
              <a:effectLst/>
              <a:latin typeface="+mn-lt"/>
              <a:ea typeface="+mn-ea"/>
              <a:cs typeface="+mn-cs"/>
            </a:rPr>
            <a:t>full-time</a:t>
          </a:r>
          <a:r>
            <a:rPr lang="en-AU" sz="1100" b="1" i="0">
              <a:solidFill>
                <a:schemeClr val="dk1"/>
              </a:solidFill>
              <a:effectLst/>
              <a:latin typeface="+mn-lt"/>
              <a:ea typeface="+mn-ea"/>
              <a:cs typeface="+mn-cs"/>
            </a:rPr>
            <a:t> study</a:t>
          </a:r>
          <a:r>
            <a:rPr lang="en-AU" sz="1100" b="0" i="0">
              <a:solidFill>
                <a:schemeClr val="dk1"/>
              </a:solidFill>
              <a:effectLst/>
              <a:latin typeface="+mn-lt"/>
              <a:ea typeface="+mn-ea"/>
              <a:cs typeface="+mn-cs"/>
            </a:rPr>
            <a:t> based on your study period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of commencement. The standard full-time study load is </a:t>
          </a:r>
          <a:r>
            <a:rPr lang="en-AU" sz="1100" b="1" i="0">
              <a:solidFill>
                <a:schemeClr val="dk1"/>
              </a:solidFill>
              <a:effectLst/>
              <a:latin typeface="+mn-lt"/>
              <a:ea typeface="+mn-ea"/>
              <a:cs typeface="+mn-cs"/>
            </a:rPr>
            <a:t>100 credit points per semester</a:t>
          </a:r>
          <a:r>
            <a:rPr lang="en-AU" sz="1100" b="0" i="0">
              <a:solidFill>
                <a:schemeClr val="dk1"/>
              </a:solidFill>
              <a:effectLst/>
              <a:latin typeface="+mn-lt"/>
              <a:ea typeface="+mn-ea"/>
              <a:cs typeface="+mn-cs"/>
            </a:rPr>
            <a:t>. Units may not be offered in every study period and may not be available at the time that you wish to study them. Your progression in the degree may be affected if you do not follow the recommended sequence of enrolment. </a:t>
          </a:r>
        </a:p>
        <a:p>
          <a:pPr algn="l" rtl="0" fontAlgn="base"/>
          <a:endParaRPr lang="en-AU" sz="1100" b="0" i="0">
            <a:solidFill>
              <a:schemeClr val="dk1"/>
            </a:solidFill>
            <a:effectLst/>
            <a:latin typeface="+mn-lt"/>
            <a:ea typeface="+mn-ea"/>
            <a:cs typeface="+mn-cs"/>
          </a:endParaRPr>
        </a:p>
        <a:p>
          <a:pPr algn="l" rtl="0" fontAlgn="base"/>
          <a:r>
            <a:rPr lang="en-AU" sz="1100" b="0" i="0">
              <a:solidFill>
                <a:schemeClr val="dk1"/>
              </a:solidFill>
              <a:effectLst/>
              <a:latin typeface="+mn-lt"/>
              <a:ea typeface="+mn-ea"/>
              <a:cs typeface="+mn-cs"/>
            </a:rPr>
            <a:t>You may study ONE </a:t>
          </a:r>
          <a:r>
            <a:rPr lang="en-AU" sz="1100" b="1" i="0" u="sng" baseline="0">
              <a:solidFill>
                <a:schemeClr val="dk1"/>
              </a:solidFill>
              <a:effectLst/>
              <a:latin typeface="+mn-lt"/>
              <a:ea typeface="+mn-ea"/>
              <a:cs typeface="+mn-cs"/>
            </a:rPr>
            <a:t>Studio</a:t>
          </a:r>
          <a:r>
            <a:rPr lang="en-AU" sz="1100" b="0" i="0" baseline="0">
              <a:solidFill>
                <a:schemeClr val="dk1"/>
              </a:solidFill>
              <a:effectLst/>
              <a:latin typeface="+mn-lt"/>
              <a:ea typeface="+mn-ea"/>
              <a:cs typeface="+mn-cs"/>
            </a:rPr>
            <a:t> unit per semester in your first three semesters, </a:t>
          </a:r>
          <a:r>
            <a:rPr lang="en-AU" sz="1100" b="1" i="1" baseline="0">
              <a:solidFill>
                <a:schemeClr val="dk1"/>
              </a:solidFill>
              <a:effectLst/>
              <a:latin typeface="+mn-lt"/>
              <a:ea typeface="+mn-ea"/>
              <a:cs typeface="+mn-cs"/>
            </a:rPr>
            <a:t>in any order</a:t>
          </a:r>
          <a:r>
            <a:rPr lang="en-AU" sz="1100" b="0" i="0" baseline="0">
              <a:solidFill>
                <a:schemeClr val="dk1"/>
              </a:solidFill>
              <a:effectLst/>
              <a:latin typeface="+mn-lt"/>
              <a:ea typeface="+mn-ea"/>
              <a:cs typeface="+mn-cs"/>
            </a:rPr>
            <a:t>.</a:t>
          </a:r>
        </a:p>
        <a:p>
          <a:pPr algn="l" rtl="0" fontAlgn="base"/>
          <a:endParaRPr lang="en-AU" sz="1100" b="0" i="0" baseline="0">
            <a:solidFill>
              <a:schemeClr val="dk1"/>
            </a:solidFill>
            <a:effectLst/>
            <a:latin typeface="+mn-lt"/>
            <a:ea typeface="+mn-ea"/>
            <a:cs typeface="+mn-cs"/>
          </a:endParaRPr>
        </a:p>
        <a:p>
          <a:pPr algn="l" rtl="0" fontAlgn="base"/>
          <a:r>
            <a:rPr lang="en-AU" sz="1100" b="0" i="0">
              <a:solidFill>
                <a:schemeClr val="dk1"/>
              </a:solidFill>
              <a:effectLst/>
              <a:latin typeface="+mn-lt"/>
              <a:ea typeface="+mn-ea"/>
              <a:cs typeface="+mn-cs"/>
            </a:rPr>
            <a:t>If you need a part-time study plan </a:t>
          </a:r>
          <a:r>
            <a:rPr lang="en-AU" sz="1100" b="0" i="0" u="none">
              <a:solidFill>
                <a:sysClr val="windowText" lastClr="000000"/>
              </a:solidFill>
              <a:effectLst/>
              <a:latin typeface="+mn-lt"/>
              <a:ea typeface="+mn-ea"/>
              <a:cs typeface="+mn-cs"/>
            </a:rPr>
            <a:t>please contact your Course Coordinator (Email - MasterArchitecture@curtin.edu.au).</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You are expected to study all of your units face-to-face for at least the first year of your course. </a:t>
          </a:r>
          <a:endParaRPr lang="en-AU">
            <a:effectLst/>
          </a:endParaRPr>
        </a:p>
        <a:p>
          <a:pPr rtl="0" fontAlgn="base"/>
          <a:r>
            <a:rPr lang="en-AU" sz="1100" b="0" i="0">
              <a:solidFill>
                <a:schemeClr val="dk1"/>
              </a:solidFill>
              <a:effectLst/>
              <a:latin typeface="+mn-lt"/>
              <a:ea typeface="+mn-ea"/>
              <a:cs typeface="+mn-cs"/>
            </a:rPr>
            <a:t>It is your responsibility to ensure that you meet all conditions of your student visa.  </a:t>
          </a:r>
          <a:endParaRPr lang="en-AU">
            <a:effectLst/>
          </a:endParaRPr>
        </a:p>
        <a:p>
          <a:pPr rtl="0" fontAlgn="base"/>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Practicum Placement</a:t>
          </a:r>
        </a:p>
        <a:p>
          <a:r>
            <a:rPr lang="en-AU" sz="1100" baseline="0">
              <a:solidFill>
                <a:schemeClr val="dk1"/>
              </a:solidFill>
              <a:effectLst/>
              <a:latin typeface="+mn-lt"/>
              <a:ea typeface="+mn-ea"/>
              <a:cs typeface="+mn-cs"/>
            </a:rPr>
            <a:t>Students are required to complete core unit </a:t>
          </a:r>
          <a:r>
            <a:rPr lang="en-AU" sz="1100" b="1" i="1" u="none" strike="noStrike">
              <a:solidFill>
                <a:schemeClr val="dk1"/>
              </a:solidFill>
              <a:effectLst/>
              <a:latin typeface="+mn-lt"/>
              <a:ea typeface="+mn-ea"/>
              <a:cs typeface="+mn-cs"/>
            </a:rPr>
            <a:t>ARCH6021 Architectural Practical Experience</a:t>
          </a:r>
          <a:r>
            <a:rPr lang="en-AU" b="1" i="1"/>
            <a:t> </a:t>
          </a:r>
          <a:r>
            <a:rPr lang="en-AU" sz="1100" baseline="0">
              <a:solidFill>
                <a:schemeClr val="dk1"/>
              </a:solidFill>
              <a:effectLst/>
              <a:latin typeface="+mn-lt"/>
              <a:ea typeface="+mn-ea"/>
              <a:cs typeface="+mn-cs"/>
            </a:rPr>
            <a:t>which includes 100 hours of (unpaid) internship in a host organisation.</a:t>
          </a:r>
        </a:p>
        <a:p>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If you identify an</a:t>
          </a:r>
          <a:r>
            <a:rPr lang="en-AU" sz="1100" b="0" baseline="0">
              <a:solidFill>
                <a:schemeClr val="dk1"/>
              </a:solidFill>
              <a:effectLst/>
              <a:latin typeface="+mn-lt"/>
              <a:ea typeface="+mn-ea"/>
              <a:cs typeface="+mn-cs"/>
            </a:rPr>
            <a:t> </a:t>
          </a:r>
          <a:r>
            <a:rPr lang="en-AU" sz="1100">
              <a:solidFill>
                <a:schemeClr val="dk1"/>
              </a:solidFill>
              <a:effectLst/>
              <a:latin typeface="+mn-lt"/>
              <a:ea typeface="+mn-ea"/>
              <a:cs typeface="+mn-cs"/>
            </a:rPr>
            <a:t>opportunity</a:t>
          </a:r>
          <a:r>
            <a:rPr lang="en-AU" sz="1100" b="0" baseline="0">
              <a:solidFill>
                <a:schemeClr val="dk1"/>
              </a:solidFill>
              <a:effectLst/>
              <a:latin typeface="+mn-lt"/>
              <a:ea typeface="+mn-ea"/>
              <a:cs typeface="+mn-cs"/>
            </a:rPr>
            <a:t> for your internship early in your degree, speak to your Course Coordinator about the possibility of completing </a:t>
          </a:r>
          <a:r>
            <a:rPr lang="en-AU" sz="1100" b="1" i="1">
              <a:solidFill>
                <a:schemeClr val="dk1"/>
              </a:solidFill>
              <a:effectLst/>
              <a:latin typeface="+mn-lt"/>
              <a:ea typeface="+mn-ea"/>
              <a:cs typeface="+mn-cs"/>
            </a:rPr>
            <a:t>ARCH6021 Architectural Practical Experience </a:t>
          </a:r>
          <a:r>
            <a:rPr lang="en-AU" sz="1100" b="0" baseline="0">
              <a:solidFill>
                <a:schemeClr val="dk1"/>
              </a:solidFill>
              <a:effectLst/>
              <a:latin typeface="+mn-lt"/>
              <a:ea typeface="+mn-ea"/>
              <a:cs typeface="+mn-cs"/>
            </a:rPr>
            <a:t>in an earlier study period. Please note ARCH6021 &amp; your Option Unit are interchangeable:</a:t>
          </a:r>
        </a:p>
        <a:p>
          <a:pPr marL="171450" indent="-171450">
            <a:buFont typeface="Arial" panose="020B0604020202020204" pitchFamily="34" charset="0"/>
            <a:buChar char="•"/>
          </a:pPr>
          <a:r>
            <a:rPr lang="en-AU" sz="1100" b="0" baseline="0">
              <a:solidFill>
                <a:schemeClr val="dk1"/>
              </a:solidFill>
              <a:effectLst/>
              <a:latin typeface="+mn-lt"/>
              <a:ea typeface="+mn-ea"/>
              <a:cs typeface="+mn-cs"/>
            </a:rPr>
            <a:t>You may study either ARCH6021 or Option Unit in Year 1 Semester 2.</a:t>
          </a:r>
        </a:p>
        <a:p>
          <a:pPr marL="171450" indent="-171450">
            <a:buFont typeface="Arial" panose="020B0604020202020204" pitchFamily="34" charset="0"/>
            <a:buChar char="•"/>
          </a:pPr>
          <a:r>
            <a:rPr lang="en-AU" sz="1100" b="0" baseline="0">
              <a:solidFill>
                <a:schemeClr val="dk1"/>
              </a:solidFill>
              <a:effectLst/>
              <a:latin typeface="+mn-lt"/>
              <a:ea typeface="+mn-ea"/>
              <a:cs typeface="+mn-cs"/>
            </a:rPr>
            <a:t>You may study either Option Unit or ARCH6021 in Year 2 Semester 2.</a:t>
          </a:r>
        </a:p>
        <a:p>
          <a:endParaRPr lang="en-AU" sz="1100" baseline="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p>
        <a:p>
          <a:pPr rtl="0" fontAlgn="base"/>
          <a:endParaRPr lang="en-AU" sz="1100" b="0" i="0">
            <a:solidFill>
              <a:schemeClr val="dk1"/>
            </a:solidFill>
            <a:effectLst/>
            <a:latin typeface="+mn-lt"/>
            <a:ea typeface="+mn-ea"/>
            <a:cs typeface="+mn-cs"/>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Sem1 = Semester 1; Sem2 = Semester 2;</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editAs="absolute">
    <xdr:from>
      <xdr:col>18</xdr:col>
      <xdr:colOff>57150</xdr:colOff>
      <xdr:row>2</xdr:row>
      <xdr:rowOff>190501</xdr:rowOff>
    </xdr:from>
    <xdr:to>
      <xdr:col>21</xdr:col>
      <xdr:colOff>371476</xdr:colOff>
      <xdr:row>3</xdr:row>
      <xdr:rowOff>38100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982700" y="190501"/>
          <a:ext cx="2371726" cy="352424"/>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7" totalsRowShown="0" headerRowDxfId="58">
  <autoFilter ref="A6:H7" xr:uid="{00000000-0009-0000-0100-000003000000}"/>
  <tableColumns count="8">
    <tableColumn id="3" xr3:uid="{00000000-0010-0000-0000-000003000000}" name="Choose your Course" dataDxfId="57"/>
    <tableColumn id="1" xr3:uid="{00000000-0010-0000-0000-000001000000}" name="UDC" dataDxfId="56"/>
    <tableColumn id="2" xr3:uid="{00000000-0010-0000-0000-000002000000}" name="SM Version" dataDxfId="55"/>
    <tableColumn id="5" xr3:uid="{00000000-0010-0000-0000-000005000000}" name="SM Effective Date" dataDxfId="54"/>
    <tableColumn id="4" xr3:uid="{00000000-0010-0000-0000-000004000000}" name="Akari Iteration" dataDxfId="53"/>
    <tableColumn id="7" xr3:uid="{00000000-0010-0000-0000-000007000000}" name="Akari Effective Date" dataDxfId="52"/>
    <tableColumn id="6" xr3:uid="{00000000-0010-0000-0000-000006000000}" name="Credit Points" dataDxfId="51"/>
    <tableColumn id="8" xr3:uid="{00000000-0010-0000-0000-000008000000}" name="SM Availabilities" dataDxfId="5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0:C12" totalsRowShown="0" dataDxfId="49">
  <autoFilter ref="A10:C12" xr:uid="{00000000-0009-0000-0100-000004000000}"/>
  <sortState xmlns:xlrd2="http://schemas.microsoft.com/office/spreadsheetml/2017/richdata2" ref="A11:C12">
    <sortCondition ref="A10:A12"/>
  </sortState>
  <tableColumns count="3">
    <tableColumn id="1" xr3:uid="{00000000-0010-0000-0100-000001000000}" name="Choose your commencing study period (drop-down list)" dataDxfId="48"/>
    <tableColumn id="2" xr3:uid="{00000000-0010-0000-0100-000002000000}" name="START" dataDxfId="47"/>
    <tableColumn id="3" xr3:uid="{00000000-0010-0000-0100-000003000000}" name="Next" dataDxfId="46"/>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Handbook" displayName="TableHandbook" ref="A2:P33" totalsRowShown="0" headerRowDxfId="45">
  <autoFilter ref="A2:P33" xr:uid="{00000000-0009-0000-0100-000002000000}"/>
  <sortState xmlns:xlrd2="http://schemas.microsoft.com/office/spreadsheetml/2017/richdata2" ref="A3:L66">
    <sortCondition ref="A2:A66"/>
  </sortState>
  <tableColumns count="16">
    <tableColumn id="1" xr3:uid="{00000000-0010-0000-0200-000001000000}" name="UDC"/>
    <tableColumn id="2" xr3:uid="{00000000-0010-0000-0200-000002000000}" name="Ver" dataDxfId="44"/>
    <tableColumn id="3" xr3:uid="{00000000-0010-0000-0200-000003000000}" name="OUA Cd" dataDxfId="43"/>
    <tableColumn id="4" xr3:uid="{00000000-0010-0000-0200-000004000000}" name="Title"/>
    <tableColumn id="5" xr3:uid="{00000000-0010-0000-0200-000005000000}" name="Credits" dataDxfId="42"/>
    <tableColumn id="6" xr3:uid="{00000000-0010-0000-0200-000006000000}" name="Pre Requisites" dataDxfId="41"/>
    <tableColumn id="12" xr3:uid="{00000000-0010-0000-0200-00000C000000}" name="OpenUnis SP 1" dataDxfId="40">
      <calculatedColumnFormula>IFERROR(IF(VLOOKUP(TableHandbook[[#This Row],[UDC]],TableAvailabilities[],2,FALSE)&gt;0,"Y",""),"")</calculatedColumnFormula>
    </tableColumn>
    <tableColumn id="17" xr3:uid="{00000000-0010-0000-0200-000011000000}" name="OpenUnis SP 2" dataDxfId="39">
      <calculatedColumnFormula>IFERROR(IF(VLOOKUP(TableHandbook[[#This Row],[UDC]],TableAvailabilities[],3,FALSE)&gt;0,"Y",""),"")</calculatedColumnFormula>
    </tableColumn>
    <tableColumn id="20" xr3:uid="{00000000-0010-0000-0200-000014000000}" name="OpenUnis SP 3" dataDxfId="38">
      <calculatedColumnFormula>IFERROR(IF(VLOOKUP(TableHandbook[[#This Row],[UDC]],TableAvailabilities[],4,FALSE)&gt;0,"Y",""),"")</calculatedColumnFormula>
    </tableColumn>
    <tableColumn id="18" xr3:uid="{00000000-0010-0000-0200-000012000000}" name="OpenUnis SP 4" dataDxfId="37">
      <calculatedColumnFormula>IFERROR(IF(VLOOKUP(TableHandbook[[#This Row],[UDC]],TableAvailabilities[],5,FALSE)&gt;0,"Y",""),"")</calculatedColumnFormula>
    </tableColumn>
    <tableColumn id="19" xr3:uid="{00000000-0010-0000-0200-000013000000}" name="Sem1 Internal" dataDxfId="36">
      <calculatedColumnFormula>IFERROR(IF(VLOOKUP(TableHandbook[[#This Row],[UDC]],TableAvailabilities[],6,FALSE)&gt;0,"Y",""),"")</calculatedColumnFormula>
    </tableColumn>
    <tableColumn id="13" xr3:uid="{00000000-0010-0000-0200-00000D000000}" name="Sem1 Online" dataDxfId="35">
      <calculatedColumnFormula>IFERROR(IF(VLOOKUP(TableHandbook[[#This Row],[UDC]],TableAvailabilities[],7,FALSE)&gt;0,"Y",""),"")</calculatedColumnFormula>
    </tableColumn>
    <tableColumn id="14" xr3:uid="{00000000-0010-0000-0200-00000E000000}" name="Sem2 Internal" dataDxfId="34">
      <calculatedColumnFormula>IFERROR(IF(VLOOKUP(TableHandbook[[#This Row],[UDC]],TableAvailabilities[],8,FALSE)&gt;0,"Y",""),"")</calculatedColumnFormula>
    </tableColumn>
    <tableColumn id="15" xr3:uid="{00000000-0010-0000-0200-00000F000000}" name="Sem2 Online" dataDxfId="33">
      <calculatedColumnFormula>IFERROR(IF(VLOOKUP(TableHandbook[[#This Row],[UDC]],TableAvailabilities[],9,FALSE)&gt;0,"Y",""),"")</calculatedColumnFormula>
    </tableColumn>
    <tableColumn id="9" xr3:uid="{00000000-0010-0000-0200-000009000000}" name="Notes"/>
    <tableColumn id="8" xr3:uid="{00000000-0010-0000-0200-000008000000}" name="MC-ARCH" dataDxfId="32">
      <calculatedColumnFormula>IFERROR(VLOOKUP(TableHandbook[[#This Row],[UDC]],TableMCARCH[],7,FALSE),"")</calculatedColumnFormula>
    </tableColumn>
  </tableColumns>
  <tableStyleInfo name="TableStyleLight11"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MCARCH" displayName="TableMCARCH" ref="A2:O32" totalsRowShown="0" headerRowDxfId="31" dataDxfId="30">
  <autoFilter ref="A2:O32" xr:uid="{00000000-0009-0000-0100-000001000000}"/>
  <sortState xmlns:xlrd2="http://schemas.microsoft.com/office/spreadsheetml/2017/richdata2" ref="A3:M6">
    <sortCondition ref="J2:J6"/>
  </sortState>
  <tableColumns count="15">
    <tableColumn id="1" xr3:uid="{00000000-0010-0000-0300-000001000000}" name="UDC" dataDxfId="29">
      <calculatedColumnFormula>TableMCARCH[[#This Row],[Study Package Code]]</calculatedColumnFormula>
    </tableColumn>
    <tableColumn id="9" xr3:uid="{00000000-0010-0000-0300-000009000000}" name="Version" dataDxfId="28">
      <calculatedColumnFormula>TableMCARCH[[#This Row],[Ver]]</calculatedColumnFormula>
    </tableColumn>
    <tableColumn id="10" xr3:uid="{00000000-0010-0000-0300-00000A000000}" name="OUA Code" dataDxfId="27"/>
    <tableColumn id="13" xr3:uid="{00000000-0010-0000-0300-00000D000000}" name="Unit Title" dataDxfId="26">
      <calculatedColumnFormula>TableMCARCH[[#This Row],[Structure Line]]</calculatedColumnFormula>
    </tableColumn>
    <tableColumn id="11" xr3:uid="{00000000-0010-0000-0300-00000B000000}" name="CPs" dataDxfId="25">
      <calculatedColumnFormula>TableMCARCH[[#This Row],[Credit Points]]</calculatedColumnFormula>
    </tableColumn>
    <tableColumn id="12" xr3:uid="{00000000-0010-0000-0300-00000C000000}" name="Column4" dataDxfId="24"/>
    <tableColumn id="2" xr3:uid="{00000000-0010-0000-0300-000002000000}" name="Component Type" dataDxfId="23"/>
    <tableColumn id="3" xr3:uid="{00000000-0010-0000-0300-000003000000}" name="Year Level" dataDxfId="22"/>
    <tableColumn id="4" xr3:uid="{00000000-0010-0000-0300-000004000000}" name="Study Period" dataDxfId="21"/>
    <tableColumn id="5" xr3:uid="{00000000-0010-0000-0300-000005000000}" name="Study Package Code" dataDxfId="20"/>
    <tableColumn id="6" xr3:uid="{00000000-0010-0000-0300-000006000000}" name="Ver" dataDxfId="19"/>
    <tableColumn id="7" xr3:uid="{00000000-0010-0000-0300-000007000000}" name="Structure Line" dataDxfId="18"/>
    <tableColumn id="8" xr3:uid="{00000000-0010-0000-0300-000008000000}" name="Credit Points" dataDxfId="17"/>
    <tableColumn id="14" xr3:uid="{00000000-0010-0000-0300-00000E000000}" name="Effective" dataDxfId="16"/>
    <tableColumn id="15" xr3:uid="{00000000-0010-0000-0300-00000F000000}" name="Discont." dataDxfId="15"/>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518" displayName="Table1518" ref="Q2:R32" totalsRowShown="0">
  <autoFilter ref="Q2:R32" xr:uid="{00000000-0009-0000-0100-000005000000}"/>
  <tableColumns count="2">
    <tableColumn id="5" xr3:uid="{00000000-0010-0000-0400-000005000000}" name="SPK"/>
    <tableColumn id="6" xr3:uid="{00000000-0010-0000-0400-000006000000}" name="Ver"/>
  </tableColumns>
  <tableStyleInfo name="TableStyleLight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5000000}" name="TableAvailabilities" displayName="TableAvailabilities" ref="A3:I31" totalsRowShown="0">
  <autoFilter ref="A3:I31" xr:uid="{00000000-0009-0000-0100-00000D000000}"/>
  <tableColumns count="9">
    <tableColumn id="1" xr3:uid="{00000000-0010-0000-0500-000001000000}" name="Row Labels"/>
    <tableColumn id="6" xr3:uid="{00000000-0010-0000-0500-000006000000}" name="OpenUnis SP 1" dataDxfId="14"/>
    <tableColumn id="7" xr3:uid="{00000000-0010-0000-0500-000007000000}" name="OpenUnis SP 2" dataDxfId="13"/>
    <tableColumn id="8" xr3:uid="{00000000-0010-0000-0500-000008000000}" name="OpenUnis SP 3" dataDxfId="12"/>
    <tableColumn id="9" xr3:uid="{00000000-0010-0000-0500-000009000000}" name="OpenUnis SP 4" dataDxfId="11"/>
    <tableColumn id="2" xr3:uid="{00000000-0010-0000-0500-000002000000}" name="Sem1 Internal" dataDxfId="10"/>
    <tableColumn id="3" xr3:uid="{00000000-0010-0000-0500-000003000000}" name="Sem1 Online" dataDxfId="9"/>
    <tableColumn id="4" xr3:uid="{00000000-0010-0000-0500-000004000000}" name="Sem2 Internal" dataDxfId="8"/>
    <tableColumn id="5" xr3:uid="{00000000-0010-0000-0500-000005000000}" name="Sem2 Online" dataDxfId="7"/>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showGridLines="0" tabSelected="1" topLeftCell="A3" zoomScaleNormal="100" workbookViewId="0">
      <selection activeCell="D6" sqref="D6"/>
    </sheetView>
  </sheetViews>
  <sheetFormatPr defaultRowHeight="15" x14ac:dyDescent="0.25"/>
  <cols>
    <col min="1" max="1" width="8.5" style="104" customWidth="1"/>
    <col min="2" max="2" width="3.25" style="104" customWidth="1"/>
    <col min="3" max="3" width="5.875" style="104" customWidth="1"/>
    <col min="4" max="4" width="46.375" style="95" bestFit="1" customWidth="1"/>
    <col min="5" max="5" width="7.5" style="95" customWidth="1"/>
    <col min="6" max="6" width="23.5" style="95" customWidth="1"/>
    <col min="7" max="7" width="5.625" style="95" customWidth="1"/>
    <col min="8" max="11" width="4.625" style="95" customWidth="1"/>
    <col min="12" max="12" width="18.625" style="95" customWidth="1"/>
    <col min="13" max="13" width="2.5" style="95" hidden="1" customWidth="1"/>
    <col min="14" max="16384" width="9" style="95"/>
  </cols>
  <sheetData>
    <row r="1" spans="1:16" hidden="1" x14ac:dyDescent="0.25">
      <c r="A1" s="91" t="s">
        <v>0</v>
      </c>
      <c r="B1" s="92" t="s">
        <v>1</v>
      </c>
      <c r="C1" s="92" t="s">
        <v>2</v>
      </c>
      <c r="D1" s="93" t="s">
        <v>3</v>
      </c>
      <c r="E1" s="93"/>
      <c r="F1" s="93" t="s">
        <v>4</v>
      </c>
      <c r="G1" s="93" t="s">
        <v>5</v>
      </c>
      <c r="H1" s="94" t="s">
        <v>6</v>
      </c>
      <c r="I1" s="93"/>
      <c r="J1" s="93"/>
      <c r="K1" s="93"/>
      <c r="L1" s="93" t="s">
        <v>7</v>
      </c>
    </row>
    <row r="2" spans="1:16" hidden="1" x14ac:dyDescent="0.25">
      <c r="A2" s="96"/>
      <c r="B2" s="97">
        <v>2</v>
      </c>
      <c r="C2" s="97">
        <v>3</v>
      </c>
      <c r="D2" s="97">
        <v>4</v>
      </c>
      <c r="E2" s="97"/>
      <c r="F2" s="97">
        <v>6</v>
      </c>
      <c r="G2" s="97">
        <v>5</v>
      </c>
      <c r="H2" s="97">
        <v>11</v>
      </c>
      <c r="I2" s="97">
        <v>12</v>
      </c>
      <c r="J2" s="97">
        <v>13</v>
      </c>
      <c r="K2" s="97">
        <v>14</v>
      </c>
      <c r="L2" s="97"/>
    </row>
    <row r="3" spans="1:16" ht="39.950000000000003" customHeight="1" x14ac:dyDescent="0.25">
      <c r="A3" s="98" t="s">
        <v>8</v>
      </c>
      <c r="B3" s="98"/>
      <c r="C3" s="98"/>
      <c r="D3" s="98"/>
      <c r="E3" s="99"/>
      <c r="F3" s="99"/>
      <c r="G3" s="99"/>
      <c r="H3" s="99"/>
      <c r="I3" s="99"/>
      <c r="J3" s="99"/>
      <c r="K3" s="99"/>
      <c r="L3" s="99"/>
    </row>
    <row r="4" spans="1:16" ht="26.25" x14ac:dyDescent="0.25">
      <c r="A4" s="100" t="s">
        <v>9</v>
      </c>
      <c r="B4" s="101"/>
      <c r="C4" s="101"/>
      <c r="D4" s="101"/>
      <c r="E4" s="102"/>
      <c r="F4" s="101"/>
      <c r="G4" s="103"/>
      <c r="H4" s="103"/>
      <c r="I4" s="103"/>
      <c r="J4" s="103"/>
      <c r="K4" s="103"/>
      <c r="L4" s="103"/>
    </row>
    <row r="5" spans="1:16" ht="20.100000000000001" customHeight="1" x14ac:dyDescent="0.25">
      <c r="B5" s="105"/>
      <c r="C5" s="106" t="s">
        <v>10</v>
      </c>
      <c r="D5" s="107" t="s">
        <v>11</v>
      </c>
      <c r="E5" s="108"/>
      <c r="F5" s="106" t="s">
        <v>12</v>
      </c>
      <c r="G5" s="108" t="str">
        <f>IFERROR(CONCATENATE(VLOOKUP(D5,TableCourses[],2,FALSE)," ",VLOOKUP(D5,TableCourses[],3,FALSE)),"")</f>
        <v>MC-ARCH v.4</v>
      </c>
      <c r="H5" s="108"/>
      <c r="I5" s="108"/>
      <c r="J5" s="108"/>
      <c r="K5" s="108"/>
      <c r="L5" s="109" t="e">
        <f>CONCATENATE(VLOOKUP(D5,TableCourses[],2,FALSE),VLOOKUP(D6,TableStudyPeriod[],2,FALSE))</f>
        <v>#N/A</v>
      </c>
    </row>
    <row r="6" spans="1:16" ht="20.100000000000001" customHeight="1" x14ac:dyDescent="0.25">
      <c r="A6" s="110"/>
      <c r="B6" s="111"/>
      <c r="C6" s="106" t="s">
        <v>13</v>
      </c>
      <c r="D6" s="50" t="s">
        <v>81</v>
      </c>
      <c r="E6" s="112"/>
      <c r="F6" s="106" t="s">
        <v>15</v>
      </c>
      <c r="G6" s="108" t="str">
        <f>IFERROR(VLOOKUP($D$5,TableCourses[],7,FALSE),"")</f>
        <v>400 credit points required</v>
      </c>
      <c r="H6" s="113"/>
      <c r="I6" s="113"/>
      <c r="J6" s="113"/>
      <c r="K6" s="113"/>
      <c r="L6" s="113"/>
    </row>
    <row r="7" spans="1:16" s="121" customFormat="1" ht="14.1" customHeight="1" x14ac:dyDescent="0.25">
      <c r="A7" s="114"/>
      <c r="B7" s="114"/>
      <c r="C7" s="114"/>
      <c r="D7" s="115"/>
      <c r="E7" s="116"/>
      <c r="F7" s="114"/>
      <c r="G7" s="114"/>
      <c r="H7" s="117" t="s">
        <v>16</v>
      </c>
      <c r="I7" s="118"/>
      <c r="J7" s="118"/>
      <c r="K7" s="119"/>
      <c r="L7" s="116"/>
      <c r="M7" s="120"/>
      <c r="N7" s="120"/>
      <c r="O7" s="120"/>
    </row>
    <row r="8" spans="1:16" s="121" customFormat="1" ht="21" x14ac:dyDescent="0.25">
      <c r="A8" s="114" t="s">
        <v>17</v>
      </c>
      <c r="B8" s="114"/>
      <c r="C8" s="114"/>
      <c r="D8" s="116" t="s">
        <v>3</v>
      </c>
      <c r="E8" s="122" t="s">
        <v>18</v>
      </c>
      <c r="F8" s="114" t="s">
        <v>19</v>
      </c>
      <c r="G8" s="114" t="s">
        <v>20</v>
      </c>
      <c r="H8" s="123" t="s">
        <v>21</v>
      </c>
      <c r="I8" s="124" t="s">
        <v>22</v>
      </c>
      <c r="J8" s="125" t="s">
        <v>23</v>
      </c>
      <c r="K8" s="126" t="s">
        <v>24</v>
      </c>
      <c r="L8" s="114" t="s">
        <v>25</v>
      </c>
      <c r="M8" s="120"/>
      <c r="N8" s="120"/>
      <c r="O8" s="120"/>
    </row>
    <row r="9" spans="1:16" s="137" customFormat="1" ht="19.5" customHeight="1" x14ac:dyDescent="0.15">
      <c r="A9" s="127" t="str">
        <f>IFERROR(IF(HLOOKUP($L$5,RangeUnitsets,M9,FALSE)=0,"",HLOOKUP($L$5,RangeUnitsets,M9,FALSE)),"")</f>
        <v/>
      </c>
      <c r="B9" s="128" t="str">
        <f>IFERROR(IF(VLOOKUP(A9,TableHandbook[],2,FALSE)=0,"",VLOOKUP(A9,TableHandbook[],2,FALSE)),"")</f>
        <v/>
      </c>
      <c r="C9" s="128"/>
      <c r="D9" s="129" t="str">
        <f>IFERROR(VLOOKUP(A9,TableHandbook[],4,FALSE),"")</f>
        <v/>
      </c>
      <c r="E9" s="128" t="str">
        <f>IF(A9="","",VLOOKUP($D$6,TableStudyPeriod[],2,FALSE))</f>
        <v/>
      </c>
      <c r="F9" s="130" t="str">
        <f>IFERROR(IF(VLOOKUP(A9,TableHandbook[],6,FALSE)=0,"",VLOOKUP(A9,TableHandbook[],6,FALSE)),"")</f>
        <v/>
      </c>
      <c r="G9" s="128" t="str">
        <f>IFERROR(IF(VLOOKUP(A9,TableHandbook[],5,FALSE)=0,"",VLOOKUP(A9,TableHandbook[],5,FALSE)),"")</f>
        <v/>
      </c>
      <c r="H9" s="131" t="str">
        <f>IFERROR(VLOOKUP($A9,TableHandbook[],H$2,FALSE),"")</f>
        <v/>
      </c>
      <c r="I9" s="132" t="str">
        <f>IFERROR(VLOOKUP($A9,TableHandbook[],I$2,FALSE),"")</f>
        <v/>
      </c>
      <c r="J9" s="133" t="str">
        <f>IFERROR(VLOOKUP($A9,TableHandbook[],J$2,FALSE),"")</f>
        <v/>
      </c>
      <c r="K9" s="134" t="str">
        <f>IFERROR(VLOOKUP($A9,TableHandbook[],K$2,FALSE),"")</f>
        <v/>
      </c>
      <c r="L9" s="45"/>
      <c r="M9" s="135">
        <v>2</v>
      </c>
      <c r="N9" s="136"/>
      <c r="O9" s="136"/>
    </row>
    <row r="10" spans="1:16" s="137" customFormat="1" ht="19.5" customHeight="1" x14ac:dyDescent="0.15">
      <c r="A10" s="138" t="str">
        <f>IFERROR(IF(HLOOKUP($L$5,RangeUnitsets,M10,FALSE)=0,"",HLOOKUP($L$5,RangeUnitsets,M10,FALSE)),"")</f>
        <v/>
      </c>
      <c r="B10" s="139" t="str">
        <f>IFERROR(IF(VLOOKUP(A10,TableHandbook[],2,FALSE)=0,"",VLOOKUP(A10,TableHandbook[],2,FALSE)),"")</f>
        <v/>
      </c>
      <c r="C10" s="139"/>
      <c r="D10" s="140" t="str">
        <f>IFERROR(VLOOKUP(A10,TableHandbook[],4,FALSE),"")</f>
        <v/>
      </c>
      <c r="E10" s="139" t="str">
        <f>IF(OR(A10="",A10="-"),"",E9)</f>
        <v/>
      </c>
      <c r="F10" s="141" t="str">
        <f>IFERROR(IF(VLOOKUP(A10,TableHandbook[],6,FALSE)=0,"",VLOOKUP(A10,TableHandbook[],6,FALSE)),"")</f>
        <v/>
      </c>
      <c r="G10" s="139" t="str">
        <f>IFERROR(IF(VLOOKUP(A10,TableHandbook[],5,FALSE)=0,"",VLOOKUP(A10,TableHandbook[],5,FALSE)),"")</f>
        <v/>
      </c>
      <c r="H10" s="142" t="str">
        <f>IFERROR(VLOOKUP($A10,TableHandbook[],H$2,FALSE),"")</f>
        <v/>
      </c>
      <c r="I10" s="143" t="str">
        <f>IFERROR(VLOOKUP($A10,TableHandbook[],I$2,FALSE),"")</f>
        <v/>
      </c>
      <c r="J10" s="144" t="str">
        <f>IFERROR(VLOOKUP($A10,TableHandbook[],J$2,FALSE),"")</f>
        <v/>
      </c>
      <c r="K10" s="145" t="str">
        <f>IFERROR(VLOOKUP($A10,TableHandbook[],K$2,FALSE),"")</f>
        <v/>
      </c>
      <c r="L10" s="46"/>
      <c r="M10" s="135">
        <v>3</v>
      </c>
      <c r="N10" s="136"/>
      <c r="O10" s="136"/>
    </row>
    <row r="11" spans="1:16" s="137" customFormat="1" ht="19.5" customHeight="1" x14ac:dyDescent="0.15">
      <c r="A11" s="138" t="str">
        <f>IFERROR(IF(HLOOKUP($L$5,RangeUnitsets,M11,FALSE)=0,"",HLOOKUP($L$5,RangeUnitsets,M11,FALSE)),"")</f>
        <v/>
      </c>
      <c r="B11" s="139" t="str">
        <f>IFERROR(IF(VLOOKUP(A11,TableHandbook[],2,FALSE)=0,"",VLOOKUP(A11,TableHandbook[],2,FALSE)),"")</f>
        <v/>
      </c>
      <c r="C11" s="139"/>
      <c r="D11" s="140" t="str">
        <f>IFERROR(VLOOKUP(A11,TableHandbook[],4,FALSE),"")</f>
        <v/>
      </c>
      <c r="E11" s="139" t="str">
        <f t="shared" ref="E11:E12" si="0">IF(OR(A11="",A11="-"),"",E10)</f>
        <v/>
      </c>
      <c r="F11" s="141" t="str">
        <f>IFERROR(IF(VLOOKUP(A11,TableHandbook[],6,FALSE)=0,"",VLOOKUP(A11,TableHandbook[],6,FALSE)),"")</f>
        <v/>
      </c>
      <c r="G11" s="139" t="str">
        <f>IFERROR(IF(VLOOKUP(A11,TableHandbook[],5,FALSE)=0,"",VLOOKUP(A11,TableHandbook[],5,FALSE)),"")</f>
        <v/>
      </c>
      <c r="H11" s="142" t="str">
        <f>IFERROR(VLOOKUP($A11,TableHandbook[],H$2,FALSE),"")</f>
        <v/>
      </c>
      <c r="I11" s="143" t="str">
        <f>IFERROR(VLOOKUP($A11,TableHandbook[],I$2,FALSE),"")</f>
        <v/>
      </c>
      <c r="J11" s="144" t="str">
        <f>IFERROR(VLOOKUP($A11,TableHandbook[],J$2,FALSE),"")</f>
        <v/>
      </c>
      <c r="K11" s="145" t="str">
        <f>IFERROR(VLOOKUP($A11,TableHandbook[],K$2,FALSE),"")</f>
        <v/>
      </c>
      <c r="L11" s="48"/>
      <c r="M11" s="135">
        <v>4</v>
      </c>
      <c r="N11" s="136"/>
      <c r="O11" s="136"/>
    </row>
    <row r="12" spans="1:16" s="137" customFormat="1" ht="19.5" customHeight="1" x14ac:dyDescent="0.15">
      <c r="A12" s="146" t="str">
        <f>IFERROR(IF(HLOOKUP($L$5,RangeUnitsets,M12,FALSE)=0,"",HLOOKUP($L$5,RangeUnitsets,M12,FALSE)),"")</f>
        <v/>
      </c>
      <c r="B12" s="147" t="str">
        <f>IFERROR(IF(VLOOKUP(A12,TableHandbook[],2,FALSE)=0,"",VLOOKUP(A12,TableHandbook[],2,FALSE)),"")</f>
        <v/>
      </c>
      <c r="C12" s="147"/>
      <c r="D12" s="148" t="str">
        <f>IFERROR(VLOOKUP(A12,TableHandbook[],4,FALSE),"")</f>
        <v/>
      </c>
      <c r="E12" s="147" t="str">
        <f t="shared" si="0"/>
        <v/>
      </c>
      <c r="F12" s="149" t="str">
        <f>IFERROR(IF(VLOOKUP(A12,TableHandbook[],6,FALSE)=0,"",VLOOKUP(A12,TableHandbook[],6,FALSE)),"")</f>
        <v/>
      </c>
      <c r="G12" s="147" t="str">
        <f>IFERROR(IF(VLOOKUP(A12,TableHandbook[],5,FALSE)=0,"",VLOOKUP(A12,TableHandbook[],5,FALSE)),"")</f>
        <v/>
      </c>
      <c r="H12" s="150" t="str">
        <f>IFERROR(VLOOKUP($A12,TableHandbook[],H$2,FALSE),"")</f>
        <v/>
      </c>
      <c r="I12" s="151" t="str">
        <f>IFERROR(VLOOKUP($A12,TableHandbook[],I$2,FALSE),"")</f>
        <v/>
      </c>
      <c r="J12" s="152" t="str">
        <f>IFERROR(VLOOKUP($A12,TableHandbook[],J$2,FALSE),"")</f>
        <v/>
      </c>
      <c r="K12" s="153" t="str">
        <f>IFERROR(VLOOKUP($A12,TableHandbook[],K$2,FALSE),"")</f>
        <v/>
      </c>
      <c r="L12" s="47"/>
      <c r="M12" s="135">
        <v>5</v>
      </c>
      <c r="N12" s="136"/>
      <c r="O12" s="136"/>
    </row>
    <row r="13" spans="1:16" s="137" customFormat="1" ht="4.5" customHeight="1" x14ac:dyDescent="0.15">
      <c r="A13" s="154"/>
      <c r="B13" s="155"/>
      <c r="C13" s="155"/>
      <c r="D13" s="156"/>
      <c r="E13" s="155"/>
      <c r="F13" s="157"/>
      <c r="G13" s="155"/>
      <c r="H13" s="158"/>
      <c r="I13" s="159"/>
      <c r="J13" s="160"/>
      <c r="K13" s="161"/>
      <c r="L13" s="223"/>
      <c r="M13" s="135"/>
      <c r="N13" s="136"/>
      <c r="O13" s="136"/>
      <c r="P13" s="136"/>
    </row>
    <row r="14" spans="1:16" s="137" customFormat="1" ht="19.5" customHeight="1" x14ac:dyDescent="0.15">
      <c r="A14" s="127" t="str">
        <f>IFERROR(IF(HLOOKUP($L$5,RangeUnitsets,M14,FALSE)=0,"",HLOOKUP($L$5,RangeUnitsets,M14,FALSE)),"")</f>
        <v/>
      </c>
      <c r="B14" s="163" t="str">
        <f>IFERROR(IF(VLOOKUP(A14,TableHandbook[],2,FALSE)=0,"",VLOOKUP(A14,TableHandbook[],2,FALSE)),"")</f>
        <v/>
      </c>
      <c r="C14" s="163"/>
      <c r="D14" s="164" t="str">
        <f>IFERROR(VLOOKUP(A14,TableHandbook[],4,FALSE),"")</f>
        <v/>
      </c>
      <c r="E14" s="128" t="str">
        <f>IF(A14="","",VLOOKUP($D$6,TableStudyPeriod[],3,FALSE))</f>
        <v/>
      </c>
      <c r="F14" s="130" t="str">
        <f>IFERROR(IF(VLOOKUP(A14,TableHandbook[],6,FALSE)=0,"",VLOOKUP(A14,TableHandbook[],6,FALSE)),"")</f>
        <v/>
      </c>
      <c r="G14" s="163" t="str">
        <f>IFERROR(IF(VLOOKUP(A14,TableHandbook[],5,FALSE)=0,"",VLOOKUP(A14,TableHandbook[],5,FALSE)),"")</f>
        <v/>
      </c>
      <c r="H14" s="165" t="str">
        <f>IFERROR(VLOOKUP($A14,TableHandbook[],H$2,FALSE),"")</f>
        <v/>
      </c>
      <c r="I14" s="166" t="str">
        <f>IFERROR(VLOOKUP($A14,TableHandbook[],I$2,FALSE),"")</f>
        <v/>
      </c>
      <c r="J14" s="167" t="str">
        <f>IFERROR(VLOOKUP($A14,TableHandbook[],J$2,FALSE),"")</f>
        <v/>
      </c>
      <c r="K14" s="168" t="str">
        <f>IFERROR(VLOOKUP($A14,TableHandbook[],K$2,FALSE),"")</f>
        <v/>
      </c>
      <c r="L14" s="49"/>
      <c r="M14" s="135">
        <v>6</v>
      </c>
      <c r="N14" s="136"/>
      <c r="O14" s="136"/>
    </row>
    <row r="15" spans="1:16" s="175" customFormat="1" ht="19.5" customHeight="1" x14ac:dyDescent="0.15">
      <c r="A15" s="138" t="str">
        <f>IFERROR(IF(HLOOKUP($L$5,RangeUnitsets,M15,FALSE)=0,"",HLOOKUP($L$5,RangeUnitsets,M15,FALSE)),"")</f>
        <v/>
      </c>
      <c r="B15" s="169" t="str">
        <f>IFERROR(IF(VLOOKUP(A15,TableHandbook[],2,FALSE)=0,"",VLOOKUP(A15,TableHandbook[],2,FALSE)),"")</f>
        <v/>
      </c>
      <c r="C15" s="169"/>
      <c r="D15" s="140" t="str">
        <f>IFERROR(VLOOKUP(A15,TableHandbook[],4,FALSE),"")</f>
        <v/>
      </c>
      <c r="E15" s="139" t="str">
        <f>IF(OR(A15="",A15="-"),"",E14)</f>
        <v/>
      </c>
      <c r="F15" s="141" t="str">
        <f>IFERROR(IF(VLOOKUP(A15,TableHandbook[],6,FALSE)=0,"",VLOOKUP(A15,TableHandbook[],6,FALSE)),"")</f>
        <v/>
      </c>
      <c r="G15" s="169" t="str">
        <f>IFERROR(IF(VLOOKUP(A15,TableHandbook[],5,FALSE)=0,"",VLOOKUP(A15,TableHandbook[],5,FALSE)),"")</f>
        <v/>
      </c>
      <c r="H15" s="170" t="str">
        <f>IFERROR(VLOOKUP($A15,TableHandbook[],H$2,FALSE),"")</f>
        <v/>
      </c>
      <c r="I15" s="171" t="str">
        <f>IFERROR(VLOOKUP($A15,TableHandbook[],I$2,FALSE),"")</f>
        <v/>
      </c>
      <c r="J15" s="172" t="str">
        <f>IFERROR(VLOOKUP($A15,TableHandbook[],J$2,FALSE),"")</f>
        <v/>
      </c>
      <c r="K15" s="173" t="str">
        <f>IFERROR(VLOOKUP($A15,TableHandbook[],K$2,FALSE),"")</f>
        <v/>
      </c>
      <c r="L15" s="48"/>
      <c r="M15" s="135">
        <v>7</v>
      </c>
      <c r="N15" s="174"/>
      <c r="O15" s="174"/>
    </row>
    <row r="16" spans="1:16" s="175" customFormat="1" ht="19.5" customHeight="1" x14ac:dyDescent="0.15">
      <c r="A16" s="138" t="str">
        <f>IFERROR(IF(HLOOKUP($L$5,RangeUnitsets,M16,FALSE)=0,"",HLOOKUP($L$5,RangeUnitsets,M16,FALSE)),"")</f>
        <v/>
      </c>
      <c r="B16" s="169" t="str">
        <f>IFERROR(IF(VLOOKUP(A16,TableHandbook[],2,FALSE)=0,"",VLOOKUP(A16,TableHandbook[],2,FALSE)),"")</f>
        <v/>
      </c>
      <c r="C16" s="169"/>
      <c r="D16" s="140" t="str">
        <f>IFERROR(VLOOKUP(A16,TableHandbook[],4,FALSE),"")</f>
        <v/>
      </c>
      <c r="E16" s="139" t="str">
        <f t="shared" ref="E16:E17" si="1">IF(OR(A16="",A16="-"),"",E15)</f>
        <v/>
      </c>
      <c r="F16" s="141" t="str">
        <f>IFERROR(IF(VLOOKUP(A16,TableHandbook[],6,FALSE)=0,"",VLOOKUP(A16,TableHandbook[],6,FALSE)),"")</f>
        <v/>
      </c>
      <c r="G16" s="169" t="str">
        <f>IFERROR(IF(VLOOKUP(A16,TableHandbook[],5,FALSE)=0,"",VLOOKUP(A16,TableHandbook[],5,FALSE)),"")</f>
        <v/>
      </c>
      <c r="H16" s="170" t="str">
        <f>IFERROR(VLOOKUP($A16,TableHandbook[],H$2,FALSE),"")</f>
        <v/>
      </c>
      <c r="I16" s="171" t="str">
        <f>IFERROR(VLOOKUP($A16,TableHandbook[],I$2,FALSE),"")</f>
        <v/>
      </c>
      <c r="J16" s="172" t="str">
        <f>IFERROR(VLOOKUP($A16,TableHandbook[],J$2,FALSE),"")</f>
        <v/>
      </c>
      <c r="K16" s="173" t="str">
        <f>IFERROR(VLOOKUP($A16,TableHandbook[],K$2,FALSE),"")</f>
        <v/>
      </c>
      <c r="L16" s="48"/>
      <c r="M16" s="135">
        <v>8</v>
      </c>
      <c r="N16" s="174"/>
      <c r="O16" s="174"/>
    </row>
    <row r="17" spans="1:16" s="175" customFormat="1" ht="19.5" customHeight="1" x14ac:dyDescent="0.15">
      <c r="A17" s="146" t="str">
        <f>IFERROR(IF(HLOOKUP($L$5,RangeUnitsets,M17,FALSE)=0,"",HLOOKUP($L$5,RangeUnitsets,M17,FALSE)),"")</f>
        <v/>
      </c>
      <c r="B17" s="176" t="str">
        <f>IFERROR(IF(VLOOKUP(A17,TableHandbook[],2,FALSE)=0,"",VLOOKUP(A17,TableHandbook[],2,FALSE)),"")</f>
        <v/>
      </c>
      <c r="C17" s="176"/>
      <c r="D17" s="177" t="str">
        <f>IFERROR(VLOOKUP(A17,TableHandbook[],4,FALSE),"")</f>
        <v/>
      </c>
      <c r="E17" s="176" t="str">
        <f t="shared" si="1"/>
        <v/>
      </c>
      <c r="F17" s="149" t="str">
        <f>IFERROR(IF(VLOOKUP(A17,TableHandbook[],6,FALSE)=0,"",VLOOKUP(A17,TableHandbook[],6,FALSE)),"")</f>
        <v/>
      </c>
      <c r="G17" s="176" t="str">
        <f>IFERROR(IF(VLOOKUP(A17,TableHandbook[],5,FALSE)=0,"",VLOOKUP(A17,TableHandbook[],5,FALSE)),"")</f>
        <v/>
      </c>
      <c r="H17" s="170" t="str">
        <f>IFERROR(VLOOKUP($A17,TableHandbook[],H$2,FALSE),"")</f>
        <v/>
      </c>
      <c r="I17" s="171" t="str">
        <f>IFERROR(VLOOKUP($A17,TableHandbook[],I$2,FALSE),"")</f>
        <v/>
      </c>
      <c r="J17" s="172" t="str">
        <f>IFERROR(VLOOKUP($A17,TableHandbook[],J$2,FALSE),"")</f>
        <v/>
      </c>
      <c r="K17" s="173" t="str">
        <f>IFERROR(VLOOKUP($A17,TableHandbook[],K$2,FALSE),"")</f>
        <v/>
      </c>
      <c r="L17" s="48"/>
      <c r="M17" s="135">
        <v>9</v>
      </c>
      <c r="N17" s="174"/>
      <c r="O17" s="174"/>
    </row>
    <row r="18" spans="1:16" s="121" customFormat="1" ht="21" x14ac:dyDescent="0.25">
      <c r="A18" s="178" t="s">
        <v>26</v>
      </c>
      <c r="B18" s="179"/>
      <c r="C18" s="179"/>
      <c r="D18" s="180" t="s">
        <v>3</v>
      </c>
      <c r="E18" s="181" t="s">
        <v>18</v>
      </c>
      <c r="F18" s="179" t="s">
        <v>19</v>
      </c>
      <c r="G18" s="179" t="s">
        <v>20</v>
      </c>
      <c r="H18" s="182" t="str">
        <f>H$8</f>
        <v>Sem1 BEN</v>
      </c>
      <c r="I18" s="183" t="str">
        <f t="shared" ref="I18:L18" si="2">I$8</f>
        <v>Sem1 FO</v>
      </c>
      <c r="J18" s="184" t="str">
        <f t="shared" si="2"/>
        <v>Sem2 BEN</v>
      </c>
      <c r="K18" s="185" t="str">
        <f t="shared" si="2"/>
        <v>Sem2 FO</v>
      </c>
      <c r="L18" s="224" t="str">
        <f t="shared" si="2"/>
        <v>Notes / Progress</v>
      </c>
      <c r="M18" s="186"/>
      <c r="N18" s="120"/>
      <c r="O18" s="120"/>
    </row>
    <row r="19" spans="1:16" s="137" customFormat="1" ht="19.5" customHeight="1" x14ac:dyDescent="0.15">
      <c r="A19" s="127" t="str">
        <f>IFERROR(IF(HLOOKUP($L$5,RangeUnitsets,M19,FALSE)=0,"",HLOOKUP($L$5,RangeUnitsets,M19,FALSE)),"")</f>
        <v/>
      </c>
      <c r="B19" s="163" t="str">
        <f>IFERROR(IF(VLOOKUP(A19,TableHandbook[],2,FALSE)=0,"",VLOOKUP(A19,TableHandbook[],2,FALSE)),"")</f>
        <v/>
      </c>
      <c r="C19" s="163"/>
      <c r="D19" s="129" t="str">
        <f>IFERROR(VLOOKUP(A19,TableHandbook[],4,FALSE),"")</f>
        <v/>
      </c>
      <c r="E19" s="163" t="str">
        <f>IF(A19="","",VLOOKUP($D$6,TableStudyPeriod[],2,FALSE))</f>
        <v/>
      </c>
      <c r="F19" s="130" t="str">
        <f>IFERROR(IF(VLOOKUP(A19,TableHandbook[],6,FALSE)=0,"",VLOOKUP(A19,TableHandbook[],6,FALSE)),"")</f>
        <v/>
      </c>
      <c r="G19" s="128" t="str">
        <f>IFERROR(IF(VLOOKUP(A19,TableHandbook[],5,FALSE)=0,"",VLOOKUP(A19,TableHandbook[],5,FALSE)),"")</f>
        <v/>
      </c>
      <c r="H19" s="131" t="str">
        <f>IFERROR(VLOOKUP($A19,TableHandbook[],H$2,FALSE),"")</f>
        <v/>
      </c>
      <c r="I19" s="132" t="str">
        <f>IFERROR(VLOOKUP($A19,TableHandbook[],I$2,FALSE),"")</f>
        <v/>
      </c>
      <c r="J19" s="133" t="str">
        <f>IFERROR(VLOOKUP($A19,TableHandbook[],J$2,FALSE),"")</f>
        <v/>
      </c>
      <c r="K19" s="134" t="str">
        <f>IFERROR(VLOOKUP($A19,TableHandbook[],K$2,FALSE),"")</f>
        <v/>
      </c>
      <c r="L19" s="45"/>
      <c r="M19" s="135">
        <v>10</v>
      </c>
      <c r="N19" s="136"/>
      <c r="O19" s="136"/>
    </row>
    <row r="20" spans="1:16" s="137" customFormat="1" ht="19.5" customHeight="1" x14ac:dyDescent="0.15">
      <c r="A20" s="138" t="str">
        <f>IFERROR(IF(HLOOKUP($L$5,RangeUnitsets,M20,FALSE)=0,"",HLOOKUP($L$5,RangeUnitsets,M20,FALSE)),"")</f>
        <v/>
      </c>
      <c r="B20" s="169" t="str">
        <f>IFERROR(IF(VLOOKUP(A20,TableHandbook[],2,FALSE)=0,"",VLOOKUP(A20,TableHandbook[],2,FALSE)),"")</f>
        <v/>
      </c>
      <c r="C20" s="169"/>
      <c r="D20" s="187" t="str">
        <f>IFERROR(VLOOKUP(A20,TableHandbook[],4,FALSE),"")</f>
        <v/>
      </c>
      <c r="E20" s="169" t="str">
        <f>IF(OR(A20="",A20="-"),"",E19)</f>
        <v/>
      </c>
      <c r="F20" s="141" t="str">
        <f>IFERROR(IF(VLOOKUP(A20,TableHandbook[],6,FALSE)=0,"",VLOOKUP(A20,TableHandbook[],6,FALSE)),"")</f>
        <v/>
      </c>
      <c r="G20" s="139" t="str">
        <f>IFERROR(IF(VLOOKUP(A20,TableHandbook[],5,FALSE)=0,"",VLOOKUP(A20,TableHandbook[],5,FALSE)),"")</f>
        <v/>
      </c>
      <c r="H20" s="142" t="str">
        <f>IFERROR(VLOOKUP($A20,TableHandbook[],H$2,FALSE),"")</f>
        <v/>
      </c>
      <c r="I20" s="143" t="str">
        <f>IFERROR(VLOOKUP($A20,TableHandbook[],I$2,FALSE),"")</f>
        <v/>
      </c>
      <c r="J20" s="144" t="str">
        <f>IFERROR(VLOOKUP($A20,TableHandbook[],J$2,FALSE),"")</f>
        <v/>
      </c>
      <c r="K20" s="145" t="str">
        <f>IFERROR(VLOOKUP($A20,TableHandbook[],K$2,FALSE),"")</f>
        <v/>
      </c>
      <c r="L20" s="46"/>
      <c r="M20" s="135">
        <v>11</v>
      </c>
      <c r="N20" s="136"/>
      <c r="O20" s="136"/>
    </row>
    <row r="21" spans="1:16" s="137" customFormat="1" ht="19.5" customHeight="1" x14ac:dyDescent="0.15">
      <c r="A21" s="138" t="str">
        <f>IFERROR(IF(HLOOKUP($L$5,RangeUnitsets,M21,FALSE)=0,"",HLOOKUP($L$5,RangeUnitsets,M21,FALSE)),"")</f>
        <v/>
      </c>
      <c r="B21" s="169" t="str">
        <f>IFERROR(IF(VLOOKUP(A21,TableHandbook[],2,FALSE)=0,"",VLOOKUP(A21,TableHandbook[],2,FALSE)),"")</f>
        <v/>
      </c>
      <c r="C21" s="169"/>
      <c r="D21" s="187" t="str">
        <f>IFERROR(VLOOKUP(A21,TableHandbook[],4,FALSE),"")</f>
        <v/>
      </c>
      <c r="E21" s="169" t="str">
        <f t="shared" ref="E21:E22" si="3">IF(OR(A21="",A21="-"),"",E20)</f>
        <v/>
      </c>
      <c r="F21" s="141" t="str">
        <f>IFERROR(IF(VLOOKUP(A21,TableHandbook[],6,FALSE)=0,"",VLOOKUP(A21,TableHandbook[],6,FALSE)),"")</f>
        <v/>
      </c>
      <c r="G21" s="139" t="str">
        <f>IFERROR(IF(VLOOKUP(A21,TableHandbook[],5,FALSE)=0,"",VLOOKUP(A21,TableHandbook[],5,FALSE)),"")</f>
        <v/>
      </c>
      <c r="H21" s="142" t="str">
        <f>IFERROR(VLOOKUP($A21,TableHandbook[],H$2,FALSE),"")</f>
        <v/>
      </c>
      <c r="I21" s="143" t="str">
        <f>IFERROR(VLOOKUP($A21,TableHandbook[],I$2,FALSE),"")</f>
        <v/>
      </c>
      <c r="J21" s="144" t="str">
        <f>IFERROR(VLOOKUP($A21,TableHandbook[],J$2,FALSE),"")</f>
        <v/>
      </c>
      <c r="K21" s="145" t="str">
        <f>IFERROR(VLOOKUP($A21,TableHandbook[],K$2,FALSE),"")</f>
        <v/>
      </c>
      <c r="L21" s="46"/>
      <c r="M21" s="135">
        <v>12</v>
      </c>
      <c r="N21" s="136"/>
      <c r="O21" s="136"/>
    </row>
    <row r="22" spans="1:16" s="137" customFormat="1" ht="19.5" customHeight="1" x14ac:dyDescent="0.15">
      <c r="A22" s="146" t="str">
        <f>IFERROR(IF(HLOOKUP($L$5,RangeUnitsets,M22,FALSE)=0,"",HLOOKUP($L$5,RangeUnitsets,M22,FALSE)),"")</f>
        <v/>
      </c>
      <c r="B22" s="176" t="str">
        <f>IFERROR(IF(VLOOKUP(A22,TableHandbook[],2,FALSE)=0,"",VLOOKUP(A22,TableHandbook[],2,FALSE)),"")</f>
        <v/>
      </c>
      <c r="C22" s="176"/>
      <c r="D22" s="177" t="str">
        <f>IFERROR(VLOOKUP(A22,TableHandbook[],4,FALSE),"")</f>
        <v/>
      </c>
      <c r="E22" s="176" t="str">
        <f t="shared" si="3"/>
        <v/>
      </c>
      <c r="F22" s="149" t="str">
        <f>IFERROR(IF(VLOOKUP(A22,TableHandbook[],6,FALSE)=0,"",VLOOKUP(A22,TableHandbook[],6,FALSE)),"")</f>
        <v/>
      </c>
      <c r="G22" s="147" t="str">
        <f>IFERROR(IF(VLOOKUP(A22,TableHandbook[],5,FALSE)=0,"",VLOOKUP(A22,TableHandbook[],5,FALSE)),"")</f>
        <v/>
      </c>
      <c r="H22" s="150" t="str">
        <f>IFERROR(VLOOKUP($A22,TableHandbook[],H$2,FALSE),"")</f>
        <v/>
      </c>
      <c r="I22" s="151" t="str">
        <f>IFERROR(VLOOKUP($A22,TableHandbook[],I$2,FALSE),"")</f>
        <v/>
      </c>
      <c r="J22" s="152" t="str">
        <f>IFERROR(VLOOKUP($A22,TableHandbook[],J$2,FALSE),"")</f>
        <v/>
      </c>
      <c r="K22" s="153" t="str">
        <f>IFERROR(VLOOKUP($A22,TableHandbook[],K$2,FALSE),"")</f>
        <v/>
      </c>
      <c r="L22" s="47"/>
      <c r="M22" s="135">
        <v>13</v>
      </c>
      <c r="N22" s="136"/>
      <c r="O22" s="136"/>
    </row>
    <row r="23" spans="1:16" s="137" customFormat="1" ht="5.0999999999999996" customHeight="1" x14ac:dyDescent="0.15">
      <c r="A23" s="154"/>
      <c r="B23" s="155"/>
      <c r="C23" s="155"/>
      <c r="D23" s="156"/>
      <c r="E23" s="155"/>
      <c r="F23" s="157"/>
      <c r="G23" s="155"/>
      <c r="H23" s="188"/>
      <c r="I23" s="189"/>
      <c r="J23" s="190"/>
      <c r="K23" s="162"/>
      <c r="L23" s="223"/>
      <c r="M23" s="135"/>
      <c r="N23" s="136"/>
      <c r="O23" s="136"/>
      <c r="P23" s="136"/>
    </row>
    <row r="24" spans="1:16" s="137" customFormat="1" ht="19.5" customHeight="1" x14ac:dyDescent="0.15">
      <c r="A24" s="127" t="str">
        <f>IFERROR(IF(HLOOKUP($L$5,RangeUnitsets,M24,FALSE)=0,"",HLOOKUP($L$5,RangeUnitsets,M24,FALSE)),"")</f>
        <v/>
      </c>
      <c r="B24" s="163" t="str">
        <f>IFERROR(IF(VLOOKUP(A24,TableHandbook[],2,FALSE)=0,"",VLOOKUP(A24,TableHandbook[],2,FALSE)),"")</f>
        <v/>
      </c>
      <c r="C24" s="163"/>
      <c r="D24" s="191" t="str">
        <f>IFERROR(VLOOKUP(A24,TableHandbook[],4,FALSE),"")</f>
        <v/>
      </c>
      <c r="E24" s="163" t="str">
        <f>IF(A24="","",VLOOKUP($D$6,TableStudyPeriod[],3,FALSE))</f>
        <v/>
      </c>
      <c r="F24" s="130" t="str">
        <f>IFERROR(IF(VLOOKUP(A24,TableHandbook[],6,FALSE)=0,"",VLOOKUP(A24,TableHandbook[],6,FALSE)),"")</f>
        <v/>
      </c>
      <c r="G24" s="128" t="str">
        <f>IFERROR(IF(VLOOKUP(A24,TableHandbook[],5,FALSE)=0,"",VLOOKUP(A24,TableHandbook[],5,FALSE)),"")</f>
        <v/>
      </c>
      <c r="H24" s="131" t="str">
        <f>IFERROR(VLOOKUP($A24,TableHandbook[],H$2,FALSE),"")</f>
        <v/>
      </c>
      <c r="I24" s="132" t="str">
        <f>IFERROR(VLOOKUP($A24,TableHandbook[],I$2,FALSE),"")</f>
        <v/>
      </c>
      <c r="J24" s="133" t="str">
        <f>IFERROR(VLOOKUP($A24,TableHandbook[],J$2,FALSE),"")</f>
        <v/>
      </c>
      <c r="K24" s="134" t="str">
        <f>IFERROR(VLOOKUP($A24,TableHandbook[],K$2,FALSE),"")</f>
        <v/>
      </c>
      <c r="L24" s="45"/>
      <c r="M24" s="135">
        <v>14</v>
      </c>
      <c r="N24" s="136"/>
      <c r="O24" s="136"/>
    </row>
    <row r="25" spans="1:16" s="137" customFormat="1" ht="19.5" customHeight="1" x14ac:dyDescent="0.15">
      <c r="A25" s="138" t="str">
        <f>IFERROR(IF(HLOOKUP($L$5,RangeUnitsets,M25,FALSE)=0,"",HLOOKUP($L$5,RangeUnitsets,M25,FALSE)),"")</f>
        <v/>
      </c>
      <c r="B25" s="169" t="str">
        <f>IFERROR(IF(VLOOKUP(A25,TableHandbook[],2,FALSE)=0,"",VLOOKUP(A25,TableHandbook[],2,FALSE)),"")</f>
        <v/>
      </c>
      <c r="C25" s="169"/>
      <c r="D25" s="187" t="str">
        <f>IFERROR(VLOOKUP(A25,TableHandbook[],4,FALSE),"")</f>
        <v/>
      </c>
      <c r="E25" s="169" t="str">
        <f>IF(OR(A25="",A25="-"),"",E24)</f>
        <v/>
      </c>
      <c r="F25" s="141" t="str">
        <f>IFERROR(IF(VLOOKUP(A25,TableHandbook[],6,FALSE)=0,"",VLOOKUP(A25,TableHandbook[],6,FALSE)),"")</f>
        <v/>
      </c>
      <c r="G25" s="139" t="str">
        <f>IFERROR(IF(VLOOKUP(A25,TableHandbook[],5,FALSE)=0,"",VLOOKUP(A25,TableHandbook[],5,FALSE)),"")</f>
        <v/>
      </c>
      <c r="H25" s="142" t="str">
        <f>IFERROR(VLOOKUP($A25,TableHandbook[],H$2,FALSE),"")</f>
        <v/>
      </c>
      <c r="I25" s="143" t="str">
        <f>IFERROR(VLOOKUP($A25,TableHandbook[],I$2,FALSE),"")</f>
        <v/>
      </c>
      <c r="J25" s="144" t="str">
        <f>IFERROR(VLOOKUP($A25,TableHandbook[],J$2,FALSE),"")</f>
        <v/>
      </c>
      <c r="K25" s="145" t="str">
        <f>IFERROR(VLOOKUP($A25,TableHandbook[],K$2,FALSE),"")</f>
        <v/>
      </c>
      <c r="L25" s="46"/>
      <c r="M25" s="135">
        <v>15</v>
      </c>
      <c r="N25" s="136"/>
      <c r="O25" s="136"/>
    </row>
    <row r="26" spans="1:16" s="175" customFormat="1" ht="19.5" customHeight="1" x14ac:dyDescent="0.15">
      <c r="A26" s="138" t="str">
        <f>IFERROR(IF(HLOOKUP($L$5,RangeUnitsets,M26,FALSE)=0,"",HLOOKUP($L$5,RangeUnitsets,M26,FALSE)),"")</f>
        <v/>
      </c>
      <c r="B26" s="169" t="str">
        <f>IFERROR(IF(VLOOKUP(A26,TableHandbook[],2,FALSE)=0,"",VLOOKUP(A26,TableHandbook[],2,FALSE)),"")</f>
        <v/>
      </c>
      <c r="C26" s="169"/>
      <c r="D26" s="187" t="str">
        <f>IFERROR(VLOOKUP(A26,TableHandbook[],4,FALSE),"")</f>
        <v/>
      </c>
      <c r="E26" s="169" t="str">
        <f t="shared" ref="E26:E27" si="4">IF(OR(A26="",A26="-"),"",E25)</f>
        <v/>
      </c>
      <c r="F26" s="141" t="str">
        <f>IFERROR(IF(VLOOKUP(A26,TableHandbook[],6,FALSE)=0,"",VLOOKUP(A26,TableHandbook[],6,FALSE)),"")</f>
        <v/>
      </c>
      <c r="G26" s="139" t="str">
        <f>IFERROR(IF(VLOOKUP(A26,TableHandbook[],5,FALSE)=0,"",VLOOKUP(A26,TableHandbook[],5,FALSE)),"")</f>
        <v/>
      </c>
      <c r="H26" s="142" t="str">
        <f>IFERROR(VLOOKUP($A26,TableHandbook[],H$2,FALSE),"")</f>
        <v/>
      </c>
      <c r="I26" s="143" t="str">
        <f>IFERROR(VLOOKUP($A26,TableHandbook[],I$2,FALSE),"")</f>
        <v/>
      </c>
      <c r="J26" s="144" t="str">
        <f>IFERROR(VLOOKUP($A26,TableHandbook[],J$2,FALSE),"")</f>
        <v/>
      </c>
      <c r="K26" s="145" t="str">
        <f>IFERROR(VLOOKUP($A26,TableHandbook[],K$2,FALSE),"")</f>
        <v/>
      </c>
      <c r="L26" s="46"/>
      <c r="M26" s="135">
        <v>16</v>
      </c>
      <c r="N26" s="174"/>
      <c r="O26" s="174"/>
    </row>
    <row r="27" spans="1:16" s="175" customFormat="1" ht="19.5" customHeight="1" x14ac:dyDescent="0.15">
      <c r="A27" s="146" t="str">
        <f>IFERROR(IF(HLOOKUP($L$5,RangeUnitsets,M27,FALSE)=0,"",HLOOKUP($L$5,RangeUnitsets,M27,FALSE)),"")</f>
        <v/>
      </c>
      <c r="B27" s="176" t="str">
        <f>IFERROR(IF(VLOOKUP(A27,TableHandbook[],2,FALSE)=0,"",VLOOKUP(A27,TableHandbook[],2,FALSE)),"")</f>
        <v/>
      </c>
      <c r="C27" s="176"/>
      <c r="D27" s="177" t="str">
        <f>IFERROR(VLOOKUP(A27,TableHandbook[],4,FALSE),"")</f>
        <v/>
      </c>
      <c r="E27" s="147" t="str">
        <f t="shared" si="4"/>
        <v/>
      </c>
      <c r="F27" s="149" t="str">
        <f>IFERROR(IF(VLOOKUP(A27,TableHandbook[],6,FALSE)=0,"",VLOOKUP(A27,TableHandbook[],6,FALSE)),"")</f>
        <v/>
      </c>
      <c r="G27" s="147" t="str">
        <f>IFERROR(IF(VLOOKUP(A27,TableHandbook[],5,FALSE)=0,"",VLOOKUP(A27,TableHandbook[],5,FALSE)),"")</f>
        <v/>
      </c>
      <c r="H27" s="150" t="str">
        <f>IFERROR(VLOOKUP($A27,TableHandbook[],H$2,FALSE),"")</f>
        <v/>
      </c>
      <c r="I27" s="151" t="str">
        <f>IFERROR(VLOOKUP($A27,TableHandbook[],I$2,FALSE),"")</f>
        <v/>
      </c>
      <c r="J27" s="152" t="str">
        <f>IFERROR(VLOOKUP($A27,TableHandbook[],J$2,FALSE),"")</f>
        <v/>
      </c>
      <c r="K27" s="153" t="str">
        <f>IFERROR(VLOOKUP($A27,TableHandbook[],K$2,FALSE),"")</f>
        <v/>
      </c>
      <c r="L27" s="47"/>
      <c r="M27" s="135">
        <v>17</v>
      </c>
      <c r="N27" s="174"/>
      <c r="O27" s="174"/>
    </row>
    <row r="28" spans="1:16" s="196" customFormat="1" ht="13.9" customHeight="1" x14ac:dyDescent="0.2">
      <c r="A28" s="192"/>
      <c r="B28" s="192"/>
      <c r="C28" s="192"/>
      <c r="D28" s="193"/>
      <c r="E28" s="193"/>
      <c r="F28" s="194"/>
      <c r="G28" s="194"/>
      <c r="H28" s="194"/>
      <c r="I28" s="194"/>
      <c r="J28" s="194"/>
      <c r="K28" s="194"/>
      <c r="L28" s="194"/>
      <c r="M28" s="195"/>
      <c r="N28" s="195"/>
      <c r="O28" s="195"/>
    </row>
    <row r="29" spans="1:16" ht="20.25" x14ac:dyDescent="0.25">
      <c r="A29" s="197" t="s">
        <v>27</v>
      </c>
      <c r="B29" s="198"/>
      <c r="C29" s="198"/>
      <c r="D29" s="199"/>
      <c r="E29" s="200"/>
      <c r="F29" s="200"/>
      <c r="G29" s="200"/>
      <c r="H29" s="117" t="str">
        <f>H7</f>
        <v>2025 Availabilities</v>
      </c>
      <c r="I29" s="201"/>
      <c r="J29" s="202"/>
      <c r="K29" s="203"/>
      <c r="L29" s="204"/>
    </row>
    <row r="30" spans="1:16" s="211" customFormat="1" ht="21" x14ac:dyDescent="0.25">
      <c r="A30" s="114" t="s">
        <v>28</v>
      </c>
      <c r="B30" s="114"/>
      <c r="C30" s="114"/>
      <c r="D30" s="205" t="s">
        <v>3</v>
      </c>
      <c r="E30" s="114"/>
      <c r="F30" s="114" t="s">
        <v>19</v>
      </c>
      <c r="G30" s="114" t="s">
        <v>20</v>
      </c>
      <c r="H30" s="206" t="str">
        <f>H$8</f>
        <v>Sem1 BEN</v>
      </c>
      <c r="I30" s="207" t="str">
        <f t="shared" ref="I30:L30" si="5">I$8</f>
        <v>Sem1 FO</v>
      </c>
      <c r="J30" s="208" t="str">
        <f t="shared" si="5"/>
        <v>Sem2 BEN</v>
      </c>
      <c r="K30" s="209" t="str">
        <f t="shared" si="5"/>
        <v>Sem2 FO</v>
      </c>
      <c r="L30" s="210" t="str">
        <f t="shared" si="5"/>
        <v>Notes / Progress</v>
      </c>
    </row>
    <row r="31" spans="1:16" x14ac:dyDescent="0.25">
      <c r="A31" s="212" t="s">
        <v>29</v>
      </c>
      <c r="B31" s="213">
        <f>IFERROR(IF(VLOOKUP(A31,TableHandbook[],2,FALSE)=0,"",VLOOKUP(A31,TableHandbook[],2,FALSE)),"")</f>
        <v>2</v>
      </c>
      <c r="C31" s="213"/>
      <c r="D31" s="214" t="str">
        <f>IFERROR(VLOOKUP(A31,TableHandbook[],4,FALSE),"")</f>
        <v>Advanced Architectural Systems Research Applications</v>
      </c>
      <c r="E31" s="215"/>
      <c r="F31" s="215" t="str">
        <f>IFERROR(IF(VLOOKUP(A31,TableHandbook[],6,FALSE)=0,"",VLOOKUP(A31,TableHandbook[],6,FALSE)),"")</f>
        <v>None</v>
      </c>
      <c r="G31" s="215">
        <f>IFERROR(IF(VLOOKUP(A31,TableHandbook[],5,FALSE)=0,"",VLOOKUP(A31,TableHandbook[],5,FALSE)),"")</f>
        <v>25</v>
      </c>
      <c r="H31" s="142" t="str">
        <f>IFERROR(VLOOKUP($A31,TableHandbook[],H$2,FALSE),"")</f>
        <v/>
      </c>
      <c r="I31" s="143" t="str">
        <f>IFERROR(VLOOKUP($A31,TableHandbook[],I$2,FALSE),"")</f>
        <v/>
      </c>
      <c r="J31" s="144" t="str">
        <f>IFERROR(VLOOKUP($A31,TableHandbook[],J$2,FALSE),"")</f>
        <v>Y</v>
      </c>
      <c r="K31" s="145" t="str">
        <f>IFERROR(VLOOKUP($A31,TableHandbook[],K$2,FALSE),"")</f>
        <v/>
      </c>
      <c r="L31" s="51"/>
      <c r="M31" s="135" t="s">
        <v>30</v>
      </c>
    </row>
    <row r="32" spans="1:16" x14ac:dyDescent="0.25">
      <c r="A32" s="212" t="s">
        <v>31</v>
      </c>
      <c r="B32" s="213">
        <f>IFERROR(IF(VLOOKUP(A32,TableHandbook[],2,FALSE)=0,"",VLOOKUP(A32,TableHandbook[],2,FALSE)),"")</f>
        <v>1</v>
      </c>
      <c r="C32" s="213"/>
      <c r="D32" s="214" t="str">
        <f>IFERROR(VLOOKUP(A32,TableHandbook[],4,FALSE),"")</f>
        <v>Design Paradigms</v>
      </c>
      <c r="E32" s="215"/>
      <c r="F32" s="215" t="str">
        <f>IFERROR(IF(VLOOKUP(A32,TableHandbook[],6,FALSE)=0,"",VLOOKUP(A32,TableHandbook[],6,FALSE)),"")</f>
        <v>None</v>
      </c>
      <c r="G32" s="215">
        <f>IFERROR(IF(VLOOKUP(A32,TableHandbook[],5,FALSE)=0,"",VLOOKUP(A32,TableHandbook[],5,FALSE)),"")</f>
        <v>25</v>
      </c>
      <c r="H32" s="142" t="str">
        <f>IFERROR(VLOOKUP($A32,TableHandbook[],H$2,FALSE),"")</f>
        <v/>
      </c>
      <c r="I32" s="143" t="str">
        <f>IFERROR(VLOOKUP($A32,TableHandbook[],I$2,FALSE),"")</f>
        <v/>
      </c>
      <c r="J32" s="144" t="str">
        <f>IFERROR(VLOOKUP($A32,TableHandbook[],J$2,FALSE),"")</f>
        <v>Y</v>
      </c>
      <c r="K32" s="145" t="str">
        <f>IFERROR(VLOOKUP($A32,TableHandbook[],K$2,FALSE),"")</f>
        <v/>
      </c>
      <c r="L32" s="51"/>
      <c r="M32" s="135" t="s">
        <v>32</v>
      </c>
    </row>
    <row r="33" spans="1:13" x14ac:dyDescent="0.25">
      <c r="A33" s="212" t="s">
        <v>33</v>
      </c>
      <c r="B33" s="213">
        <f>IFERROR(IF(VLOOKUP(A33,TableHandbook[],2,FALSE)=0,"",VLOOKUP(A33,TableHandbook[],2,FALSE)),"")</f>
        <v>1</v>
      </c>
      <c r="C33" s="213"/>
      <c r="D33" s="214" t="str">
        <f>IFERROR(VLOOKUP(A33,TableHandbook[],4,FALSE),"")</f>
        <v>Design Entrepreneurship</v>
      </c>
      <c r="E33" s="215"/>
      <c r="F33" s="215" t="str">
        <f>IFERROR(IF(VLOOKUP(A33,TableHandbook[],6,FALSE)=0,"",VLOOKUP(A33,TableHandbook[],6,FALSE)),"")</f>
        <v>None</v>
      </c>
      <c r="G33" s="215">
        <f>IFERROR(IF(VLOOKUP(A33,TableHandbook[],5,FALSE)=0,"",VLOOKUP(A33,TableHandbook[],5,FALSE)),"")</f>
        <v>25</v>
      </c>
      <c r="H33" s="142" t="str">
        <f>IFERROR(VLOOKUP($A33,TableHandbook[],H$2,FALSE),"")</f>
        <v/>
      </c>
      <c r="I33" s="143" t="str">
        <f>IFERROR(VLOOKUP($A33,TableHandbook[],I$2,FALSE),"")</f>
        <v/>
      </c>
      <c r="J33" s="144" t="str">
        <f>IFERROR(VLOOKUP($A33,TableHandbook[],J$2,FALSE),"")</f>
        <v>Y</v>
      </c>
      <c r="K33" s="145" t="str">
        <f>IFERROR(VLOOKUP($A33,TableHandbook[],K$2,FALSE),"")</f>
        <v/>
      </c>
      <c r="L33" s="51"/>
      <c r="M33" s="135" t="s">
        <v>34</v>
      </c>
    </row>
    <row r="34" spans="1:13" x14ac:dyDescent="0.25">
      <c r="A34" s="212" t="s">
        <v>35</v>
      </c>
      <c r="B34" s="213">
        <f>IFERROR(IF(VLOOKUP(A34,TableHandbook[],2,FALSE)=0,"",VLOOKUP(A34,TableHandbook[],2,FALSE)),"")</f>
        <v>1</v>
      </c>
      <c r="C34" s="213"/>
      <c r="D34" s="214" t="str">
        <f>IFERROR(VLOOKUP(A34,TableHandbook[],4,FALSE),"")</f>
        <v>Future Interfaces</v>
      </c>
      <c r="E34" s="215"/>
      <c r="F34" s="215" t="str">
        <f>IFERROR(IF(VLOOKUP(A34,TableHandbook[],6,FALSE)=0,"",VLOOKUP(A34,TableHandbook[],6,FALSE)),"")</f>
        <v>None</v>
      </c>
      <c r="G34" s="215">
        <f>IFERROR(IF(VLOOKUP(A34,TableHandbook[],5,FALSE)=0,"",VLOOKUP(A34,TableHandbook[],5,FALSE)),"")</f>
        <v>25</v>
      </c>
      <c r="H34" s="142" t="str">
        <f>IFERROR(VLOOKUP($A34,TableHandbook[],H$2,FALSE),"")</f>
        <v/>
      </c>
      <c r="I34" s="143" t="str">
        <f>IFERROR(VLOOKUP($A34,TableHandbook[],I$2,FALSE),"")</f>
        <v/>
      </c>
      <c r="J34" s="144" t="str">
        <f>IFERROR(VLOOKUP($A34,TableHandbook[],J$2,FALSE),"")</f>
        <v>Y</v>
      </c>
      <c r="K34" s="145" t="str">
        <f>IFERROR(VLOOKUP($A34,TableHandbook[],K$2,FALSE),"")</f>
        <v/>
      </c>
      <c r="L34" s="51"/>
      <c r="M34" s="135" t="s">
        <v>32</v>
      </c>
    </row>
    <row r="35" spans="1:13" x14ac:dyDescent="0.25">
      <c r="A35" s="212" t="s">
        <v>36</v>
      </c>
      <c r="B35" s="213">
        <f>IFERROR(IF(VLOOKUP(A35,TableHandbook[],2,FALSE)=0,"",VLOOKUP(A35,TableHandbook[],2,FALSE)),"")</f>
        <v>1</v>
      </c>
      <c r="C35" s="213"/>
      <c r="D35" s="214" t="str">
        <f>IFERROR(VLOOKUP(A35,TableHandbook[],4,FALSE),"")</f>
        <v>Project Management Overview</v>
      </c>
      <c r="E35" s="215"/>
      <c r="F35" s="215" t="str">
        <f>IFERROR(IF(VLOOKUP(A35,TableHandbook[],6,FALSE)=0,"",VLOOKUP(A35,TableHandbook[],6,FALSE)),"")</f>
        <v>None</v>
      </c>
      <c r="G35" s="215">
        <f>IFERROR(IF(VLOOKUP(A35,TableHandbook[],5,FALSE)=0,"",VLOOKUP(A35,TableHandbook[],5,FALSE)),"")</f>
        <v>25</v>
      </c>
      <c r="H35" s="142" t="str">
        <f>IFERROR(VLOOKUP($A35,TableHandbook[],H$2,FALSE),"")</f>
        <v>Y</v>
      </c>
      <c r="I35" s="143" t="str">
        <f>IFERROR(VLOOKUP($A35,TableHandbook[],I$2,FALSE),"")</f>
        <v>Y</v>
      </c>
      <c r="J35" s="144" t="str">
        <f>IFERROR(VLOOKUP($A35,TableHandbook[],J$2,FALSE),"")</f>
        <v>Y</v>
      </c>
      <c r="K35" s="145" t="str">
        <f>IFERROR(VLOOKUP($A35,TableHandbook[],K$2,FALSE),"")</f>
        <v>Y</v>
      </c>
      <c r="L35" s="51"/>
      <c r="M35" s="135" t="s">
        <v>37</v>
      </c>
    </row>
    <row r="36" spans="1:13" x14ac:dyDescent="0.25">
      <c r="A36" s="212" t="s">
        <v>38</v>
      </c>
      <c r="B36" s="213">
        <f>IFERROR(IF(VLOOKUP(A36,TableHandbook[],2,FALSE)=0,"",VLOOKUP(A36,TableHandbook[],2,FALSE)),"")</f>
        <v>1</v>
      </c>
      <c r="C36" s="213"/>
      <c r="D36" s="214" t="str">
        <f>IFERROR(VLOOKUP(A36,TableHandbook[],4,FALSE),"")</f>
        <v>Project Cost Management</v>
      </c>
      <c r="E36" s="215"/>
      <c r="F36" s="215" t="str">
        <f>IFERROR(IF(VLOOKUP(A36,TableHandbook[],6,FALSE)=0,"",VLOOKUP(A36,TableHandbook[],6,FALSE)),"")</f>
        <v>None</v>
      </c>
      <c r="G36" s="215">
        <f>IFERROR(IF(VLOOKUP(A36,TableHandbook[],5,FALSE)=0,"",VLOOKUP(A36,TableHandbook[],5,FALSE)),"")</f>
        <v>25</v>
      </c>
      <c r="H36" s="142" t="str">
        <f>IFERROR(VLOOKUP($A36,TableHandbook[],H$2,FALSE),"")</f>
        <v>Y</v>
      </c>
      <c r="I36" s="143" t="str">
        <f>IFERROR(VLOOKUP($A36,TableHandbook[],I$2,FALSE),"")</f>
        <v>Y</v>
      </c>
      <c r="J36" s="144" t="str">
        <f>IFERROR(VLOOKUP($A36,TableHandbook[],J$2,FALSE),"")</f>
        <v>Y</v>
      </c>
      <c r="K36" s="145" t="str">
        <f>IFERROR(VLOOKUP($A36,TableHandbook[],K$2,FALSE),"")</f>
        <v>Y</v>
      </c>
      <c r="L36" s="51"/>
      <c r="M36" s="135" t="s">
        <v>39</v>
      </c>
    </row>
    <row r="37" spans="1:13" x14ac:dyDescent="0.25">
      <c r="A37" s="212" t="s">
        <v>40</v>
      </c>
      <c r="B37" s="213">
        <f>IFERROR(IF(VLOOKUP(A37,TableHandbook[],2,FALSE)=0,"",VLOOKUP(A37,TableHandbook[],2,FALSE)),"")</f>
        <v>2</v>
      </c>
      <c r="C37" s="213"/>
      <c r="D37" s="214" t="str">
        <f>IFERROR(VLOOKUP(A37,TableHandbook[],4,FALSE),"")</f>
        <v>Project Planning and Schedule Management</v>
      </c>
      <c r="E37" s="215"/>
      <c r="F37" s="215" t="str">
        <f>IFERROR(IF(VLOOKUP(A37,TableHandbook[],6,FALSE)=0,"",VLOOKUP(A37,TableHandbook[],6,FALSE)),"")</f>
        <v>None</v>
      </c>
      <c r="G37" s="215">
        <f>IFERROR(IF(VLOOKUP(A37,TableHandbook[],5,FALSE)=0,"",VLOOKUP(A37,TableHandbook[],5,FALSE)),"")</f>
        <v>25</v>
      </c>
      <c r="H37" s="142" t="str">
        <f>IFERROR(VLOOKUP($A37,TableHandbook[],H$2,FALSE),"")</f>
        <v>Y</v>
      </c>
      <c r="I37" s="143" t="str">
        <f>IFERROR(VLOOKUP($A37,TableHandbook[],I$2,FALSE),"")</f>
        <v>Y</v>
      </c>
      <c r="J37" s="144" t="str">
        <f>IFERROR(VLOOKUP($A37,TableHandbook[],J$2,FALSE),"")</f>
        <v>Y</v>
      </c>
      <c r="K37" s="145" t="str">
        <f>IFERROR(VLOOKUP($A37,TableHandbook[],K$2,FALSE),"")</f>
        <v>Y</v>
      </c>
      <c r="L37" s="51"/>
      <c r="M37" s="135"/>
    </row>
    <row r="38" spans="1:13" x14ac:dyDescent="0.25">
      <c r="A38" s="212" t="s">
        <v>41</v>
      </c>
      <c r="B38" s="213">
        <f>IFERROR(IF(VLOOKUP(A38,TableHandbook[],2,FALSE)=0,"",VLOOKUP(A38,TableHandbook[],2,FALSE)),"")</f>
        <v>1</v>
      </c>
      <c r="C38" s="213"/>
      <c r="D38" s="214" t="str">
        <f>IFERROR(VLOOKUP(A38,TableHandbook[],4,FALSE),"")</f>
        <v>Project and People</v>
      </c>
      <c r="E38" s="215"/>
      <c r="F38" s="215" t="str">
        <f>IFERROR(IF(VLOOKUP(A38,TableHandbook[],6,FALSE)=0,"",VLOOKUP(A38,TableHandbook[],6,FALSE)),"")</f>
        <v>None</v>
      </c>
      <c r="G38" s="215">
        <f>IFERROR(IF(VLOOKUP(A38,TableHandbook[],5,FALSE)=0,"",VLOOKUP(A38,TableHandbook[],5,FALSE)),"")</f>
        <v>25</v>
      </c>
      <c r="H38" s="142" t="str">
        <f>IFERROR(VLOOKUP($A38,TableHandbook[],H$2,FALSE),"")</f>
        <v>Y</v>
      </c>
      <c r="I38" s="143" t="str">
        <f>IFERROR(VLOOKUP($A38,TableHandbook[],I$2,FALSE),"")</f>
        <v>Y</v>
      </c>
      <c r="J38" s="144" t="str">
        <f>IFERROR(VLOOKUP($A38,TableHandbook[],J$2,FALSE),"")</f>
        <v>Y</v>
      </c>
      <c r="K38" s="145" t="str">
        <f>IFERROR(VLOOKUP($A38,TableHandbook[],K$2,FALSE),"")</f>
        <v>Y</v>
      </c>
      <c r="L38" s="51"/>
      <c r="M38" s="135" t="s">
        <v>42</v>
      </c>
    </row>
    <row r="39" spans="1:13" x14ac:dyDescent="0.25">
      <c r="A39" s="212" t="s">
        <v>43</v>
      </c>
      <c r="B39" s="213">
        <f>IFERROR(IF(VLOOKUP(A39,TableHandbook[],2,FALSE)=0,"",VLOOKUP(A39,TableHandbook[],2,FALSE)),"")</f>
        <v>2</v>
      </c>
      <c r="C39" s="213"/>
      <c r="D39" s="214" t="str">
        <f>IFERROR(VLOOKUP(A39,TableHandbook[],4,FALSE),"")</f>
        <v>Pathways to a Climate Resilient Society</v>
      </c>
      <c r="E39" s="215"/>
      <c r="F39" s="215" t="str">
        <f>IFERROR(IF(VLOOKUP(A39,TableHandbook[],6,FALSE)=0,"",VLOOKUP(A39,TableHandbook[],6,FALSE)),"")</f>
        <v>None</v>
      </c>
      <c r="G39" s="215">
        <f>IFERROR(IF(VLOOKUP(A39,TableHandbook[],5,FALSE)=0,"",VLOOKUP(A39,TableHandbook[],5,FALSE)),"")</f>
        <v>25</v>
      </c>
      <c r="H39" s="142" t="str">
        <f>IFERROR(VLOOKUP($A39,TableHandbook[],H$2,FALSE),"")</f>
        <v/>
      </c>
      <c r="I39" s="143" t="str">
        <f>IFERROR(VLOOKUP($A39,TableHandbook[],I$2,FALSE),"")</f>
        <v/>
      </c>
      <c r="J39" s="144" t="str">
        <f>IFERROR(VLOOKUP($A39,TableHandbook[],J$2,FALSE),"")</f>
        <v>Y</v>
      </c>
      <c r="K39" s="145" t="str">
        <f>IFERROR(VLOOKUP($A39,TableHandbook[],K$2,FALSE),"")</f>
        <v>Y</v>
      </c>
      <c r="L39" s="51"/>
      <c r="M39" s="135" t="s">
        <v>37</v>
      </c>
    </row>
    <row r="40" spans="1:13" x14ac:dyDescent="0.25">
      <c r="A40" s="212" t="s">
        <v>44</v>
      </c>
      <c r="B40" s="213">
        <f>IFERROR(IF(VLOOKUP(A40,TableHandbook[],2,FALSE)=0,"",VLOOKUP(A40,TableHandbook[],2,FALSE)),"")</f>
        <v>2</v>
      </c>
      <c r="C40" s="213"/>
      <c r="D40" s="214" t="str">
        <f>IFERROR(VLOOKUP(A40,TableHandbook[],4,FALSE),"")</f>
        <v>Future Cities</v>
      </c>
      <c r="E40" s="215"/>
      <c r="F40" s="215" t="str">
        <f>IFERROR(IF(VLOOKUP(A40,TableHandbook[],6,FALSE)=0,"",VLOOKUP(A40,TableHandbook[],6,FALSE)),"")</f>
        <v>None</v>
      </c>
      <c r="G40" s="215">
        <f>IFERROR(IF(VLOOKUP(A40,TableHandbook[],5,FALSE)=0,"",VLOOKUP(A40,TableHandbook[],5,FALSE)),"")</f>
        <v>25</v>
      </c>
      <c r="H40" s="142" t="str">
        <f>IFERROR(VLOOKUP($A40,TableHandbook[],H$2,FALSE),"")</f>
        <v>Y</v>
      </c>
      <c r="I40" s="143" t="str">
        <f>IFERROR(VLOOKUP($A40,TableHandbook[],I$2,FALSE),"")</f>
        <v>Y</v>
      </c>
      <c r="J40" s="144" t="str">
        <f>IFERROR(VLOOKUP($A40,TableHandbook[],J$2,FALSE),"")</f>
        <v/>
      </c>
      <c r="K40" s="145" t="str">
        <f>IFERROR(VLOOKUP($A40,TableHandbook[],K$2,FALSE),"")</f>
        <v/>
      </c>
      <c r="L40" s="51"/>
      <c r="M40" s="135" t="s">
        <v>30</v>
      </c>
    </row>
    <row r="41" spans="1:13" x14ac:dyDescent="0.25">
      <c r="A41" s="212" t="s">
        <v>45</v>
      </c>
      <c r="B41" s="213">
        <f>IFERROR(IF(VLOOKUP(A41,TableHandbook[],2,FALSE)=0,"",VLOOKUP(A41,TableHandbook[],2,FALSE)),"")</f>
        <v>1</v>
      </c>
      <c r="C41" s="213"/>
      <c r="D41" s="214" t="str">
        <f>IFERROR(VLOOKUP(A41,TableHandbook[],4,FALSE),"")</f>
        <v>Climate Policy</v>
      </c>
      <c r="E41" s="215"/>
      <c r="F41" s="215" t="str">
        <f>IFERROR(IF(VLOOKUP(A41,TableHandbook[],6,FALSE)=0,"",VLOOKUP(A41,TableHandbook[],6,FALSE)),"")</f>
        <v>None</v>
      </c>
      <c r="G41" s="215">
        <f>IFERROR(IF(VLOOKUP(A41,TableHandbook[],5,FALSE)=0,"",VLOOKUP(A41,TableHandbook[],5,FALSE)),"")</f>
        <v>25</v>
      </c>
      <c r="H41" s="142" t="str">
        <f>IFERROR(VLOOKUP($A41,TableHandbook[],H$2,FALSE),"")</f>
        <v/>
      </c>
      <c r="I41" s="143" t="str">
        <f>IFERROR(VLOOKUP($A41,TableHandbook[],I$2,FALSE),"")</f>
        <v/>
      </c>
      <c r="J41" s="144" t="str">
        <f>IFERROR(VLOOKUP($A41,TableHandbook[],J$2,FALSE),"")</f>
        <v>Y</v>
      </c>
      <c r="K41" s="145" t="str">
        <f>IFERROR(VLOOKUP($A41,TableHandbook[],K$2,FALSE),"")</f>
        <v>Y</v>
      </c>
      <c r="L41" s="51"/>
      <c r="M41" s="135" t="s">
        <v>32</v>
      </c>
    </row>
    <row r="42" spans="1:13" x14ac:dyDescent="0.25">
      <c r="A42" s="212" t="s">
        <v>46</v>
      </c>
      <c r="B42" s="213">
        <f>IFERROR(IF(VLOOKUP(A42,TableHandbook[],2,FALSE)=0,"",VLOOKUP(A42,TableHandbook[],2,FALSE)),"")</f>
        <v>2</v>
      </c>
      <c r="C42" s="213"/>
      <c r="D42" s="214" t="str">
        <f>IFERROR(VLOOKUP(A42,TableHandbook[],4,FALSE),"")</f>
        <v>People and Planet</v>
      </c>
      <c r="E42" s="215"/>
      <c r="F42" s="215" t="str">
        <f>IFERROR(IF(VLOOKUP(A42,TableHandbook[],6,FALSE)=0,"",VLOOKUP(A42,TableHandbook[],6,FALSE)),"")</f>
        <v>None</v>
      </c>
      <c r="G42" s="215">
        <f>IFERROR(IF(VLOOKUP(A42,TableHandbook[],5,FALSE)=0,"",VLOOKUP(A42,TableHandbook[],5,FALSE)),"")</f>
        <v>25</v>
      </c>
      <c r="H42" s="142" t="str">
        <f>IFERROR(VLOOKUP($A42,TableHandbook[],H$2,FALSE),"")</f>
        <v/>
      </c>
      <c r="I42" s="143" t="str">
        <f>IFERROR(VLOOKUP($A42,TableHandbook[],I$2,FALSE),"")</f>
        <v/>
      </c>
      <c r="J42" s="144" t="str">
        <f>IFERROR(VLOOKUP($A42,TableHandbook[],J$2,FALSE),"")</f>
        <v>Y</v>
      </c>
      <c r="K42" s="145" t="str">
        <f>IFERROR(VLOOKUP($A42,TableHandbook[],K$2,FALSE),"")</f>
        <v>Y</v>
      </c>
      <c r="L42" s="51"/>
      <c r="M42" s="135"/>
    </row>
    <row r="43" spans="1:13" x14ac:dyDescent="0.25">
      <c r="A43" s="212" t="s">
        <v>47</v>
      </c>
      <c r="B43" s="213">
        <f>IFERROR(IF(VLOOKUP(A43,TableHandbook[],2,FALSE)=0,"",VLOOKUP(A43,TableHandbook[],2,FALSE)),"")</f>
        <v>1</v>
      </c>
      <c r="C43" s="213"/>
      <c r="D43" s="214" t="str">
        <f>IFERROR(VLOOKUP(A43,TableHandbook[],4,FALSE),"")</f>
        <v>Participatory Planning</v>
      </c>
      <c r="E43" s="215"/>
      <c r="F43" s="215" t="str">
        <f>IFERROR(IF(VLOOKUP(A43,TableHandbook[],6,FALSE)=0,"",VLOOKUP(A43,TableHandbook[],6,FALSE)),"")</f>
        <v>None</v>
      </c>
      <c r="G43" s="215">
        <f>IFERROR(IF(VLOOKUP(A43,TableHandbook[],5,FALSE)=0,"",VLOOKUP(A43,TableHandbook[],5,FALSE)),"")</f>
        <v>25</v>
      </c>
      <c r="H43" s="142" t="str">
        <f>IFERROR(VLOOKUP($A43,TableHandbook[],H$2,FALSE),"")</f>
        <v/>
      </c>
      <c r="I43" s="143" t="str">
        <f>IFERROR(VLOOKUP($A43,TableHandbook[],I$2,FALSE),"")</f>
        <v/>
      </c>
      <c r="J43" s="144" t="str">
        <f>IFERROR(VLOOKUP($A43,TableHandbook[],J$2,FALSE),"")</f>
        <v>Y</v>
      </c>
      <c r="K43" s="145" t="str">
        <f>IFERROR(VLOOKUP($A43,TableHandbook[],K$2,FALSE),"")</f>
        <v/>
      </c>
      <c r="L43" s="51"/>
      <c r="M43" s="135"/>
    </row>
    <row r="44" spans="1:13" x14ac:dyDescent="0.25">
      <c r="A44" s="212" t="s">
        <v>48</v>
      </c>
      <c r="B44" s="213">
        <f>IFERROR(IF(VLOOKUP(A44,TableHandbook[],2,FALSE)=0,"",VLOOKUP(A44,TableHandbook[],2,FALSE)),"")</f>
        <v>3</v>
      </c>
      <c r="C44" s="213"/>
      <c r="D44" s="214" t="str">
        <f>IFERROR(VLOOKUP(A44,TableHandbook[],4,FALSE),"")</f>
        <v>Planning Theory and Context</v>
      </c>
      <c r="E44" s="215"/>
      <c r="F44" s="215" t="str">
        <f>IFERROR(IF(VLOOKUP(A44,TableHandbook[],6,FALSE)=0,"",VLOOKUP(A44,TableHandbook[],6,FALSE)),"")</f>
        <v>None</v>
      </c>
      <c r="G44" s="215">
        <f>IFERROR(IF(VLOOKUP(A44,TableHandbook[],5,FALSE)=0,"",VLOOKUP(A44,TableHandbook[],5,FALSE)),"")</f>
        <v>25</v>
      </c>
      <c r="H44" s="142" t="str">
        <f>IFERROR(VLOOKUP($A44,TableHandbook[],H$2,FALSE),"")</f>
        <v>Y</v>
      </c>
      <c r="I44" s="143" t="str">
        <f>IFERROR(VLOOKUP($A44,TableHandbook[],I$2,FALSE),"")</f>
        <v/>
      </c>
      <c r="J44" s="144" t="str">
        <f>IFERROR(VLOOKUP($A44,TableHandbook[],J$2,FALSE),"")</f>
        <v/>
      </c>
      <c r="K44" s="145" t="str">
        <f>IFERROR(VLOOKUP($A44,TableHandbook[],K$2,FALSE),"")</f>
        <v/>
      </c>
      <c r="L44" s="51"/>
      <c r="M44" s="135"/>
    </row>
    <row r="45" spans="1:13" x14ac:dyDescent="0.25">
      <c r="A45" s="212" t="s">
        <v>49</v>
      </c>
      <c r="B45" s="213">
        <f>IFERROR(IF(VLOOKUP(A45,TableHandbook[],2,FALSE)=0,"",VLOOKUP(A45,TableHandbook[],2,FALSE)),"")</f>
        <v>2</v>
      </c>
      <c r="C45" s="213"/>
      <c r="D45" s="214" t="str">
        <f>IFERROR(VLOOKUP(A45,TableHandbook[],4,FALSE),"")</f>
        <v>Development Outcomes</v>
      </c>
      <c r="E45" s="215"/>
      <c r="F45" s="215" t="str">
        <f>IFERROR(IF(VLOOKUP(A45,TableHandbook[],6,FALSE)=0,"",VLOOKUP(A45,TableHandbook[],6,FALSE)),"")</f>
        <v>None</v>
      </c>
      <c r="G45" s="215">
        <f>IFERROR(IF(VLOOKUP(A45,TableHandbook[],5,FALSE)=0,"",VLOOKUP(A45,TableHandbook[],5,FALSE)),"")</f>
        <v>25</v>
      </c>
      <c r="H45" s="142" t="str">
        <f>IFERROR(VLOOKUP($A45,TableHandbook[],H$2,FALSE),"")</f>
        <v/>
      </c>
      <c r="I45" s="143" t="str">
        <f>IFERROR(VLOOKUP($A45,TableHandbook[],I$2,FALSE),"")</f>
        <v/>
      </c>
      <c r="J45" s="144" t="str">
        <f>IFERROR(VLOOKUP($A45,TableHandbook[],J$2,FALSE),"")</f>
        <v>Y</v>
      </c>
      <c r="K45" s="145" t="str">
        <f>IFERROR(VLOOKUP($A45,TableHandbook[],K$2,FALSE),"")</f>
        <v/>
      </c>
      <c r="L45" s="51"/>
      <c r="M45" s="135"/>
    </row>
    <row r="46" spans="1:13" x14ac:dyDescent="0.25">
      <c r="A46" s="212" t="s">
        <v>50</v>
      </c>
      <c r="B46" s="213">
        <f>IFERROR(IF(VLOOKUP(A46,TableHandbook[],2,FALSE)=0,"",VLOOKUP(A46,TableHandbook[],2,FALSE)),"")</f>
        <v>1</v>
      </c>
      <c r="C46" s="213"/>
      <c r="D46" s="214" t="str">
        <f>IFERROR(VLOOKUP(A46,TableHandbook[],4,FALSE),"")</f>
        <v>Work Based Project (with approval)</v>
      </c>
      <c r="E46" s="215"/>
      <c r="F46" s="215" t="str">
        <f>IFERROR(IF(VLOOKUP(A46,TableHandbook[],6,FALSE)=0,"",VLOOKUP(A46,TableHandbook[],6,FALSE)),"")</f>
        <v>Contact Course Coordinator</v>
      </c>
      <c r="G46" s="215">
        <f>IFERROR(IF(VLOOKUP(A46,TableHandbook[],5,FALSE)=0,"",VLOOKUP(A46,TableHandbook[],5,FALSE)),"")</f>
        <v>25</v>
      </c>
      <c r="H46" s="142" t="str">
        <f>IFERROR(VLOOKUP($A46,TableHandbook[],H$2,FALSE),"")</f>
        <v/>
      </c>
      <c r="I46" s="143" t="str">
        <f>IFERROR(VLOOKUP($A46,TableHandbook[],I$2,FALSE),"")</f>
        <v/>
      </c>
      <c r="J46" s="144" t="str">
        <f>IFERROR(VLOOKUP($A46,TableHandbook[],J$2,FALSE),"")</f>
        <v/>
      </c>
      <c r="K46" s="145" t="str">
        <f>IFERROR(VLOOKUP($A46,TableHandbook[],K$2,FALSE),"")</f>
        <v/>
      </c>
      <c r="L46" s="52"/>
      <c r="M46" s="135"/>
    </row>
    <row r="47" spans="1:13" x14ac:dyDescent="0.25">
      <c r="A47" s="212" t="s">
        <v>51</v>
      </c>
      <c r="B47" s="213">
        <f>IFERROR(IF(VLOOKUP(A47,TableHandbook[],2,FALSE)=0,"",VLOOKUP(A47,TableHandbook[],2,FALSE)),"")</f>
        <v>2</v>
      </c>
      <c r="C47" s="213"/>
      <c r="D47" s="214" t="str">
        <f>IFERROR(VLOOKUP(A47,TableHandbook[],4,FALSE),"")</f>
        <v>International Study Tour (with approval)</v>
      </c>
      <c r="E47" s="215"/>
      <c r="F47" s="215" t="str">
        <f>IFERROR(IF(VLOOKUP(A47,TableHandbook[],6,FALSE)=0,"",VLOOKUP(A47,TableHandbook[],6,FALSE)),"")</f>
        <v>Contact Course Coordinator</v>
      </c>
      <c r="G47" s="215">
        <f>IFERROR(IF(VLOOKUP(A47,TableHandbook[],5,FALSE)=0,"",VLOOKUP(A47,TableHandbook[],5,FALSE)),"")</f>
        <v>25</v>
      </c>
      <c r="H47" s="142" t="str">
        <f>IFERROR(VLOOKUP($A47,TableHandbook[],H$2,FALSE),"")</f>
        <v/>
      </c>
      <c r="I47" s="151" t="str">
        <f>IFERROR(VLOOKUP($A47,TableHandbook[],I$2,FALSE),"")</f>
        <v/>
      </c>
      <c r="J47" s="152" t="str">
        <f>IFERROR(VLOOKUP($A47,TableHandbook[],J$2,FALSE),"")</f>
        <v/>
      </c>
      <c r="K47" s="145" t="str">
        <f>IFERROR(VLOOKUP($A47,TableHandbook[],K$2,FALSE),"")</f>
        <v/>
      </c>
      <c r="L47" s="52"/>
      <c r="M47" s="135"/>
    </row>
    <row r="48" spans="1:13" ht="15.75" x14ac:dyDescent="0.25">
      <c r="A48" s="216"/>
      <c r="B48" s="216"/>
      <c r="C48" s="216"/>
      <c r="D48" s="216"/>
      <c r="E48" s="216"/>
      <c r="F48" s="216"/>
      <c r="G48" s="216"/>
      <c r="H48" s="216"/>
      <c r="I48" s="216"/>
      <c r="J48" s="216"/>
      <c r="K48" s="216"/>
      <c r="L48" s="216"/>
    </row>
    <row r="49" spans="1:15" ht="32.25" customHeight="1" x14ac:dyDescent="0.25">
      <c r="A49" s="217" t="s">
        <v>52</v>
      </c>
      <c r="B49" s="217"/>
      <c r="C49" s="217"/>
      <c r="D49" s="217"/>
      <c r="E49" s="217"/>
      <c r="F49" s="217"/>
      <c r="G49" s="217"/>
      <c r="H49" s="217"/>
      <c r="I49" s="217"/>
      <c r="J49" s="217"/>
      <c r="K49" s="217"/>
      <c r="L49" s="217"/>
    </row>
    <row r="50" spans="1:15" s="219" customFormat="1" ht="24.95" customHeight="1" x14ac:dyDescent="0.3">
      <c r="A50" s="43" t="s">
        <v>53</v>
      </c>
      <c r="B50" s="43"/>
      <c r="C50" s="43"/>
      <c r="D50" s="44"/>
      <c r="E50" s="44"/>
      <c r="F50" s="44"/>
      <c r="G50" s="44"/>
      <c r="H50" s="44"/>
      <c r="I50" s="44"/>
      <c r="J50" s="44"/>
      <c r="K50" s="44"/>
      <c r="L50" s="44"/>
      <c r="M50" s="218"/>
      <c r="N50" s="218"/>
      <c r="O50" s="218"/>
    </row>
    <row r="51" spans="1:15" ht="15" customHeight="1" x14ac:dyDescent="0.25">
      <c r="A51" s="220" t="s">
        <v>54</v>
      </c>
      <c r="B51" s="220"/>
      <c r="C51" s="220"/>
      <c r="D51" s="220"/>
      <c r="E51" s="221"/>
      <c r="F51" s="194"/>
      <c r="G51" s="222"/>
      <c r="H51" s="222"/>
      <c r="I51" s="222"/>
      <c r="J51" s="222"/>
      <c r="K51" s="222"/>
      <c r="L51" s="222" t="s">
        <v>55</v>
      </c>
    </row>
  </sheetData>
  <sheetProtection algorithmName="SHA-512" hashValue="YMNOOFvrTUEHEOQwB93YkgofeFhFJKlu3SANdvIJN2NXjIBqpY0fxth9XLkaLYp6+epvLQeubkELG1zoaerAlw==" saltValue="EkF5HziNK6RHZLIIKKiC6Q==" spinCount="100000" sheet="1" objects="1" scenarios="1" formatCells="0"/>
  <mergeCells count="2">
    <mergeCell ref="A3:D3"/>
    <mergeCell ref="A49:L49"/>
  </mergeCells>
  <conditionalFormatting sqref="D5:D6">
    <cfRule type="containsText" dxfId="6" priority="4" operator="containsText" text="Choose">
      <formula>NOT(ISERROR(SEARCH("Choose",D5)))</formula>
    </cfRule>
  </conditionalFormatting>
  <conditionalFormatting sqref="H9:K17 H19:K27">
    <cfRule type="expression" dxfId="5" priority="1">
      <formula>$E9=LEFT(H$8,4)</formula>
    </cfRule>
  </conditionalFormatting>
  <dataValidations count="1">
    <dataValidation type="list" allowBlank="1" showInputMessage="1" showErrorMessage="1" sqref="L23 L13" xr:uid="{00000000-0002-0000-0000-000000000000}"/>
  </dataValidations>
  <hyperlinks>
    <hyperlink ref="A50:L50"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27" max="11"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Unitsets!$A$10:$A$12</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7"/>
  <sheetViews>
    <sheetView zoomScale="85" zoomScaleNormal="85" workbookViewId="0">
      <selection activeCell="D28" sqref="D28"/>
    </sheetView>
  </sheetViews>
  <sheetFormatPr defaultRowHeight="15.75" x14ac:dyDescent="0.25"/>
  <cols>
    <col min="1" max="1" width="55" style="13" customWidth="1"/>
    <col min="2" max="2" width="8.625" style="8" bestFit="1" customWidth="1"/>
    <col min="3" max="3" width="12.75" style="8" bestFit="1" customWidth="1"/>
    <col min="4" max="4" width="17.375" style="8" bestFit="1" customWidth="1"/>
    <col min="5" max="5" width="14.875" style="8" bestFit="1" customWidth="1"/>
    <col min="6" max="6" width="19.125" style="8" bestFit="1" customWidth="1"/>
    <col min="7" max="7" width="19.375" style="8" bestFit="1" customWidth="1"/>
    <col min="8" max="8" width="16.625" style="8" bestFit="1" customWidth="1"/>
    <col min="9" max="9" width="13.125" style="8" customWidth="1"/>
    <col min="10" max="10" width="12.25" style="8" bestFit="1" customWidth="1"/>
    <col min="11" max="11" width="3.625" customWidth="1"/>
    <col min="12" max="12" width="6.625" customWidth="1"/>
    <col min="13" max="13" width="9" customWidth="1"/>
    <col min="14" max="14" width="6.625" customWidth="1"/>
    <col min="15" max="15" width="9" customWidth="1"/>
    <col min="16" max="16" width="6.625" customWidth="1"/>
    <col min="17" max="17" width="4.375" customWidth="1"/>
  </cols>
  <sheetData>
    <row r="1" spans="1:17" x14ac:dyDescent="0.25">
      <c r="A1" s="15" t="s">
        <v>11</v>
      </c>
      <c r="B1" s="16"/>
      <c r="C1" s="16"/>
      <c r="D1" s="16"/>
    </row>
    <row r="2" spans="1:17" x14ac:dyDescent="0.25">
      <c r="L2" s="22"/>
      <c r="M2" s="10"/>
      <c r="N2" s="11"/>
      <c r="O2" s="10"/>
      <c r="P2" s="11"/>
      <c r="Q2" s="20"/>
    </row>
    <row r="3" spans="1:17" x14ac:dyDescent="0.25">
      <c r="J3" s="58" t="s">
        <v>56</v>
      </c>
      <c r="K3" s="2">
        <v>1</v>
      </c>
      <c r="L3" s="1"/>
      <c r="M3" s="12" t="s">
        <v>57</v>
      </c>
      <c r="N3" s="27"/>
      <c r="O3" s="28" t="s">
        <v>58</v>
      </c>
      <c r="P3" s="23"/>
      <c r="Q3" s="20"/>
    </row>
    <row r="4" spans="1:17" x14ac:dyDescent="0.25">
      <c r="K4" s="19">
        <v>2</v>
      </c>
      <c r="L4" s="32" t="s">
        <v>59</v>
      </c>
      <c r="M4" s="66" t="s">
        <v>60</v>
      </c>
      <c r="N4" s="29" t="s">
        <v>61</v>
      </c>
      <c r="O4" s="26" t="s">
        <v>62</v>
      </c>
      <c r="P4" s="2"/>
      <c r="Q4" s="20"/>
    </row>
    <row r="5" spans="1:17" x14ac:dyDescent="0.25">
      <c r="A5" s="59" t="s">
        <v>63</v>
      </c>
      <c r="K5" s="19">
        <v>3</v>
      </c>
      <c r="L5" s="25" t="s">
        <v>59</v>
      </c>
      <c r="M5" s="67" t="s">
        <v>64</v>
      </c>
      <c r="N5" s="3" t="s">
        <v>61</v>
      </c>
      <c r="O5" s="30" t="s">
        <v>65</v>
      </c>
      <c r="P5" s="2"/>
      <c r="Q5" s="20"/>
    </row>
    <row r="6" spans="1:17" x14ac:dyDescent="0.25">
      <c r="A6" s="8" t="s">
        <v>66</v>
      </c>
      <c r="B6" s="13" t="s">
        <v>0</v>
      </c>
      <c r="C6" s="8" t="s">
        <v>67</v>
      </c>
      <c r="D6" s="8" t="s">
        <v>68</v>
      </c>
      <c r="E6" s="8" t="s">
        <v>69</v>
      </c>
      <c r="F6" s="8" t="s">
        <v>70</v>
      </c>
      <c r="G6" s="8" t="s">
        <v>71</v>
      </c>
      <c r="H6" s="8" t="s">
        <v>72</v>
      </c>
      <c r="K6" s="19">
        <v>4</v>
      </c>
      <c r="L6" s="25" t="s">
        <v>59</v>
      </c>
      <c r="M6" s="61" t="s">
        <v>73</v>
      </c>
      <c r="N6" s="3" t="s">
        <v>61</v>
      </c>
      <c r="O6" s="60" t="s">
        <v>73</v>
      </c>
      <c r="P6" s="2"/>
    </row>
    <row r="7" spans="1:17" x14ac:dyDescent="0.25">
      <c r="A7" s="8" t="s">
        <v>11</v>
      </c>
      <c r="B7" s="79" t="s">
        <v>74</v>
      </c>
      <c r="C7" s="79" t="s">
        <v>75</v>
      </c>
      <c r="D7" s="78">
        <v>44927</v>
      </c>
      <c r="E7" s="79">
        <v>12</v>
      </c>
      <c r="F7" s="78">
        <v>44927</v>
      </c>
      <c r="G7" s="9" t="s">
        <v>76</v>
      </c>
      <c r="H7" s="79" t="s">
        <v>77</v>
      </c>
      <c r="I7" s="9"/>
      <c r="K7" s="19">
        <v>5</v>
      </c>
      <c r="L7" s="25" t="s">
        <v>59</v>
      </c>
      <c r="M7" s="61" t="s">
        <v>78</v>
      </c>
      <c r="N7" s="3" t="s">
        <v>61</v>
      </c>
      <c r="O7" s="60" t="s">
        <v>78</v>
      </c>
      <c r="P7" s="2"/>
    </row>
    <row r="8" spans="1:17" x14ac:dyDescent="0.25">
      <c r="K8" s="19">
        <v>6</v>
      </c>
      <c r="L8" s="68" t="s">
        <v>61</v>
      </c>
      <c r="M8" s="69" t="s">
        <v>62</v>
      </c>
      <c r="N8" s="24" t="s">
        <v>59</v>
      </c>
      <c r="O8" s="69" t="s">
        <v>64</v>
      </c>
      <c r="P8" s="2"/>
    </row>
    <row r="9" spans="1:17" x14ac:dyDescent="0.25">
      <c r="A9" s="59" t="s">
        <v>79</v>
      </c>
      <c r="K9" s="19">
        <v>7</v>
      </c>
      <c r="L9" s="25" t="s">
        <v>61</v>
      </c>
      <c r="M9" s="67" t="s">
        <v>65</v>
      </c>
      <c r="N9" s="3" t="s">
        <v>59</v>
      </c>
      <c r="O9" s="67" t="s">
        <v>80</v>
      </c>
      <c r="P9" s="2"/>
    </row>
    <row r="10" spans="1:17" x14ac:dyDescent="0.25">
      <c r="A10" s="14" t="s">
        <v>81</v>
      </c>
      <c r="B10" s="17" t="s">
        <v>82</v>
      </c>
      <c r="C10" s="17" t="s">
        <v>83</v>
      </c>
      <c r="J10"/>
      <c r="K10" s="19">
        <v>8</v>
      </c>
      <c r="L10" s="25" t="s">
        <v>61</v>
      </c>
      <c r="M10" s="62" t="s">
        <v>84</v>
      </c>
      <c r="N10" s="3" t="s">
        <v>59</v>
      </c>
      <c r="O10" s="62" t="s">
        <v>84</v>
      </c>
      <c r="P10" s="2"/>
    </row>
    <row r="11" spans="1:17" x14ac:dyDescent="0.25">
      <c r="A11" s="8" t="s">
        <v>85</v>
      </c>
      <c r="B11" s="9" t="s">
        <v>86</v>
      </c>
      <c r="C11" s="9" t="s">
        <v>87</v>
      </c>
      <c r="J11"/>
      <c r="K11" s="19">
        <v>9</v>
      </c>
      <c r="L11" s="70" t="s">
        <v>61</v>
      </c>
      <c r="M11" s="71" t="s">
        <v>78</v>
      </c>
      <c r="N11" s="65" t="s">
        <v>59</v>
      </c>
      <c r="O11" s="64" t="s">
        <v>78</v>
      </c>
      <c r="P11" s="2"/>
    </row>
    <row r="12" spans="1:17" x14ac:dyDescent="0.25">
      <c r="A12" s="8" t="s">
        <v>14</v>
      </c>
      <c r="B12" s="9" t="s">
        <v>87</v>
      </c>
      <c r="C12" s="9" t="s">
        <v>86</v>
      </c>
      <c r="K12" s="19">
        <v>10</v>
      </c>
      <c r="L12" s="25" t="s">
        <v>88</v>
      </c>
      <c r="M12" s="67" t="s">
        <v>89</v>
      </c>
      <c r="N12" s="3" t="s">
        <v>90</v>
      </c>
      <c r="O12" s="30" t="s">
        <v>91</v>
      </c>
      <c r="P12" s="3"/>
    </row>
    <row r="13" spans="1:17" x14ac:dyDescent="0.25">
      <c r="E13" s="18"/>
      <c r="F13" s="18"/>
      <c r="K13" s="19">
        <v>11</v>
      </c>
      <c r="L13" s="25" t="s">
        <v>88</v>
      </c>
      <c r="M13" s="67" t="s">
        <v>80</v>
      </c>
      <c r="N13" s="3" t="s">
        <v>90</v>
      </c>
      <c r="O13" s="30" t="s">
        <v>92</v>
      </c>
      <c r="P13" s="3"/>
    </row>
    <row r="14" spans="1:17" x14ac:dyDescent="0.25">
      <c r="A14"/>
      <c r="B14"/>
      <c r="C14"/>
      <c r="K14" s="19">
        <v>12</v>
      </c>
      <c r="L14" s="25" t="s">
        <v>88</v>
      </c>
      <c r="M14" s="61" t="s">
        <v>93</v>
      </c>
      <c r="N14" s="3" t="s">
        <v>90</v>
      </c>
      <c r="O14" s="34" t="s">
        <v>93</v>
      </c>
      <c r="P14" s="3"/>
    </row>
    <row r="15" spans="1:17" x14ac:dyDescent="0.25">
      <c r="A15" t="s">
        <v>94</v>
      </c>
      <c r="B15"/>
      <c r="C15"/>
      <c r="K15" s="19">
        <v>13</v>
      </c>
      <c r="L15" s="25" t="s">
        <v>88</v>
      </c>
      <c r="M15" s="61" t="s">
        <v>78</v>
      </c>
      <c r="N15" s="3" t="s">
        <v>90</v>
      </c>
      <c r="O15" s="34" t="s">
        <v>78</v>
      </c>
      <c r="P15" s="3"/>
      <c r="Q15" s="7"/>
    </row>
    <row r="16" spans="1:17" x14ac:dyDescent="0.25">
      <c r="A16"/>
      <c r="B16"/>
      <c r="C16"/>
      <c r="E16" s="6"/>
      <c r="F16" s="6"/>
      <c r="G16" s="18"/>
      <c r="H16" s="18"/>
      <c r="I16" s="18"/>
      <c r="K16" s="19">
        <v>14</v>
      </c>
      <c r="L16" s="68" t="s">
        <v>90</v>
      </c>
      <c r="M16" s="69" t="s">
        <v>91</v>
      </c>
      <c r="N16" s="29" t="s">
        <v>88</v>
      </c>
      <c r="O16" s="26" t="s">
        <v>89</v>
      </c>
      <c r="P16" s="3"/>
      <c r="Q16" s="7"/>
    </row>
    <row r="17" spans="1:17" x14ac:dyDescent="0.25">
      <c r="A17"/>
      <c r="B17"/>
      <c r="C17"/>
      <c r="K17" s="19">
        <v>15</v>
      </c>
      <c r="L17" s="25" t="s">
        <v>90</v>
      </c>
      <c r="M17" s="67" t="s">
        <v>92</v>
      </c>
      <c r="N17" s="3" t="s">
        <v>88</v>
      </c>
      <c r="O17" s="30" t="s">
        <v>60</v>
      </c>
      <c r="P17" s="3"/>
      <c r="Q17" s="7"/>
    </row>
    <row r="18" spans="1:17" x14ac:dyDescent="0.25">
      <c r="A18"/>
      <c r="B18"/>
      <c r="C18"/>
      <c r="K18" s="19">
        <v>16</v>
      </c>
      <c r="L18" s="25" t="s">
        <v>90</v>
      </c>
      <c r="M18" s="61" t="s">
        <v>95</v>
      </c>
      <c r="N18" s="3" t="s">
        <v>88</v>
      </c>
      <c r="O18" s="34" t="s">
        <v>95</v>
      </c>
      <c r="P18" s="3"/>
      <c r="Q18" s="7"/>
    </row>
    <row r="19" spans="1:17" x14ac:dyDescent="0.25">
      <c r="A19" s="80" t="s">
        <v>96</v>
      </c>
      <c r="B19"/>
      <c r="C19"/>
      <c r="D19" s="88">
        <v>45517</v>
      </c>
      <c r="K19" s="19">
        <v>17</v>
      </c>
      <c r="L19" s="63" t="s">
        <v>90</v>
      </c>
      <c r="M19" s="72" t="s">
        <v>78</v>
      </c>
      <c r="N19" s="33" t="s">
        <v>88</v>
      </c>
      <c r="O19" s="35" t="s">
        <v>78</v>
      </c>
      <c r="P19" s="3"/>
    </row>
    <row r="20" spans="1:17" x14ac:dyDescent="0.25">
      <c r="A20" s="80" t="s">
        <v>97</v>
      </c>
      <c r="B20"/>
      <c r="C20"/>
      <c r="D20" s="88">
        <v>45517</v>
      </c>
      <c r="M20" s="31" t="s">
        <v>98</v>
      </c>
      <c r="N20" s="3"/>
      <c r="O20" s="31" t="s">
        <v>98</v>
      </c>
      <c r="P20" s="3"/>
    </row>
    <row r="21" spans="1:17" x14ac:dyDescent="0.25">
      <c r="A21" s="80" t="s">
        <v>99</v>
      </c>
      <c r="B21"/>
      <c r="C21"/>
      <c r="D21" s="88">
        <v>45517</v>
      </c>
      <c r="M21" s="19"/>
      <c r="N21" s="3"/>
      <c r="O21" s="2"/>
      <c r="P21" s="3"/>
    </row>
    <row r="22" spans="1:17" x14ac:dyDescent="0.25">
      <c r="A22" s="80" t="s">
        <v>100</v>
      </c>
      <c r="B22" s="6"/>
      <c r="D22" s="88">
        <v>45517</v>
      </c>
      <c r="M22" s="19"/>
      <c r="N22" s="3"/>
      <c r="O22" s="2"/>
      <c r="P22" s="3"/>
    </row>
    <row r="23" spans="1:17" x14ac:dyDescent="0.25">
      <c r="A23" s="80" t="s">
        <v>101</v>
      </c>
      <c r="B23" s="6"/>
      <c r="D23" s="88">
        <v>45517</v>
      </c>
      <c r="M23" s="19"/>
      <c r="N23" s="3"/>
      <c r="O23" s="2"/>
      <c r="P23" s="3"/>
    </row>
    <row r="24" spans="1:17" x14ac:dyDescent="0.25">
      <c r="A24" s="80" t="s">
        <v>102</v>
      </c>
      <c r="D24" s="88">
        <v>45517</v>
      </c>
      <c r="M24" s="19"/>
      <c r="N24" s="3"/>
      <c r="O24" s="2"/>
      <c r="P24" s="3"/>
    </row>
    <row r="25" spans="1:17" x14ac:dyDescent="0.25">
      <c r="A25" t="s">
        <v>103</v>
      </c>
      <c r="D25" s="88">
        <v>45597</v>
      </c>
      <c r="M25" s="19"/>
      <c r="N25" s="3"/>
      <c r="O25" s="2"/>
      <c r="P25" s="3"/>
    </row>
    <row r="26" spans="1:17" x14ac:dyDescent="0.25">
      <c r="A26" t="s">
        <v>104</v>
      </c>
      <c r="D26" s="88">
        <v>45597</v>
      </c>
      <c r="M26" s="19"/>
      <c r="N26" s="3"/>
      <c r="O26" s="2"/>
      <c r="P26" s="3"/>
    </row>
    <row r="27" spans="1:17" x14ac:dyDescent="0.25">
      <c r="A27" t="s">
        <v>105</v>
      </c>
      <c r="D27" s="88">
        <v>45597</v>
      </c>
      <c r="P27" s="8"/>
    </row>
    <row r="28" spans="1:17" x14ac:dyDescent="0.25">
      <c r="A28"/>
      <c r="P28" s="8"/>
    </row>
    <row r="29" spans="1:17" x14ac:dyDescent="0.25">
      <c r="A29"/>
      <c r="P29" s="8"/>
    </row>
    <row r="30" spans="1:17" x14ac:dyDescent="0.25">
      <c r="A30"/>
    </row>
    <row r="31" spans="1:17" x14ac:dyDescent="0.25">
      <c r="A31"/>
    </row>
    <row r="32" spans="1:17" x14ac:dyDescent="0.25">
      <c r="A32"/>
      <c r="P32" s="8"/>
    </row>
    <row r="33" spans="1:1" x14ac:dyDescent="0.25">
      <c r="A33"/>
    </row>
    <row r="34" spans="1:1" ht="15.75" customHeight="1" x14ac:dyDescent="0.25">
      <c r="A34"/>
    </row>
    <row r="35" spans="1:1" x14ac:dyDescent="0.25">
      <c r="A35"/>
    </row>
    <row r="36" spans="1:1" ht="15.75" customHeight="1" x14ac:dyDescent="0.25">
      <c r="A36"/>
    </row>
    <row r="37" spans="1:1" ht="15.75" customHeight="1" x14ac:dyDescent="0.25">
      <c r="A37"/>
    </row>
  </sheetData>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3"/>
  <sheetViews>
    <sheetView zoomScale="85" zoomScaleNormal="85" workbookViewId="0">
      <selection activeCell="D28" sqref="D28"/>
    </sheetView>
  </sheetViews>
  <sheetFormatPr defaultRowHeight="15.75" x14ac:dyDescent="0.25"/>
  <cols>
    <col min="1" max="1" width="12.875" customWidth="1"/>
    <col min="2" max="2" width="6.25" style="4" bestFit="1" customWidth="1"/>
    <col min="3" max="3" width="9.875" bestFit="1" customWidth="1"/>
    <col min="4" max="4" width="59" bestFit="1" customWidth="1"/>
    <col min="5" max="5" width="9.375" style="4" bestFit="1" customWidth="1"/>
    <col min="6" max="6" width="46" bestFit="1" customWidth="1"/>
    <col min="7" max="11" width="6.25" customWidth="1"/>
    <col min="12" max="12" width="6.25" style="4" bestFit="1" customWidth="1"/>
    <col min="13" max="13" width="6.25" style="4" customWidth="1"/>
    <col min="14" max="14" width="6.25" style="4" bestFit="1" customWidth="1"/>
    <col min="15" max="15" width="64.625" style="4" bestFit="1" customWidth="1"/>
    <col min="16" max="16" width="6.625" bestFit="1" customWidth="1"/>
    <col min="17" max="17" width="11.75" bestFit="1" customWidth="1"/>
  </cols>
  <sheetData>
    <row r="1" spans="1:17" x14ac:dyDescent="0.25">
      <c r="A1" s="21">
        <f>COLUMN()</f>
        <v>1</v>
      </c>
      <c r="B1" s="21">
        <f>COLUMN()</f>
        <v>2</v>
      </c>
      <c r="C1" s="21">
        <f>COLUMN()</f>
        <v>3</v>
      </c>
      <c r="D1" s="21">
        <f>COLUMN()</f>
        <v>4</v>
      </c>
      <c r="E1" s="21">
        <f>COLUMN()</f>
        <v>5</v>
      </c>
      <c r="F1" s="21">
        <f>COLUMN()</f>
        <v>6</v>
      </c>
      <c r="G1" s="21">
        <f>COLUMN()</f>
        <v>7</v>
      </c>
      <c r="H1" s="21">
        <f>COLUMN()</f>
        <v>8</v>
      </c>
      <c r="I1" s="21">
        <f>COLUMN()</f>
        <v>9</v>
      </c>
      <c r="J1" s="21">
        <f>COLUMN()</f>
        <v>10</v>
      </c>
      <c r="K1" s="21">
        <f>COLUMN()</f>
        <v>11</v>
      </c>
      <c r="L1" s="21">
        <f>COLUMN()</f>
        <v>12</v>
      </c>
      <c r="M1" s="21">
        <f>COLUMN()</f>
        <v>13</v>
      </c>
      <c r="N1" s="21">
        <f>COLUMN()</f>
        <v>14</v>
      </c>
      <c r="O1" s="21">
        <f>COLUMN()</f>
        <v>15</v>
      </c>
      <c r="P1" s="21">
        <f>COLUMN()</f>
        <v>16</v>
      </c>
    </row>
    <row r="2" spans="1:17" ht="77.25" x14ac:dyDescent="0.25">
      <c r="A2" s="73" t="s">
        <v>0</v>
      </c>
      <c r="B2" s="73" t="s">
        <v>1</v>
      </c>
      <c r="C2" s="73" t="s">
        <v>2</v>
      </c>
      <c r="D2" s="73" t="s">
        <v>106</v>
      </c>
      <c r="E2" s="73" t="s">
        <v>5</v>
      </c>
      <c r="F2" s="73" t="s">
        <v>107</v>
      </c>
      <c r="G2" s="86" t="s">
        <v>108</v>
      </c>
      <c r="H2" s="86" t="s">
        <v>109</v>
      </c>
      <c r="I2" s="86" t="s">
        <v>110</v>
      </c>
      <c r="J2" s="86" t="s">
        <v>111</v>
      </c>
      <c r="K2" s="87" t="s">
        <v>112</v>
      </c>
      <c r="L2" s="87" t="s">
        <v>113</v>
      </c>
      <c r="M2" s="87" t="s">
        <v>114</v>
      </c>
      <c r="N2" s="87" t="s">
        <v>115</v>
      </c>
      <c r="O2" s="73" t="s">
        <v>116</v>
      </c>
      <c r="P2" s="74" t="s">
        <v>74</v>
      </c>
      <c r="Q2" s="5"/>
    </row>
    <row r="3" spans="1:17" x14ac:dyDescent="0.25">
      <c r="A3" t="s">
        <v>78</v>
      </c>
      <c r="C3" s="4"/>
      <c r="D3" t="s">
        <v>117</v>
      </c>
      <c r="F3" s="75"/>
      <c r="G3" s="84" t="str">
        <f>IFERROR(IF(VLOOKUP(TableHandbook[[#This Row],[UDC]],TableAvailabilities[],2,FALSE)&gt;0,"Y",""),"")</f>
        <v/>
      </c>
      <c r="H3" s="84" t="str">
        <f>IFERROR(IF(VLOOKUP(TableHandbook[[#This Row],[UDC]],TableAvailabilities[],3,FALSE)&gt;0,"Y",""),"")</f>
        <v/>
      </c>
      <c r="I3" s="84" t="str">
        <f>IFERROR(IF(VLOOKUP(TableHandbook[[#This Row],[UDC]],TableAvailabilities[],4,FALSE)&gt;0,"Y",""),"")</f>
        <v/>
      </c>
      <c r="J3" s="84" t="str">
        <f>IFERROR(IF(VLOOKUP(TableHandbook[[#This Row],[UDC]],TableAvailabilities[],5,FALSE)&gt;0,"Y",""),"")</f>
        <v/>
      </c>
      <c r="K3" s="85" t="str">
        <f>IFERROR(IF(VLOOKUP(TableHandbook[[#This Row],[UDC]],TableAvailabilities[],6,FALSE)&gt;0,"Y",""),"")</f>
        <v/>
      </c>
      <c r="L3" s="85" t="str">
        <f>IFERROR(IF(VLOOKUP(TableHandbook[[#This Row],[UDC]],TableAvailabilities[],7,FALSE)&gt;0,"Y",""),"")</f>
        <v/>
      </c>
      <c r="M3" s="85" t="str">
        <f>IFERROR(IF(VLOOKUP(TableHandbook[[#This Row],[UDC]],TableAvailabilities[],8,FALSE)&gt;0,"Y",""),"")</f>
        <v/>
      </c>
      <c r="N3" s="85" t="str">
        <f>IFERROR(IF(VLOOKUP(TableHandbook[[#This Row],[UDC]],TableAvailabilities[],9,FALSE)&gt;0,"Y",""),"")</f>
        <v/>
      </c>
      <c r="O3"/>
      <c r="P3" s="76" t="str">
        <f>IFERROR(VLOOKUP(TableHandbook[[#This Row],[UDC]],TableMCARCH[],7,FALSE),"")</f>
        <v/>
      </c>
      <c r="Q3" s="5"/>
    </row>
    <row r="4" spans="1:17" x14ac:dyDescent="0.25">
      <c r="A4" t="s">
        <v>64</v>
      </c>
      <c r="B4" s="4">
        <v>3</v>
      </c>
      <c r="C4" s="4"/>
      <c r="D4" t="s">
        <v>118</v>
      </c>
      <c r="E4" s="4">
        <v>25</v>
      </c>
      <c r="F4" s="75" t="s">
        <v>119</v>
      </c>
      <c r="G4" s="84" t="str">
        <f>IFERROR(IF(VLOOKUP(TableHandbook[[#This Row],[UDC]],TableAvailabilities[],2,FALSE)&gt;0,"Y",""),"")</f>
        <v/>
      </c>
      <c r="H4" s="84" t="str">
        <f>IFERROR(IF(VLOOKUP(TableHandbook[[#This Row],[UDC]],TableAvailabilities[],3,FALSE)&gt;0,"Y",""),"")</f>
        <v/>
      </c>
      <c r="I4" s="84" t="str">
        <f>IFERROR(IF(VLOOKUP(TableHandbook[[#This Row],[UDC]],TableAvailabilities[],4,FALSE)&gt;0,"Y",""),"")</f>
        <v/>
      </c>
      <c r="J4" s="84" t="str">
        <f>IFERROR(IF(VLOOKUP(TableHandbook[[#This Row],[UDC]],TableAvailabilities[],5,FALSE)&gt;0,"Y",""),"")</f>
        <v/>
      </c>
      <c r="K4" s="85" t="str">
        <f>IFERROR(IF(VLOOKUP(TableHandbook[[#This Row],[UDC]],TableAvailabilities[],6,FALSE)&gt;0,"Y",""),"")</f>
        <v>Y</v>
      </c>
      <c r="L4" s="85" t="str">
        <f>IFERROR(IF(VLOOKUP(TableHandbook[[#This Row],[UDC]],TableAvailabilities[],7,FALSE)&gt;0,"Y",""),"")</f>
        <v/>
      </c>
      <c r="M4" s="85" t="str">
        <f>IFERROR(IF(VLOOKUP(TableHandbook[[#This Row],[UDC]],TableAvailabilities[],8,FALSE)&gt;0,"Y",""),"")</f>
        <v/>
      </c>
      <c r="N4" s="85" t="str">
        <f>IFERROR(IF(VLOOKUP(TableHandbook[[#This Row],[UDC]],TableAvailabilities[],9,FALSE)&gt;0,"Y",""),"")</f>
        <v/>
      </c>
      <c r="O4"/>
      <c r="P4" s="76" t="str">
        <f>IFERROR(VLOOKUP(TableHandbook[[#This Row],[UDC]],TableMCARCH[],7,FALSE),"")</f>
        <v>Core</v>
      </c>
    </row>
    <row r="5" spans="1:17" x14ac:dyDescent="0.25">
      <c r="A5" t="s">
        <v>60</v>
      </c>
      <c r="B5" s="4">
        <v>2</v>
      </c>
      <c r="C5" s="4"/>
      <c r="D5" t="s">
        <v>120</v>
      </c>
      <c r="E5" s="4">
        <v>25</v>
      </c>
      <c r="F5" s="75" t="s">
        <v>119</v>
      </c>
      <c r="G5" s="84" t="str">
        <f>IFERROR(IF(VLOOKUP(TableHandbook[[#This Row],[UDC]],TableAvailabilities[],2,FALSE)&gt;0,"Y",""),"")</f>
        <v/>
      </c>
      <c r="H5" s="84" t="str">
        <f>IFERROR(IF(VLOOKUP(TableHandbook[[#This Row],[UDC]],TableAvailabilities[],3,FALSE)&gt;0,"Y",""),"")</f>
        <v/>
      </c>
      <c r="I5" s="84" t="str">
        <f>IFERROR(IF(VLOOKUP(TableHandbook[[#This Row],[UDC]],TableAvailabilities[],4,FALSE)&gt;0,"Y",""),"")</f>
        <v/>
      </c>
      <c r="J5" s="84" t="str">
        <f>IFERROR(IF(VLOOKUP(TableHandbook[[#This Row],[UDC]],TableAvailabilities[],5,FALSE)&gt;0,"Y",""),"")</f>
        <v/>
      </c>
      <c r="K5" s="85" t="str">
        <f>IFERROR(IF(VLOOKUP(TableHandbook[[#This Row],[UDC]],TableAvailabilities[],6,FALSE)&gt;0,"Y",""),"")</f>
        <v>Y</v>
      </c>
      <c r="L5" s="85" t="str">
        <f>IFERROR(IF(VLOOKUP(TableHandbook[[#This Row],[UDC]],TableAvailabilities[],7,FALSE)&gt;0,"Y",""),"")</f>
        <v/>
      </c>
      <c r="M5" s="85" t="str">
        <f>IFERROR(IF(VLOOKUP(TableHandbook[[#This Row],[UDC]],TableAvailabilities[],8,FALSE)&gt;0,"Y",""),"")</f>
        <v/>
      </c>
      <c r="N5" s="85" t="str">
        <f>IFERROR(IF(VLOOKUP(TableHandbook[[#This Row],[UDC]],TableAvailabilities[],9,FALSE)&gt;0,"Y",""),"")</f>
        <v/>
      </c>
      <c r="O5"/>
      <c r="P5" s="76" t="str">
        <f>IFERROR(VLOOKUP(TableHandbook[[#This Row],[UDC]],TableMCARCH[],7,FALSE),"")</f>
        <v>Core</v>
      </c>
    </row>
    <row r="6" spans="1:17" x14ac:dyDescent="0.25">
      <c r="A6" t="s">
        <v>29</v>
      </c>
      <c r="B6" s="4">
        <v>2</v>
      </c>
      <c r="C6" s="4"/>
      <c r="D6" t="s">
        <v>121</v>
      </c>
      <c r="E6" s="4">
        <v>25</v>
      </c>
      <c r="F6" s="75" t="s">
        <v>119</v>
      </c>
      <c r="G6" s="84" t="str">
        <f>IFERROR(IF(VLOOKUP(TableHandbook[[#This Row],[UDC]],TableAvailabilities[],2,FALSE)&gt;0,"Y",""),"")</f>
        <v/>
      </c>
      <c r="H6" s="84" t="str">
        <f>IFERROR(IF(VLOOKUP(TableHandbook[[#This Row],[UDC]],TableAvailabilities[],3,FALSE)&gt;0,"Y",""),"")</f>
        <v/>
      </c>
      <c r="I6" s="84" t="str">
        <f>IFERROR(IF(VLOOKUP(TableHandbook[[#This Row],[UDC]],TableAvailabilities[],4,FALSE)&gt;0,"Y",""),"")</f>
        <v/>
      </c>
      <c r="J6" s="84" t="str">
        <f>IFERROR(IF(VLOOKUP(TableHandbook[[#This Row],[UDC]],TableAvailabilities[],5,FALSE)&gt;0,"Y",""),"")</f>
        <v/>
      </c>
      <c r="K6" s="85" t="str">
        <f>IFERROR(IF(VLOOKUP(TableHandbook[[#This Row],[UDC]],TableAvailabilities[],6,FALSE)&gt;0,"Y",""),"")</f>
        <v/>
      </c>
      <c r="L6" s="85" t="str">
        <f>IFERROR(IF(VLOOKUP(TableHandbook[[#This Row],[UDC]],TableAvailabilities[],7,FALSE)&gt;0,"Y",""),"")</f>
        <v/>
      </c>
      <c r="M6" s="85" t="str">
        <f>IFERROR(IF(VLOOKUP(TableHandbook[[#This Row],[UDC]],TableAvailabilities[],8,FALSE)&gt;0,"Y",""),"")</f>
        <v>Y</v>
      </c>
      <c r="N6" s="85" t="str">
        <f>IFERROR(IF(VLOOKUP(TableHandbook[[#This Row],[UDC]],TableAvailabilities[],9,FALSE)&gt;0,"Y",""),"")</f>
        <v/>
      </c>
      <c r="O6"/>
      <c r="P6" s="76" t="str">
        <f>IFERROR(VLOOKUP(TableHandbook[[#This Row],[UDC]],TableMCARCH[],7,FALSE),"")</f>
        <v>Option</v>
      </c>
    </row>
    <row r="7" spans="1:17" x14ac:dyDescent="0.25">
      <c r="A7" t="s">
        <v>122</v>
      </c>
      <c r="B7" s="4">
        <v>2</v>
      </c>
      <c r="C7" s="4"/>
      <c r="D7" t="s">
        <v>123</v>
      </c>
      <c r="E7" s="4">
        <v>25</v>
      </c>
      <c r="F7" s="75" t="s">
        <v>119</v>
      </c>
      <c r="G7" s="84" t="str">
        <f>IFERROR(IF(VLOOKUP(TableHandbook[[#This Row],[UDC]],TableAvailabilities[],2,FALSE)&gt;0,"Y",""),"")</f>
        <v/>
      </c>
      <c r="H7" s="84" t="str">
        <f>IFERROR(IF(VLOOKUP(TableHandbook[[#This Row],[UDC]],TableAvailabilities[],3,FALSE)&gt;0,"Y",""),"")</f>
        <v/>
      </c>
      <c r="I7" s="84" t="str">
        <f>IFERROR(IF(VLOOKUP(TableHandbook[[#This Row],[UDC]],TableAvailabilities[],4,FALSE)&gt;0,"Y",""),"")</f>
        <v/>
      </c>
      <c r="J7" s="84" t="str">
        <f>IFERROR(IF(VLOOKUP(TableHandbook[[#This Row],[UDC]],TableAvailabilities[],5,FALSE)&gt;0,"Y",""),"")</f>
        <v/>
      </c>
      <c r="K7" s="85" t="str">
        <f>IFERROR(IF(VLOOKUP(TableHandbook[[#This Row],[UDC]],TableAvailabilities[],6,FALSE)&gt;0,"Y",""),"")</f>
        <v/>
      </c>
      <c r="L7" s="85" t="str">
        <f>IFERROR(IF(VLOOKUP(TableHandbook[[#This Row],[UDC]],TableAvailabilities[],7,FALSE)&gt;0,"Y",""),"")</f>
        <v/>
      </c>
      <c r="M7" s="85" t="str">
        <f>IFERROR(IF(VLOOKUP(TableHandbook[[#This Row],[UDC]],TableAvailabilities[],8,FALSE)&gt;0,"Y",""),"")</f>
        <v/>
      </c>
      <c r="N7" s="85" t="str">
        <f>IFERROR(IF(VLOOKUP(TableHandbook[[#This Row],[UDC]],TableAvailabilities[],9,FALSE)&gt;0,"Y",""),"")</f>
        <v/>
      </c>
      <c r="O7" t="s">
        <v>124</v>
      </c>
      <c r="P7" s="76" t="str">
        <f>IFERROR(VLOOKUP(TableHandbook[[#This Row],[UDC]],TableMCARCH[],7,FALSE),"")</f>
        <v>Option</v>
      </c>
    </row>
    <row r="8" spans="1:17" x14ac:dyDescent="0.25">
      <c r="A8" t="s">
        <v>73</v>
      </c>
      <c r="B8" s="4">
        <v>1</v>
      </c>
      <c r="C8" s="4"/>
      <c r="D8" t="s">
        <v>125</v>
      </c>
      <c r="E8" s="4">
        <v>50</v>
      </c>
      <c r="F8" s="75" t="s">
        <v>119</v>
      </c>
      <c r="G8" s="84" t="str">
        <f>IFERROR(IF(VLOOKUP(TableHandbook[[#This Row],[UDC]],TableAvailabilities[],2,FALSE)&gt;0,"Y",""),"")</f>
        <v/>
      </c>
      <c r="H8" s="84" t="str">
        <f>IFERROR(IF(VLOOKUP(TableHandbook[[#This Row],[UDC]],TableAvailabilities[],3,FALSE)&gt;0,"Y",""),"")</f>
        <v/>
      </c>
      <c r="I8" s="84" t="str">
        <f>IFERROR(IF(VLOOKUP(TableHandbook[[#This Row],[UDC]],TableAvailabilities[],4,FALSE)&gt;0,"Y",""),"")</f>
        <v/>
      </c>
      <c r="J8" s="84" t="str">
        <f>IFERROR(IF(VLOOKUP(TableHandbook[[#This Row],[UDC]],TableAvailabilities[],5,FALSE)&gt;0,"Y",""),"")</f>
        <v/>
      </c>
      <c r="K8" s="85" t="str">
        <f>IFERROR(IF(VLOOKUP(TableHandbook[[#This Row],[UDC]],TableAvailabilities[],6,FALSE)&gt;0,"Y",""),"")</f>
        <v>Y</v>
      </c>
      <c r="L8" s="85" t="str">
        <f>IFERROR(IF(VLOOKUP(TableHandbook[[#This Row],[UDC]],TableAvailabilities[],7,FALSE)&gt;0,"Y",""),"")</f>
        <v/>
      </c>
      <c r="M8" s="85" t="str">
        <f>IFERROR(IF(VLOOKUP(TableHandbook[[#This Row],[UDC]],TableAvailabilities[],8,FALSE)&gt;0,"Y",""),"")</f>
        <v>Y</v>
      </c>
      <c r="N8" s="85" t="str">
        <f>IFERROR(IF(VLOOKUP(TableHandbook[[#This Row],[UDC]],TableAvailabilities[],9,FALSE)&gt;0,"Y",""),"")</f>
        <v/>
      </c>
      <c r="O8"/>
      <c r="P8" s="76" t="str">
        <f>IFERROR(VLOOKUP(TableHandbook[[#This Row],[UDC]],TableMCARCH[],7,FALSE),"")</f>
        <v>Core</v>
      </c>
    </row>
    <row r="9" spans="1:17" x14ac:dyDescent="0.25">
      <c r="A9" t="s">
        <v>84</v>
      </c>
      <c r="B9" s="4">
        <v>1</v>
      </c>
      <c r="C9" s="4"/>
      <c r="D9" t="s">
        <v>126</v>
      </c>
      <c r="E9" s="4">
        <v>50</v>
      </c>
      <c r="F9" s="75" t="s">
        <v>119</v>
      </c>
      <c r="G9" s="84" t="str">
        <f>IFERROR(IF(VLOOKUP(TableHandbook[[#This Row],[UDC]],TableAvailabilities[],2,FALSE)&gt;0,"Y",""),"")</f>
        <v/>
      </c>
      <c r="H9" s="84" t="str">
        <f>IFERROR(IF(VLOOKUP(TableHandbook[[#This Row],[UDC]],TableAvailabilities[],3,FALSE)&gt;0,"Y",""),"")</f>
        <v/>
      </c>
      <c r="I9" s="84" t="str">
        <f>IFERROR(IF(VLOOKUP(TableHandbook[[#This Row],[UDC]],TableAvailabilities[],4,FALSE)&gt;0,"Y",""),"")</f>
        <v/>
      </c>
      <c r="J9" s="84" t="str">
        <f>IFERROR(IF(VLOOKUP(TableHandbook[[#This Row],[UDC]],TableAvailabilities[],5,FALSE)&gt;0,"Y",""),"")</f>
        <v/>
      </c>
      <c r="K9" s="85" t="str">
        <f>IFERROR(IF(VLOOKUP(TableHandbook[[#This Row],[UDC]],TableAvailabilities[],6,FALSE)&gt;0,"Y",""),"")</f>
        <v>Y</v>
      </c>
      <c r="L9" s="85" t="str">
        <f>IFERROR(IF(VLOOKUP(TableHandbook[[#This Row],[UDC]],TableAvailabilities[],7,FALSE)&gt;0,"Y",""),"")</f>
        <v/>
      </c>
      <c r="M9" s="85" t="str">
        <f>IFERROR(IF(VLOOKUP(TableHandbook[[#This Row],[UDC]],TableAvailabilities[],8,FALSE)&gt;0,"Y",""),"")</f>
        <v>Y</v>
      </c>
      <c r="N9" s="85" t="str">
        <f>IFERROR(IF(VLOOKUP(TableHandbook[[#This Row],[UDC]],TableAvailabilities[],9,FALSE)&gt;0,"Y",""),"")</f>
        <v/>
      </c>
      <c r="O9"/>
      <c r="P9" s="76" t="str">
        <f>IFERROR(VLOOKUP(TableHandbook[[#This Row],[UDC]],TableMCARCH[],7,FALSE),"")</f>
        <v>Core</v>
      </c>
    </row>
    <row r="10" spans="1:17" x14ac:dyDescent="0.25">
      <c r="A10" t="s">
        <v>89</v>
      </c>
      <c r="B10" s="4">
        <v>2</v>
      </c>
      <c r="C10" s="4"/>
      <c r="D10" t="s">
        <v>127</v>
      </c>
      <c r="E10" s="4">
        <v>25</v>
      </c>
      <c r="F10" s="75" t="s">
        <v>119</v>
      </c>
      <c r="G10" s="84" t="str">
        <f>IFERROR(IF(VLOOKUP(TableHandbook[[#This Row],[UDC]],TableAvailabilities[],2,FALSE)&gt;0,"Y",""),"")</f>
        <v/>
      </c>
      <c r="H10" s="84" t="str">
        <f>IFERROR(IF(VLOOKUP(TableHandbook[[#This Row],[UDC]],TableAvailabilities[],3,FALSE)&gt;0,"Y",""),"")</f>
        <v/>
      </c>
      <c r="I10" s="84" t="str">
        <f>IFERROR(IF(VLOOKUP(TableHandbook[[#This Row],[UDC]],TableAvailabilities[],4,FALSE)&gt;0,"Y",""),"")</f>
        <v/>
      </c>
      <c r="J10" s="84" t="str">
        <f>IFERROR(IF(VLOOKUP(TableHandbook[[#This Row],[UDC]],TableAvailabilities[],5,FALSE)&gt;0,"Y",""),"")</f>
        <v/>
      </c>
      <c r="K10" s="85" t="str">
        <f>IFERROR(IF(VLOOKUP(TableHandbook[[#This Row],[UDC]],TableAvailabilities[],6,FALSE)&gt;0,"Y",""),"")</f>
        <v>Y</v>
      </c>
      <c r="L10" s="85" t="str">
        <f>IFERROR(IF(VLOOKUP(TableHandbook[[#This Row],[UDC]],TableAvailabilities[],7,FALSE)&gt;0,"Y",""),"")</f>
        <v/>
      </c>
      <c r="M10" s="85" t="str">
        <f>IFERROR(IF(VLOOKUP(TableHandbook[[#This Row],[UDC]],TableAvailabilities[],8,FALSE)&gt;0,"Y",""),"")</f>
        <v>Y</v>
      </c>
      <c r="N10" s="85" t="str">
        <f>IFERROR(IF(VLOOKUP(TableHandbook[[#This Row],[UDC]],TableAvailabilities[],9,FALSE)&gt;0,"Y",""),"")</f>
        <v/>
      </c>
      <c r="O10"/>
      <c r="P10" s="76" t="str">
        <f>IFERROR(VLOOKUP(TableHandbook[[#This Row],[UDC]],TableMCARCH[],7,FALSE),"")</f>
        <v>Core</v>
      </c>
    </row>
    <row r="11" spans="1:17" x14ac:dyDescent="0.25">
      <c r="A11" t="s">
        <v>92</v>
      </c>
      <c r="B11" s="4">
        <v>2</v>
      </c>
      <c r="C11" s="4"/>
      <c r="D11" t="s">
        <v>128</v>
      </c>
      <c r="E11" s="4">
        <v>25</v>
      </c>
      <c r="F11" s="75" t="s">
        <v>119</v>
      </c>
      <c r="G11" s="84" t="str">
        <f>IFERROR(IF(VLOOKUP(TableHandbook[[#This Row],[UDC]],TableAvailabilities[],2,FALSE)&gt;0,"Y",""),"")</f>
        <v/>
      </c>
      <c r="H11" s="84" t="str">
        <f>IFERROR(IF(VLOOKUP(TableHandbook[[#This Row],[UDC]],TableAvailabilities[],3,FALSE)&gt;0,"Y",""),"")</f>
        <v/>
      </c>
      <c r="I11" s="84" t="str">
        <f>IFERROR(IF(VLOOKUP(TableHandbook[[#This Row],[UDC]],TableAvailabilities[],4,FALSE)&gt;0,"Y",""),"")</f>
        <v/>
      </c>
      <c r="J11" s="84" t="str">
        <f>IFERROR(IF(VLOOKUP(TableHandbook[[#This Row],[UDC]],TableAvailabilities[],5,FALSE)&gt;0,"Y",""),"")</f>
        <v/>
      </c>
      <c r="K11" s="85" t="str">
        <f>IFERROR(IF(VLOOKUP(TableHandbook[[#This Row],[UDC]],TableAvailabilities[],6,FALSE)&gt;0,"Y",""),"")</f>
        <v/>
      </c>
      <c r="L11" s="85" t="str">
        <f>IFERROR(IF(VLOOKUP(TableHandbook[[#This Row],[UDC]],TableAvailabilities[],7,FALSE)&gt;0,"Y",""),"")</f>
        <v/>
      </c>
      <c r="M11" s="85" t="str">
        <f>IFERROR(IF(VLOOKUP(TableHandbook[[#This Row],[UDC]],TableAvailabilities[],8,FALSE)&gt;0,"Y",""),"")</f>
        <v>Y</v>
      </c>
      <c r="N11" s="85" t="str">
        <f>IFERROR(IF(VLOOKUP(TableHandbook[[#This Row],[UDC]],TableAvailabilities[],9,FALSE)&gt;0,"Y",""),"")</f>
        <v/>
      </c>
      <c r="O11"/>
      <c r="P11" s="76" t="str">
        <f>IFERROR(VLOOKUP(TableHandbook[[#This Row],[UDC]],TableMCARCH[],7,FALSE),"")</f>
        <v>Core</v>
      </c>
    </row>
    <row r="12" spans="1:17" x14ac:dyDescent="0.25">
      <c r="A12" t="s">
        <v>93</v>
      </c>
      <c r="B12" s="4">
        <v>1</v>
      </c>
      <c r="C12" s="4"/>
      <c r="D12" t="s">
        <v>129</v>
      </c>
      <c r="E12" s="4">
        <v>50</v>
      </c>
      <c r="F12" s="75" t="s">
        <v>119</v>
      </c>
      <c r="G12" s="84" t="str">
        <f>IFERROR(IF(VLOOKUP(TableHandbook[[#This Row],[UDC]],TableAvailabilities[],2,FALSE)&gt;0,"Y",""),"")</f>
        <v/>
      </c>
      <c r="H12" s="84" t="str">
        <f>IFERROR(IF(VLOOKUP(TableHandbook[[#This Row],[UDC]],TableAvailabilities[],3,FALSE)&gt;0,"Y",""),"")</f>
        <v/>
      </c>
      <c r="I12" s="84" t="str">
        <f>IFERROR(IF(VLOOKUP(TableHandbook[[#This Row],[UDC]],TableAvailabilities[],4,FALSE)&gt;0,"Y",""),"")</f>
        <v/>
      </c>
      <c r="J12" s="84" t="str">
        <f>IFERROR(IF(VLOOKUP(TableHandbook[[#This Row],[UDC]],TableAvailabilities[],5,FALSE)&gt;0,"Y",""),"")</f>
        <v/>
      </c>
      <c r="K12" s="85" t="str">
        <f>IFERROR(IF(VLOOKUP(TableHandbook[[#This Row],[UDC]],TableAvailabilities[],6,FALSE)&gt;0,"Y",""),"")</f>
        <v>Y</v>
      </c>
      <c r="L12" s="85" t="str">
        <f>IFERROR(IF(VLOOKUP(TableHandbook[[#This Row],[UDC]],TableAvailabilities[],7,FALSE)&gt;0,"Y",""),"")</f>
        <v/>
      </c>
      <c r="M12" s="85" t="str">
        <f>IFERROR(IF(VLOOKUP(TableHandbook[[#This Row],[UDC]],TableAvailabilities[],8,FALSE)&gt;0,"Y",""),"")</f>
        <v>Y</v>
      </c>
      <c r="N12" s="85" t="str">
        <f>IFERROR(IF(VLOOKUP(TableHandbook[[#This Row],[UDC]],TableAvailabilities[],9,FALSE)&gt;0,"Y",""),"")</f>
        <v/>
      </c>
      <c r="O12"/>
      <c r="P12" s="76" t="str">
        <f>IFERROR(VLOOKUP(TableHandbook[[#This Row],[UDC]],TableMCARCH[],7,FALSE),"")</f>
        <v>Core</v>
      </c>
    </row>
    <row r="13" spans="1:17" x14ac:dyDescent="0.25">
      <c r="A13" t="s">
        <v>95</v>
      </c>
      <c r="B13" s="4">
        <v>1</v>
      </c>
      <c r="C13" s="4"/>
      <c r="D13" t="s">
        <v>130</v>
      </c>
      <c r="E13" s="4">
        <v>50</v>
      </c>
      <c r="F13" s="75" t="s">
        <v>131</v>
      </c>
      <c r="G13" s="84" t="str">
        <f>IFERROR(IF(VLOOKUP(TableHandbook[[#This Row],[UDC]],TableAvailabilities[],2,FALSE)&gt;0,"Y",""),"")</f>
        <v/>
      </c>
      <c r="H13" s="84" t="str">
        <f>IFERROR(IF(VLOOKUP(TableHandbook[[#This Row],[UDC]],TableAvailabilities[],3,FALSE)&gt;0,"Y",""),"")</f>
        <v/>
      </c>
      <c r="I13" s="84" t="str">
        <f>IFERROR(IF(VLOOKUP(TableHandbook[[#This Row],[UDC]],TableAvailabilities[],4,FALSE)&gt;0,"Y",""),"")</f>
        <v/>
      </c>
      <c r="J13" s="84" t="str">
        <f>IFERROR(IF(VLOOKUP(TableHandbook[[#This Row],[UDC]],TableAvailabilities[],5,FALSE)&gt;0,"Y",""),"")</f>
        <v/>
      </c>
      <c r="K13" s="85" t="str">
        <f>IFERROR(IF(VLOOKUP(TableHandbook[[#This Row],[UDC]],TableAvailabilities[],6,FALSE)&gt;0,"Y",""),"")</f>
        <v>Y</v>
      </c>
      <c r="L13" s="85" t="str">
        <f>IFERROR(IF(VLOOKUP(TableHandbook[[#This Row],[UDC]],TableAvailabilities[],7,FALSE)&gt;0,"Y",""),"")</f>
        <v/>
      </c>
      <c r="M13" s="85" t="str">
        <f>IFERROR(IF(VLOOKUP(TableHandbook[[#This Row],[UDC]],TableAvailabilities[],8,FALSE)&gt;0,"Y",""),"")</f>
        <v>Y</v>
      </c>
      <c r="N13" s="85" t="str">
        <f>IFERROR(IF(VLOOKUP(TableHandbook[[#This Row],[UDC]],TableAvailabilities[],9,FALSE)&gt;0,"Y",""),"")</f>
        <v/>
      </c>
      <c r="O13"/>
      <c r="P13" s="76" t="str">
        <f>IFERROR(VLOOKUP(TableHandbook[[#This Row],[UDC]],TableMCARCH[],7,FALSE),"")</f>
        <v>Core</v>
      </c>
    </row>
    <row r="14" spans="1:17" x14ac:dyDescent="0.25">
      <c r="A14" t="s">
        <v>91</v>
      </c>
      <c r="B14" s="4">
        <v>1</v>
      </c>
      <c r="C14" s="4"/>
      <c r="D14" t="s">
        <v>132</v>
      </c>
      <c r="E14" s="4">
        <v>25</v>
      </c>
      <c r="F14" s="75" t="s">
        <v>119</v>
      </c>
      <c r="G14" s="84" t="str">
        <f>IFERROR(IF(VLOOKUP(TableHandbook[[#This Row],[UDC]],TableAvailabilities[],2,FALSE)&gt;0,"Y",""),"")</f>
        <v/>
      </c>
      <c r="H14" s="84" t="str">
        <f>IFERROR(IF(VLOOKUP(TableHandbook[[#This Row],[UDC]],TableAvailabilities[],3,FALSE)&gt;0,"Y",""),"")</f>
        <v/>
      </c>
      <c r="I14" s="84" t="str">
        <f>IFERROR(IF(VLOOKUP(TableHandbook[[#This Row],[UDC]],TableAvailabilities[],4,FALSE)&gt;0,"Y",""),"")</f>
        <v/>
      </c>
      <c r="J14" s="84" t="str">
        <f>IFERROR(IF(VLOOKUP(TableHandbook[[#This Row],[UDC]],TableAvailabilities[],5,FALSE)&gt;0,"Y",""),"")</f>
        <v/>
      </c>
      <c r="K14" s="85" t="str">
        <f>IFERROR(IF(VLOOKUP(TableHandbook[[#This Row],[UDC]],TableAvailabilities[],6,FALSE)&gt;0,"Y",""),"")</f>
        <v>Y</v>
      </c>
      <c r="L14" s="85" t="str">
        <f>IFERROR(IF(VLOOKUP(TableHandbook[[#This Row],[UDC]],TableAvailabilities[],7,FALSE)&gt;0,"Y",""),"")</f>
        <v/>
      </c>
      <c r="M14" s="85" t="str">
        <f>IFERROR(IF(VLOOKUP(TableHandbook[[#This Row],[UDC]],TableAvailabilities[],8,FALSE)&gt;0,"Y",""),"")</f>
        <v>Y</v>
      </c>
      <c r="N14" s="85" t="str">
        <f>IFERROR(IF(VLOOKUP(TableHandbook[[#This Row],[UDC]],TableAvailabilities[],9,FALSE)&gt;0,"Y",""),"")</f>
        <v/>
      </c>
      <c r="O14"/>
      <c r="P14" s="76" t="str">
        <f>IFERROR(VLOOKUP(TableHandbook[[#This Row],[UDC]],TableMCARCH[],7,FALSE),"")</f>
        <v>Core</v>
      </c>
    </row>
    <row r="15" spans="1:17" x14ac:dyDescent="0.25">
      <c r="A15" t="s">
        <v>80</v>
      </c>
      <c r="B15" s="4">
        <v>2</v>
      </c>
      <c r="C15" s="4"/>
      <c r="D15" t="s">
        <v>133</v>
      </c>
      <c r="E15" s="4">
        <v>25</v>
      </c>
      <c r="F15" s="75" t="s">
        <v>134</v>
      </c>
      <c r="G15" s="84" t="str">
        <f>IFERROR(IF(VLOOKUP(TableHandbook[[#This Row],[UDC]],TableAvailabilities[],2,FALSE)&gt;0,"Y",""),"")</f>
        <v/>
      </c>
      <c r="H15" s="84" t="str">
        <f>IFERROR(IF(VLOOKUP(TableHandbook[[#This Row],[UDC]],TableAvailabilities[],3,FALSE)&gt;0,"Y",""),"")</f>
        <v/>
      </c>
      <c r="I15" s="84" t="str">
        <f>IFERROR(IF(VLOOKUP(TableHandbook[[#This Row],[UDC]],TableAvailabilities[],4,FALSE)&gt;0,"Y",""),"")</f>
        <v/>
      </c>
      <c r="J15" s="84" t="str">
        <f>IFERROR(IF(VLOOKUP(TableHandbook[[#This Row],[UDC]],TableAvailabilities[],5,FALSE)&gt;0,"Y",""),"")</f>
        <v/>
      </c>
      <c r="K15" s="85" t="str">
        <f>IFERROR(IF(VLOOKUP(TableHandbook[[#This Row],[UDC]],TableAvailabilities[],6,FALSE)&gt;0,"Y",""),"")</f>
        <v>Y</v>
      </c>
      <c r="L15" s="85" t="str">
        <f>IFERROR(IF(VLOOKUP(TableHandbook[[#This Row],[UDC]],TableAvailabilities[],7,FALSE)&gt;0,"Y",""),"")</f>
        <v/>
      </c>
      <c r="M15" s="85" t="str">
        <f>IFERROR(IF(VLOOKUP(TableHandbook[[#This Row],[UDC]],TableAvailabilities[],8,FALSE)&gt;0,"Y",""),"")</f>
        <v>Y</v>
      </c>
      <c r="N15" s="85" t="str">
        <f>IFERROR(IF(VLOOKUP(TableHandbook[[#This Row],[UDC]],TableAvailabilities[],9,FALSE)&gt;0,"Y",""),"")</f>
        <v/>
      </c>
      <c r="O15"/>
      <c r="P15" s="76" t="str">
        <f>IFERROR(VLOOKUP(TableHandbook[[#This Row],[UDC]],TableMCARCH[],7,FALSE),"")</f>
        <v>Core</v>
      </c>
    </row>
    <row r="16" spans="1:17" x14ac:dyDescent="0.25">
      <c r="A16" t="s">
        <v>31</v>
      </c>
      <c r="B16" s="4">
        <v>1</v>
      </c>
      <c r="C16" s="4"/>
      <c r="D16" t="s">
        <v>135</v>
      </c>
      <c r="E16" s="4">
        <v>25</v>
      </c>
      <c r="F16" s="75" t="s">
        <v>119</v>
      </c>
      <c r="G16" s="84" t="str">
        <f>IFERROR(IF(VLOOKUP(TableHandbook[[#This Row],[UDC]],TableAvailabilities[],2,FALSE)&gt;0,"Y",""),"")</f>
        <v/>
      </c>
      <c r="H16" s="84" t="str">
        <f>IFERROR(IF(VLOOKUP(TableHandbook[[#This Row],[UDC]],TableAvailabilities[],3,FALSE)&gt;0,"Y",""),"")</f>
        <v/>
      </c>
      <c r="I16" s="84" t="str">
        <f>IFERROR(IF(VLOOKUP(TableHandbook[[#This Row],[UDC]],TableAvailabilities[],4,FALSE)&gt;0,"Y",""),"")</f>
        <v/>
      </c>
      <c r="J16" s="84" t="str">
        <f>IFERROR(IF(VLOOKUP(TableHandbook[[#This Row],[UDC]],TableAvailabilities[],5,FALSE)&gt;0,"Y",""),"")</f>
        <v/>
      </c>
      <c r="K16" s="85" t="str">
        <f>IFERROR(IF(VLOOKUP(TableHandbook[[#This Row],[UDC]],TableAvailabilities[],6,FALSE)&gt;0,"Y",""),"")</f>
        <v/>
      </c>
      <c r="L16" s="85" t="str">
        <f>IFERROR(IF(VLOOKUP(TableHandbook[[#This Row],[UDC]],TableAvailabilities[],7,FALSE)&gt;0,"Y",""),"")</f>
        <v/>
      </c>
      <c r="M16" s="85" t="str">
        <f>IFERROR(IF(VLOOKUP(TableHandbook[[#This Row],[UDC]],TableAvailabilities[],8,FALSE)&gt;0,"Y",""),"")</f>
        <v>Y</v>
      </c>
      <c r="N16" s="85" t="str">
        <f>IFERROR(IF(VLOOKUP(TableHandbook[[#This Row],[UDC]],TableAvailabilities[],9,FALSE)&gt;0,"Y",""),"")</f>
        <v/>
      </c>
      <c r="O16"/>
      <c r="P16" s="76" t="str">
        <f>IFERROR(VLOOKUP(TableHandbook[[#This Row],[UDC]],TableMCARCH[],7,FALSE),"")</f>
        <v>Option</v>
      </c>
    </row>
    <row r="17" spans="1:16" x14ac:dyDescent="0.25">
      <c r="A17" t="s">
        <v>33</v>
      </c>
      <c r="B17" s="4">
        <v>1</v>
      </c>
      <c r="C17" s="4"/>
      <c r="D17" t="s">
        <v>136</v>
      </c>
      <c r="E17" s="4">
        <v>25</v>
      </c>
      <c r="F17" s="75" t="s">
        <v>119</v>
      </c>
      <c r="G17" s="84" t="str">
        <f>IFERROR(IF(VLOOKUP(TableHandbook[[#This Row],[UDC]],TableAvailabilities[],2,FALSE)&gt;0,"Y",""),"")</f>
        <v/>
      </c>
      <c r="H17" s="84" t="str">
        <f>IFERROR(IF(VLOOKUP(TableHandbook[[#This Row],[UDC]],TableAvailabilities[],3,FALSE)&gt;0,"Y",""),"")</f>
        <v/>
      </c>
      <c r="I17" s="84" t="str">
        <f>IFERROR(IF(VLOOKUP(TableHandbook[[#This Row],[UDC]],TableAvailabilities[],4,FALSE)&gt;0,"Y",""),"")</f>
        <v/>
      </c>
      <c r="J17" s="84" t="str">
        <f>IFERROR(IF(VLOOKUP(TableHandbook[[#This Row],[UDC]],TableAvailabilities[],5,FALSE)&gt;0,"Y",""),"")</f>
        <v/>
      </c>
      <c r="K17" s="85" t="str">
        <f>IFERROR(IF(VLOOKUP(TableHandbook[[#This Row],[UDC]],TableAvailabilities[],6,FALSE)&gt;0,"Y",""),"")</f>
        <v/>
      </c>
      <c r="L17" s="85" t="str">
        <f>IFERROR(IF(VLOOKUP(TableHandbook[[#This Row],[UDC]],TableAvailabilities[],7,FALSE)&gt;0,"Y",""),"")</f>
        <v/>
      </c>
      <c r="M17" s="85" t="str">
        <f>IFERROR(IF(VLOOKUP(TableHandbook[[#This Row],[UDC]],TableAvailabilities[],8,FALSE)&gt;0,"Y",""),"")</f>
        <v>Y</v>
      </c>
      <c r="N17" s="85" t="str">
        <f>IFERROR(IF(VLOOKUP(TableHandbook[[#This Row],[UDC]],TableAvailabilities[],9,FALSE)&gt;0,"Y",""),"")</f>
        <v/>
      </c>
      <c r="O17"/>
      <c r="P17" s="76" t="str">
        <f>IFERROR(VLOOKUP(TableHandbook[[#This Row],[UDC]],TableMCARCH[],7,FALSE),"")</f>
        <v>Option</v>
      </c>
    </row>
    <row r="18" spans="1:16" x14ac:dyDescent="0.25">
      <c r="A18" t="s">
        <v>35</v>
      </c>
      <c r="B18" s="4">
        <v>1</v>
      </c>
      <c r="C18" s="4"/>
      <c r="D18" t="s">
        <v>137</v>
      </c>
      <c r="E18" s="4">
        <v>25</v>
      </c>
      <c r="F18" s="75" t="s">
        <v>119</v>
      </c>
      <c r="G18" s="84" t="str">
        <f>IFERROR(IF(VLOOKUP(TableHandbook[[#This Row],[UDC]],TableAvailabilities[],2,FALSE)&gt;0,"Y",""),"")</f>
        <v/>
      </c>
      <c r="H18" s="84" t="str">
        <f>IFERROR(IF(VLOOKUP(TableHandbook[[#This Row],[UDC]],TableAvailabilities[],3,FALSE)&gt;0,"Y",""),"")</f>
        <v/>
      </c>
      <c r="I18" s="84" t="str">
        <f>IFERROR(IF(VLOOKUP(TableHandbook[[#This Row],[UDC]],TableAvailabilities[],4,FALSE)&gt;0,"Y",""),"")</f>
        <v/>
      </c>
      <c r="J18" s="84" t="str">
        <f>IFERROR(IF(VLOOKUP(TableHandbook[[#This Row],[UDC]],TableAvailabilities[],5,FALSE)&gt;0,"Y",""),"")</f>
        <v/>
      </c>
      <c r="K18" s="85" t="str">
        <f>IFERROR(IF(VLOOKUP(TableHandbook[[#This Row],[UDC]],TableAvailabilities[],6,FALSE)&gt;0,"Y",""),"")</f>
        <v/>
      </c>
      <c r="L18" s="85" t="str">
        <f>IFERROR(IF(VLOOKUP(TableHandbook[[#This Row],[UDC]],TableAvailabilities[],7,FALSE)&gt;0,"Y",""),"")</f>
        <v/>
      </c>
      <c r="M18" s="85" t="str">
        <f>IFERROR(IF(VLOOKUP(TableHandbook[[#This Row],[UDC]],TableAvailabilities[],8,FALSE)&gt;0,"Y",""),"")</f>
        <v>Y</v>
      </c>
      <c r="N18" s="85" t="str">
        <f>IFERROR(IF(VLOOKUP(TableHandbook[[#This Row],[UDC]],TableAvailabilities[],9,FALSE)&gt;0,"Y",""),"")</f>
        <v/>
      </c>
      <c r="O18"/>
      <c r="P18" s="76" t="str">
        <f>IFERROR(VLOOKUP(TableHandbook[[#This Row],[UDC]],TableMCARCH[],7,FALSE),"")</f>
        <v>Option</v>
      </c>
    </row>
    <row r="19" spans="1:16" x14ac:dyDescent="0.25">
      <c r="A19" t="s">
        <v>65</v>
      </c>
      <c r="C19" s="4"/>
      <c r="D19" t="s">
        <v>138</v>
      </c>
      <c r="E19" s="4">
        <v>25</v>
      </c>
      <c r="F19" s="75" t="s">
        <v>139</v>
      </c>
      <c r="G19" s="84" t="str">
        <f>IFERROR(IF(VLOOKUP(TableHandbook[[#This Row],[UDC]],TableAvailabilities[],2,FALSE)&gt;0,"Y",""),"")</f>
        <v/>
      </c>
      <c r="H19" s="84" t="str">
        <f>IFERROR(IF(VLOOKUP(TableHandbook[[#This Row],[UDC]],TableAvailabilities[],3,FALSE)&gt;0,"Y",""),"")</f>
        <v/>
      </c>
      <c r="I19" s="84" t="str">
        <f>IFERROR(IF(VLOOKUP(TableHandbook[[#This Row],[UDC]],TableAvailabilities[],4,FALSE)&gt;0,"Y",""),"")</f>
        <v/>
      </c>
      <c r="J19" s="84" t="str">
        <f>IFERROR(IF(VLOOKUP(TableHandbook[[#This Row],[UDC]],TableAvailabilities[],5,FALSE)&gt;0,"Y",""),"")</f>
        <v/>
      </c>
      <c r="K19" s="85" t="str">
        <f>IFERROR(IF(VLOOKUP(TableHandbook[[#This Row],[UDC]],TableAvailabilities[],6,FALSE)&gt;0,"Y",""),"")</f>
        <v/>
      </c>
      <c r="L19" s="85" t="str">
        <f>IFERROR(IF(VLOOKUP(TableHandbook[[#This Row],[UDC]],TableAvailabilities[],7,FALSE)&gt;0,"Y",""),"")</f>
        <v/>
      </c>
      <c r="M19" s="85" t="str">
        <f>IFERROR(IF(VLOOKUP(TableHandbook[[#This Row],[UDC]],TableAvailabilities[],8,FALSE)&gt;0,"Y",""),"")</f>
        <v/>
      </c>
      <c r="N19" s="85" t="str">
        <f>IFERROR(IF(VLOOKUP(TableHandbook[[#This Row],[UDC]],TableAvailabilities[],9,FALSE)&gt;0,"Y",""),"")</f>
        <v/>
      </c>
      <c r="O19"/>
      <c r="P19" s="76" t="str">
        <f>IFERROR(VLOOKUP(TableHandbook[[#This Row],[UDC]],TableMCARCH[],7,FALSE),"")</f>
        <v>Option</v>
      </c>
    </row>
    <row r="20" spans="1:16" x14ac:dyDescent="0.25">
      <c r="A20" t="s">
        <v>36</v>
      </c>
      <c r="B20" s="4">
        <v>1</v>
      </c>
      <c r="C20" s="4"/>
      <c r="D20" t="s">
        <v>140</v>
      </c>
      <c r="E20" s="4">
        <v>25</v>
      </c>
      <c r="F20" s="75" t="s">
        <v>119</v>
      </c>
      <c r="G20" s="84" t="str">
        <f>IFERROR(IF(VLOOKUP(TableHandbook[[#This Row],[UDC]],TableAvailabilities[],2,FALSE)&gt;0,"Y",""),"")</f>
        <v>Y</v>
      </c>
      <c r="H20" s="84" t="str">
        <f>IFERROR(IF(VLOOKUP(TableHandbook[[#This Row],[UDC]],TableAvailabilities[],3,FALSE)&gt;0,"Y",""),"")</f>
        <v/>
      </c>
      <c r="I20" s="84" t="str">
        <f>IFERROR(IF(VLOOKUP(TableHandbook[[#This Row],[UDC]],TableAvailabilities[],4,FALSE)&gt;0,"Y",""),"")</f>
        <v>Y</v>
      </c>
      <c r="J20" s="84" t="str">
        <f>IFERROR(IF(VLOOKUP(TableHandbook[[#This Row],[UDC]],TableAvailabilities[],5,FALSE)&gt;0,"Y",""),"")</f>
        <v/>
      </c>
      <c r="K20" s="85" t="str">
        <f>IFERROR(IF(VLOOKUP(TableHandbook[[#This Row],[UDC]],TableAvailabilities[],6,FALSE)&gt;0,"Y",""),"")</f>
        <v>Y</v>
      </c>
      <c r="L20" s="85" t="str">
        <f>IFERROR(IF(VLOOKUP(TableHandbook[[#This Row],[UDC]],TableAvailabilities[],7,FALSE)&gt;0,"Y",""),"")</f>
        <v>Y</v>
      </c>
      <c r="M20" s="85" t="str">
        <f>IFERROR(IF(VLOOKUP(TableHandbook[[#This Row],[UDC]],TableAvailabilities[],8,FALSE)&gt;0,"Y",""),"")</f>
        <v>Y</v>
      </c>
      <c r="N20" s="85" t="str">
        <f>IFERROR(IF(VLOOKUP(TableHandbook[[#This Row],[UDC]],TableAvailabilities[],9,FALSE)&gt;0,"Y",""),"")</f>
        <v>Y</v>
      </c>
      <c r="O20"/>
      <c r="P20" s="76" t="str">
        <f>IFERROR(VLOOKUP(TableHandbook[[#This Row],[UDC]],TableMCARCH[],7,FALSE),"")</f>
        <v>Option</v>
      </c>
    </row>
    <row r="21" spans="1:16" x14ac:dyDescent="0.25">
      <c r="A21" t="s">
        <v>38</v>
      </c>
      <c r="B21" s="4">
        <v>1</v>
      </c>
      <c r="C21" s="4"/>
      <c r="D21" t="s">
        <v>141</v>
      </c>
      <c r="E21" s="4">
        <v>25</v>
      </c>
      <c r="F21" s="75" t="s">
        <v>119</v>
      </c>
      <c r="G21" s="84" t="str">
        <f>IFERROR(IF(VLOOKUP(TableHandbook[[#This Row],[UDC]],TableAvailabilities[],2,FALSE)&gt;0,"Y",""),"")</f>
        <v>Y</v>
      </c>
      <c r="H21" s="84" t="str">
        <f>IFERROR(IF(VLOOKUP(TableHandbook[[#This Row],[UDC]],TableAvailabilities[],3,FALSE)&gt;0,"Y",""),"")</f>
        <v/>
      </c>
      <c r="I21" s="84" t="str">
        <f>IFERROR(IF(VLOOKUP(TableHandbook[[#This Row],[UDC]],TableAvailabilities[],4,FALSE)&gt;0,"Y",""),"")</f>
        <v>Y</v>
      </c>
      <c r="J21" s="84" t="str">
        <f>IFERROR(IF(VLOOKUP(TableHandbook[[#This Row],[UDC]],TableAvailabilities[],5,FALSE)&gt;0,"Y",""),"")</f>
        <v/>
      </c>
      <c r="K21" s="85" t="str">
        <f>IFERROR(IF(VLOOKUP(TableHandbook[[#This Row],[UDC]],TableAvailabilities[],6,FALSE)&gt;0,"Y",""),"")</f>
        <v>Y</v>
      </c>
      <c r="L21" s="85" t="str">
        <f>IFERROR(IF(VLOOKUP(TableHandbook[[#This Row],[UDC]],TableAvailabilities[],7,FALSE)&gt;0,"Y",""),"")</f>
        <v>Y</v>
      </c>
      <c r="M21" s="85" t="str">
        <f>IFERROR(IF(VLOOKUP(TableHandbook[[#This Row],[UDC]],TableAvailabilities[],8,FALSE)&gt;0,"Y",""),"")</f>
        <v>Y</v>
      </c>
      <c r="N21" s="85" t="str">
        <f>IFERROR(IF(VLOOKUP(TableHandbook[[#This Row],[UDC]],TableAvailabilities[],9,FALSE)&gt;0,"Y",""),"")</f>
        <v>Y</v>
      </c>
      <c r="O21"/>
      <c r="P21" s="76" t="str">
        <f>IFERROR(VLOOKUP(TableHandbook[[#This Row],[UDC]],TableMCARCH[],7,FALSE),"")</f>
        <v>Option</v>
      </c>
    </row>
    <row r="22" spans="1:16" x14ac:dyDescent="0.25">
      <c r="A22" t="s">
        <v>40</v>
      </c>
      <c r="B22" s="4">
        <v>2</v>
      </c>
      <c r="C22" s="4"/>
      <c r="D22" t="s">
        <v>142</v>
      </c>
      <c r="E22" s="4">
        <v>25</v>
      </c>
      <c r="F22" s="75" t="s">
        <v>119</v>
      </c>
      <c r="G22" s="84" t="str">
        <f>IFERROR(IF(VLOOKUP(TableHandbook[[#This Row],[UDC]],TableAvailabilities[],2,FALSE)&gt;0,"Y",""),"")</f>
        <v/>
      </c>
      <c r="H22" s="84" t="str">
        <f>IFERROR(IF(VLOOKUP(TableHandbook[[#This Row],[UDC]],TableAvailabilities[],3,FALSE)&gt;0,"Y",""),"")</f>
        <v>Y</v>
      </c>
      <c r="I22" s="84" t="str">
        <f>IFERROR(IF(VLOOKUP(TableHandbook[[#This Row],[UDC]],TableAvailabilities[],4,FALSE)&gt;0,"Y",""),"")</f>
        <v/>
      </c>
      <c r="J22" s="84" t="str">
        <f>IFERROR(IF(VLOOKUP(TableHandbook[[#This Row],[UDC]],TableAvailabilities[],5,FALSE)&gt;0,"Y",""),"")</f>
        <v>Y</v>
      </c>
      <c r="K22" s="85" t="str">
        <f>IFERROR(IF(VLOOKUP(TableHandbook[[#This Row],[UDC]],TableAvailabilities[],6,FALSE)&gt;0,"Y",""),"")</f>
        <v>Y</v>
      </c>
      <c r="L22" s="85" t="str">
        <f>IFERROR(IF(VLOOKUP(TableHandbook[[#This Row],[UDC]],TableAvailabilities[],7,FALSE)&gt;0,"Y",""),"")</f>
        <v>Y</v>
      </c>
      <c r="M22" s="85" t="str">
        <f>IFERROR(IF(VLOOKUP(TableHandbook[[#This Row],[UDC]],TableAvailabilities[],8,FALSE)&gt;0,"Y",""),"")</f>
        <v>Y</v>
      </c>
      <c r="N22" s="85" t="str">
        <f>IFERROR(IF(VLOOKUP(TableHandbook[[#This Row],[UDC]],TableAvailabilities[],9,FALSE)&gt;0,"Y",""),"")</f>
        <v>Y</v>
      </c>
      <c r="O22"/>
      <c r="P22" s="76" t="str">
        <f>IFERROR(VLOOKUP(TableHandbook[[#This Row],[UDC]],TableMCARCH[],7,FALSE),"")</f>
        <v>Option</v>
      </c>
    </row>
    <row r="23" spans="1:16" x14ac:dyDescent="0.25">
      <c r="A23" t="s">
        <v>41</v>
      </c>
      <c r="B23" s="4">
        <v>1</v>
      </c>
      <c r="C23" s="4"/>
      <c r="D23" t="s">
        <v>143</v>
      </c>
      <c r="E23" s="4">
        <v>25</v>
      </c>
      <c r="F23" s="75" t="s">
        <v>119</v>
      </c>
      <c r="G23" s="84" t="str">
        <f>IFERROR(IF(VLOOKUP(TableHandbook[[#This Row],[UDC]],TableAvailabilities[],2,FALSE)&gt;0,"Y",""),"")</f>
        <v/>
      </c>
      <c r="H23" s="84" t="str">
        <f>IFERROR(IF(VLOOKUP(TableHandbook[[#This Row],[UDC]],TableAvailabilities[],3,FALSE)&gt;0,"Y",""),"")</f>
        <v>Y</v>
      </c>
      <c r="I23" s="84" t="str">
        <f>IFERROR(IF(VLOOKUP(TableHandbook[[#This Row],[UDC]],TableAvailabilities[],4,FALSE)&gt;0,"Y",""),"")</f>
        <v/>
      </c>
      <c r="J23" s="84" t="str">
        <f>IFERROR(IF(VLOOKUP(TableHandbook[[#This Row],[UDC]],TableAvailabilities[],5,FALSE)&gt;0,"Y",""),"")</f>
        <v>Y</v>
      </c>
      <c r="K23" s="85" t="str">
        <f>IFERROR(IF(VLOOKUP(TableHandbook[[#This Row],[UDC]],TableAvailabilities[],6,FALSE)&gt;0,"Y",""),"")</f>
        <v>Y</v>
      </c>
      <c r="L23" s="85" t="str">
        <f>IFERROR(IF(VLOOKUP(TableHandbook[[#This Row],[UDC]],TableAvailabilities[],7,FALSE)&gt;0,"Y",""),"")</f>
        <v>Y</v>
      </c>
      <c r="M23" s="85" t="str">
        <f>IFERROR(IF(VLOOKUP(TableHandbook[[#This Row],[UDC]],TableAvailabilities[],8,FALSE)&gt;0,"Y",""),"")</f>
        <v>Y</v>
      </c>
      <c r="N23" s="85" t="str">
        <f>IFERROR(IF(VLOOKUP(TableHandbook[[#This Row],[UDC]],TableAvailabilities[],9,FALSE)&gt;0,"Y",""),"")</f>
        <v>Y</v>
      </c>
      <c r="O23"/>
      <c r="P23" s="76" t="str">
        <f>IFERROR(VLOOKUP(TableHandbook[[#This Row],[UDC]],TableMCARCH[],7,FALSE),"")</f>
        <v>Option</v>
      </c>
    </row>
    <row r="24" spans="1:16" x14ac:dyDescent="0.25">
      <c r="A24" t="s">
        <v>43</v>
      </c>
      <c r="B24" s="4">
        <v>2</v>
      </c>
      <c r="C24" s="4"/>
      <c r="D24" t="s">
        <v>144</v>
      </c>
      <c r="E24" s="4">
        <v>25</v>
      </c>
      <c r="F24" s="75" t="s">
        <v>119</v>
      </c>
      <c r="G24" s="84" t="str">
        <f>IFERROR(IF(VLOOKUP(TableHandbook[[#This Row],[UDC]],TableAvailabilities[],2,FALSE)&gt;0,"Y",""),"")</f>
        <v/>
      </c>
      <c r="H24" s="84" t="str">
        <f>IFERROR(IF(VLOOKUP(TableHandbook[[#This Row],[UDC]],TableAvailabilities[],3,FALSE)&gt;0,"Y",""),"")</f>
        <v/>
      </c>
      <c r="I24" s="84" t="str">
        <f>IFERROR(IF(VLOOKUP(TableHandbook[[#This Row],[UDC]],TableAvailabilities[],4,FALSE)&gt;0,"Y",""),"")</f>
        <v/>
      </c>
      <c r="J24" s="84" t="str">
        <f>IFERROR(IF(VLOOKUP(TableHandbook[[#This Row],[UDC]],TableAvailabilities[],5,FALSE)&gt;0,"Y",""),"")</f>
        <v/>
      </c>
      <c r="K24" s="85" t="str">
        <f>IFERROR(IF(VLOOKUP(TableHandbook[[#This Row],[UDC]],TableAvailabilities[],6,FALSE)&gt;0,"Y",""),"")</f>
        <v/>
      </c>
      <c r="L24" s="85" t="str">
        <f>IFERROR(IF(VLOOKUP(TableHandbook[[#This Row],[UDC]],TableAvailabilities[],7,FALSE)&gt;0,"Y",""),"")</f>
        <v/>
      </c>
      <c r="M24" s="85" t="str">
        <f>IFERROR(IF(VLOOKUP(TableHandbook[[#This Row],[UDC]],TableAvailabilities[],8,FALSE)&gt;0,"Y",""),"")</f>
        <v>Y</v>
      </c>
      <c r="N24" s="85" t="str">
        <f>IFERROR(IF(VLOOKUP(TableHandbook[[#This Row],[UDC]],TableAvailabilities[],9,FALSE)&gt;0,"Y",""),"")</f>
        <v>Y</v>
      </c>
      <c r="O24"/>
      <c r="P24" s="76" t="str">
        <f>IFERROR(VLOOKUP(TableHandbook[[#This Row],[UDC]],TableMCARCH[],7,FALSE),"")</f>
        <v>Option</v>
      </c>
    </row>
    <row r="25" spans="1:16" x14ac:dyDescent="0.25">
      <c r="A25" t="s">
        <v>44</v>
      </c>
      <c r="B25" s="4">
        <v>2</v>
      </c>
      <c r="C25" s="4"/>
      <c r="D25" t="s">
        <v>145</v>
      </c>
      <c r="E25" s="4">
        <v>25</v>
      </c>
      <c r="F25" s="75" t="s">
        <v>119</v>
      </c>
      <c r="G25" s="84" t="str">
        <f>IFERROR(IF(VLOOKUP(TableHandbook[[#This Row],[UDC]],TableAvailabilities[],2,FALSE)&gt;0,"Y",""),"")</f>
        <v/>
      </c>
      <c r="H25" s="84" t="str">
        <f>IFERROR(IF(VLOOKUP(TableHandbook[[#This Row],[UDC]],TableAvailabilities[],3,FALSE)&gt;0,"Y",""),"")</f>
        <v/>
      </c>
      <c r="I25" s="84" t="str">
        <f>IFERROR(IF(VLOOKUP(TableHandbook[[#This Row],[UDC]],TableAvailabilities[],4,FALSE)&gt;0,"Y",""),"")</f>
        <v/>
      </c>
      <c r="J25" s="84" t="str">
        <f>IFERROR(IF(VLOOKUP(TableHandbook[[#This Row],[UDC]],TableAvailabilities[],5,FALSE)&gt;0,"Y",""),"")</f>
        <v/>
      </c>
      <c r="K25" s="85" t="str">
        <f>IFERROR(IF(VLOOKUP(TableHandbook[[#This Row],[UDC]],TableAvailabilities[],6,FALSE)&gt;0,"Y",""),"")</f>
        <v>Y</v>
      </c>
      <c r="L25" s="85" t="str">
        <f>IFERROR(IF(VLOOKUP(TableHandbook[[#This Row],[UDC]],TableAvailabilities[],7,FALSE)&gt;0,"Y",""),"")</f>
        <v>Y</v>
      </c>
      <c r="M25" s="85" t="str">
        <f>IFERROR(IF(VLOOKUP(TableHandbook[[#This Row],[UDC]],TableAvailabilities[],8,FALSE)&gt;0,"Y",""),"")</f>
        <v/>
      </c>
      <c r="N25" s="85" t="str">
        <f>IFERROR(IF(VLOOKUP(TableHandbook[[#This Row],[UDC]],TableAvailabilities[],9,FALSE)&gt;0,"Y",""),"")</f>
        <v/>
      </c>
      <c r="O25" t="s">
        <v>146</v>
      </c>
      <c r="P25" s="76" t="str">
        <f>IFERROR(VLOOKUP(TableHandbook[[#This Row],[UDC]],TableMCARCH[],7,FALSE),"")</f>
        <v>Option</v>
      </c>
    </row>
    <row r="26" spans="1:16" x14ac:dyDescent="0.25">
      <c r="A26" t="s">
        <v>45</v>
      </c>
      <c r="B26" s="4">
        <v>1</v>
      </c>
      <c r="C26" s="4"/>
      <c r="D26" t="s">
        <v>147</v>
      </c>
      <c r="E26" s="4">
        <v>25</v>
      </c>
      <c r="F26" s="75" t="s">
        <v>119</v>
      </c>
      <c r="G26" s="84" t="str">
        <f>IFERROR(IF(VLOOKUP(TableHandbook[[#This Row],[UDC]],TableAvailabilities[],2,FALSE)&gt;0,"Y",""),"")</f>
        <v/>
      </c>
      <c r="H26" s="84" t="str">
        <f>IFERROR(IF(VLOOKUP(TableHandbook[[#This Row],[UDC]],TableAvailabilities[],3,FALSE)&gt;0,"Y",""),"")</f>
        <v/>
      </c>
      <c r="I26" s="84" t="str">
        <f>IFERROR(IF(VLOOKUP(TableHandbook[[#This Row],[UDC]],TableAvailabilities[],4,FALSE)&gt;0,"Y",""),"")</f>
        <v/>
      </c>
      <c r="J26" s="84" t="str">
        <f>IFERROR(IF(VLOOKUP(TableHandbook[[#This Row],[UDC]],TableAvailabilities[],5,FALSE)&gt;0,"Y",""),"")</f>
        <v/>
      </c>
      <c r="K26" s="85" t="str">
        <f>IFERROR(IF(VLOOKUP(TableHandbook[[#This Row],[UDC]],TableAvailabilities[],6,FALSE)&gt;0,"Y",""),"")</f>
        <v/>
      </c>
      <c r="L26" s="85" t="str">
        <f>IFERROR(IF(VLOOKUP(TableHandbook[[#This Row],[UDC]],TableAvailabilities[],7,FALSE)&gt;0,"Y",""),"")</f>
        <v/>
      </c>
      <c r="M26" s="85" t="str">
        <f>IFERROR(IF(VLOOKUP(TableHandbook[[#This Row],[UDC]],TableAvailabilities[],8,FALSE)&gt;0,"Y",""),"")</f>
        <v>Y</v>
      </c>
      <c r="N26" s="85" t="str">
        <f>IFERROR(IF(VLOOKUP(TableHandbook[[#This Row],[UDC]],TableAvailabilities[],9,FALSE)&gt;0,"Y",""),"")</f>
        <v>Y</v>
      </c>
      <c r="O26"/>
      <c r="P26" s="76" t="str">
        <f>IFERROR(VLOOKUP(TableHandbook[[#This Row],[UDC]],TableMCARCH[],7,FALSE),"")</f>
        <v>Option</v>
      </c>
    </row>
    <row r="27" spans="1:16" x14ac:dyDescent="0.25">
      <c r="A27" t="s">
        <v>46</v>
      </c>
      <c r="B27" s="4">
        <v>2</v>
      </c>
      <c r="C27" s="4"/>
      <c r="D27" t="s">
        <v>148</v>
      </c>
      <c r="E27" s="4">
        <v>25</v>
      </c>
      <c r="F27" s="75" t="s">
        <v>119</v>
      </c>
      <c r="G27" s="84" t="str">
        <f>IFERROR(IF(VLOOKUP(TableHandbook[[#This Row],[UDC]],TableAvailabilities[],2,FALSE)&gt;0,"Y",""),"")</f>
        <v/>
      </c>
      <c r="H27" s="84" t="str">
        <f>IFERROR(IF(VLOOKUP(TableHandbook[[#This Row],[UDC]],TableAvailabilities[],3,FALSE)&gt;0,"Y",""),"")</f>
        <v/>
      </c>
      <c r="I27" s="84" t="str">
        <f>IFERROR(IF(VLOOKUP(TableHandbook[[#This Row],[UDC]],TableAvailabilities[],4,FALSE)&gt;0,"Y",""),"")</f>
        <v/>
      </c>
      <c r="J27" s="84" t="str">
        <f>IFERROR(IF(VLOOKUP(TableHandbook[[#This Row],[UDC]],TableAvailabilities[],5,FALSE)&gt;0,"Y",""),"")</f>
        <v/>
      </c>
      <c r="K27" s="85" t="str">
        <f>IFERROR(IF(VLOOKUP(TableHandbook[[#This Row],[UDC]],TableAvailabilities[],6,FALSE)&gt;0,"Y",""),"")</f>
        <v/>
      </c>
      <c r="L27" s="85" t="str">
        <f>IFERROR(IF(VLOOKUP(TableHandbook[[#This Row],[UDC]],TableAvailabilities[],7,FALSE)&gt;0,"Y",""),"")</f>
        <v/>
      </c>
      <c r="M27" s="85" t="str">
        <f>IFERROR(IF(VLOOKUP(TableHandbook[[#This Row],[UDC]],TableAvailabilities[],8,FALSE)&gt;0,"Y",""),"")</f>
        <v>Y</v>
      </c>
      <c r="N27" s="85" t="str">
        <f>IFERROR(IF(VLOOKUP(TableHandbook[[#This Row],[UDC]],TableAvailabilities[],9,FALSE)&gt;0,"Y",""),"")</f>
        <v>Y</v>
      </c>
      <c r="O27"/>
      <c r="P27" s="76" t="str">
        <f>IFERROR(VLOOKUP(TableHandbook[[#This Row],[UDC]],TableMCARCH[],7,FALSE),"")</f>
        <v>Option</v>
      </c>
    </row>
    <row r="28" spans="1:16" x14ac:dyDescent="0.25">
      <c r="A28" t="s">
        <v>47</v>
      </c>
      <c r="B28" s="4">
        <v>1</v>
      </c>
      <c r="C28" s="4"/>
      <c r="D28" t="s">
        <v>149</v>
      </c>
      <c r="E28" s="4">
        <v>25</v>
      </c>
      <c r="F28" s="75" t="s">
        <v>119</v>
      </c>
      <c r="G28" s="84" t="str">
        <f>IFERROR(IF(VLOOKUP(TableHandbook[[#This Row],[UDC]],TableAvailabilities[],2,FALSE)&gt;0,"Y",""),"")</f>
        <v/>
      </c>
      <c r="H28" s="84" t="str">
        <f>IFERROR(IF(VLOOKUP(TableHandbook[[#This Row],[UDC]],TableAvailabilities[],3,FALSE)&gt;0,"Y",""),"")</f>
        <v/>
      </c>
      <c r="I28" s="84" t="str">
        <f>IFERROR(IF(VLOOKUP(TableHandbook[[#This Row],[UDC]],TableAvailabilities[],4,FALSE)&gt;0,"Y",""),"")</f>
        <v/>
      </c>
      <c r="J28" s="84" t="str">
        <f>IFERROR(IF(VLOOKUP(TableHandbook[[#This Row],[UDC]],TableAvailabilities[],5,FALSE)&gt;0,"Y",""),"")</f>
        <v/>
      </c>
      <c r="K28" s="85" t="str">
        <f>IFERROR(IF(VLOOKUP(TableHandbook[[#This Row],[UDC]],TableAvailabilities[],6,FALSE)&gt;0,"Y",""),"")</f>
        <v/>
      </c>
      <c r="L28" s="85" t="str">
        <f>IFERROR(IF(VLOOKUP(TableHandbook[[#This Row],[UDC]],TableAvailabilities[],7,FALSE)&gt;0,"Y",""),"")</f>
        <v/>
      </c>
      <c r="M28" s="85" t="str">
        <f>IFERROR(IF(VLOOKUP(TableHandbook[[#This Row],[UDC]],TableAvailabilities[],8,FALSE)&gt;0,"Y",""),"")</f>
        <v>Y</v>
      </c>
      <c r="N28" s="85" t="str">
        <f>IFERROR(IF(VLOOKUP(TableHandbook[[#This Row],[UDC]],TableAvailabilities[],9,FALSE)&gt;0,"Y",""),"")</f>
        <v/>
      </c>
      <c r="O28"/>
      <c r="P28" s="76" t="str">
        <f>IFERROR(VLOOKUP(TableHandbook[[#This Row],[UDC]],TableMCARCH[],7,FALSE),"")</f>
        <v>Option</v>
      </c>
    </row>
    <row r="29" spans="1:16" x14ac:dyDescent="0.25">
      <c r="A29" t="s">
        <v>48</v>
      </c>
      <c r="B29" s="4">
        <v>3</v>
      </c>
      <c r="C29" s="4"/>
      <c r="D29" t="s">
        <v>150</v>
      </c>
      <c r="E29" s="4">
        <v>25</v>
      </c>
      <c r="F29" s="75" t="s">
        <v>119</v>
      </c>
      <c r="G29" s="84" t="str">
        <f>IFERROR(IF(VLOOKUP(TableHandbook[[#This Row],[UDC]],TableAvailabilities[],2,FALSE)&gt;0,"Y",""),"")</f>
        <v/>
      </c>
      <c r="H29" s="84" t="str">
        <f>IFERROR(IF(VLOOKUP(TableHandbook[[#This Row],[UDC]],TableAvailabilities[],3,FALSE)&gt;0,"Y",""),"")</f>
        <v/>
      </c>
      <c r="I29" s="84" t="str">
        <f>IFERROR(IF(VLOOKUP(TableHandbook[[#This Row],[UDC]],TableAvailabilities[],4,FALSE)&gt;0,"Y",""),"")</f>
        <v/>
      </c>
      <c r="J29" s="84" t="str">
        <f>IFERROR(IF(VLOOKUP(TableHandbook[[#This Row],[UDC]],TableAvailabilities[],5,FALSE)&gt;0,"Y",""),"")</f>
        <v/>
      </c>
      <c r="K29" s="85" t="str">
        <f>IFERROR(IF(VLOOKUP(TableHandbook[[#This Row],[UDC]],TableAvailabilities[],6,FALSE)&gt;0,"Y",""),"")</f>
        <v>Y</v>
      </c>
      <c r="L29" s="85" t="str">
        <f>IFERROR(IF(VLOOKUP(TableHandbook[[#This Row],[UDC]],TableAvailabilities[],7,FALSE)&gt;0,"Y",""),"")</f>
        <v/>
      </c>
      <c r="M29" s="85" t="str">
        <f>IFERROR(IF(VLOOKUP(TableHandbook[[#This Row],[UDC]],TableAvailabilities[],8,FALSE)&gt;0,"Y",""),"")</f>
        <v/>
      </c>
      <c r="N29" s="85" t="str">
        <f>IFERROR(IF(VLOOKUP(TableHandbook[[#This Row],[UDC]],TableAvailabilities[],9,FALSE)&gt;0,"Y",""),"")</f>
        <v/>
      </c>
      <c r="O29" t="s">
        <v>146</v>
      </c>
      <c r="P29" s="76" t="str">
        <f>IFERROR(VLOOKUP(TableHandbook[[#This Row],[UDC]],TableMCARCH[],7,FALSE),"")</f>
        <v>Option</v>
      </c>
    </row>
    <row r="30" spans="1:16" x14ac:dyDescent="0.25">
      <c r="A30" t="s">
        <v>49</v>
      </c>
      <c r="B30" s="4">
        <v>2</v>
      </c>
      <c r="C30" s="4"/>
      <c r="D30" t="s">
        <v>151</v>
      </c>
      <c r="E30" s="4">
        <v>25</v>
      </c>
      <c r="F30" s="75" t="s">
        <v>119</v>
      </c>
      <c r="G30" s="84" t="str">
        <f>IFERROR(IF(VLOOKUP(TableHandbook[[#This Row],[UDC]],TableAvailabilities[],2,FALSE)&gt;0,"Y",""),"")</f>
        <v/>
      </c>
      <c r="H30" s="84" t="str">
        <f>IFERROR(IF(VLOOKUP(TableHandbook[[#This Row],[UDC]],TableAvailabilities[],3,FALSE)&gt;0,"Y",""),"")</f>
        <v/>
      </c>
      <c r="I30" s="84" t="str">
        <f>IFERROR(IF(VLOOKUP(TableHandbook[[#This Row],[UDC]],TableAvailabilities[],4,FALSE)&gt;0,"Y",""),"")</f>
        <v/>
      </c>
      <c r="J30" s="84" t="str">
        <f>IFERROR(IF(VLOOKUP(TableHandbook[[#This Row],[UDC]],TableAvailabilities[],5,FALSE)&gt;0,"Y",""),"")</f>
        <v/>
      </c>
      <c r="K30" s="85" t="str">
        <f>IFERROR(IF(VLOOKUP(TableHandbook[[#This Row],[UDC]],TableAvailabilities[],6,FALSE)&gt;0,"Y",""),"")</f>
        <v/>
      </c>
      <c r="L30" s="85" t="str">
        <f>IFERROR(IF(VLOOKUP(TableHandbook[[#This Row],[UDC]],TableAvailabilities[],7,FALSE)&gt;0,"Y",""),"")</f>
        <v/>
      </c>
      <c r="M30" s="85" t="str">
        <f>IFERROR(IF(VLOOKUP(TableHandbook[[#This Row],[UDC]],TableAvailabilities[],8,FALSE)&gt;0,"Y",""),"")</f>
        <v>Y</v>
      </c>
      <c r="N30" s="85" t="str">
        <f>IFERROR(IF(VLOOKUP(TableHandbook[[#This Row],[UDC]],TableAvailabilities[],9,FALSE)&gt;0,"Y",""),"")</f>
        <v/>
      </c>
      <c r="O30"/>
      <c r="P30" s="76" t="str">
        <f>IFERROR(VLOOKUP(TableHandbook[[#This Row],[UDC]],TableMCARCH[],7,FALSE),"")</f>
        <v>Option</v>
      </c>
    </row>
    <row r="31" spans="1:16" x14ac:dyDescent="0.25">
      <c r="A31" t="s">
        <v>62</v>
      </c>
      <c r="B31" s="4">
        <v>1</v>
      </c>
      <c r="C31" s="4"/>
      <c r="D31" t="s">
        <v>152</v>
      </c>
      <c r="E31" s="4">
        <v>25</v>
      </c>
      <c r="F31" s="75" t="s">
        <v>119</v>
      </c>
      <c r="G31" s="84" t="str">
        <f>IFERROR(IF(VLOOKUP(TableHandbook[[#This Row],[UDC]],TableAvailabilities[],2,FALSE)&gt;0,"Y",""),"")</f>
        <v/>
      </c>
      <c r="H31" s="84" t="str">
        <f>IFERROR(IF(VLOOKUP(TableHandbook[[#This Row],[UDC]],TableAvailabilities[],3,FALSE)&gt;0,"Y",""),"")</f>
        <v/>
      </c>
      <c r="I31" s="84" t="str">
        <f>IFERROR(IF(VLOOKUP(TableHandbook[[#This Row],[UDC]],TableAvailabilities[],4,FALSE)&gt;0,"Y",""),"")</f>
        <v/>
      </c>
      <c r="J31" s="84" t="str">
        <f>IFERROR(IF(VLOOKUP(TableHandbook[[#This Row],[UDC]],TableAvailabilities[],5,FALSE)&gt;0,"Y",""),"")</f>
        <v/>
      </c>
      <c r="K31" s="85" t="str">
        <f>IFERROR(IF(VLOOKUP(TableHandbook[[#This Row],[UDC]],TableAvailabilities[],6,FALSE)&gt;0,"Y",""),"")</f>
        <v>Y</v>
      </c>
      <c r="L31" s="85" t="str">
        <f>IFERROR(IF(VLOOKUP(TableHandbook[[#This Row],[UDC]],TableAvailabilities[],7,FALSE)&gt;0,"Y",""),"")</f>
        <v>Y</v>
      </c>
      <c r="M31" s="85" t="str">
        <f>IFERROR(IF(VLOOKUP(TableHandbook[[#This Row],[UDC]],TableAvailabilities[],8,FALSE)&gt;0,"Y",""),"")</f>
        <v>Y</v>
      </c>
      <c r="N31" s="85" t="str">
        <f>IFERROR(IF(VLOOKUP(TableHandbook[[#This Row],[UDC]],TableAvailabilities[],9,FALSE)&gt;0,"Y",""),"")</f>
        <v>Y</v>
      </c>
      <c r="O31"/>
      <c r="P31" s="76" t="str">
        <f>IFERROR(VLOOKUP(TableHandbook[[#This Row],[UDC]],TableMCARCH[],7,FALSE),"")</f>
        <v>Core</v>
      </c>
    </row>
    <row r="32" spans="1:16" x14ac:dyDescent="0.25">
      <c r="A32" t="s">
        <v>50</v>
      </c>
      <c r="B32" s="4">
        <v>1</v>
      </c>
      <c r="C32" s="4"/>
      <c r="D32" t="s">
        <v>153</v>
      </c>
      <c r="E32" s="4">
        <v>25</v>
      </c>
      <c r="F32" s="75" t="s">
        <v>154</v>
      </c>
      <c r="G32" s="84" t="str">
        <f>IFERROR(IF(VLOOKUP(TableHandbook[[#This Row],[UDC]],TableAvailabilities[],2,FALSE)&gt;0,"Y",""),"")</f>
        <v/>
      </c>
      <c r="H32" s="84" t="str">
        <f>IFERROR(IF(VLOOKUP(TableHandbook[[#This Row],[UDC]],TableAvailabilities[],3,FALSE)&gt;0,"Y",""),"")</f>
        <v/>
      </c>
      <c r="I32" s="84" t="str">
        <f>IFERROR(IF(VLOOKUP(TableHandbook[[#This Row],[UDC]],TableAvailabilities[],4,FALSE)&gt;0,"Y",""),"")</f>
        <v/>
      </c>
      <c r="J32" s="84" t="str">
        <f>IFERROR(IF(VLOOKUP(TableHandbook[[#This Row],[UDC]],TableAvailabilities[],5,FALSE)&gt;0,"Y",""),"")</f>
        <v/>
      </c>
      <c r="K32" s="85" t="str">
        <f>IFERROR(IF(VLOOKUP(TableHandbook[[#This Row],[UDC]],TableAvailabilities[],6,FALSE)&gt;0,"Y",""),"")</f>
        <v/>
      </c>
      <c r="L32" s="85" t="str">
        <f>IFERROR(IF(VLOOKUP(TableHandbook[[#This Row],[UDC]],TableAvailabilities[],7,FALSE)&gt;0,"Y",""),"")</f>
        <v/>
      </c>
      <c r="M32" s="85" t="str">
        <f>IFERROR(IF(VLOOKUP(TableHandbook[[#This Row],[UDC]],TableAvailabilities[],8,FALSE)&gt;0,"Y",""),"")</f>
        <v/>
      </c>
      <c r="N32" s="85" t="str">
        <f>IFERROR(IF(VLOOKUP(TableHandbook[[#This Row],[UDC]],TableAvailabilities[],9,FALSE)&gt;0,"Y",""),"")</f>
        <v/>
      </c>
      <c r="O32"/>
      <c r="P32" s="76" t="str">
        <f>IFERROR(VLOOKUP(TableHandbook[[#This Row],[UDC]],TableMCARCH[],7,FALSE),"")</f>
        <v>Option</v>
      </c>
    </row>
    <row r="33" spans="1:16" x14ac:dyDescent="0.25">
      <c r="A33" t="s">
        <v>51</v>
      </c>
      <c r="B33" s="4">
        <v>2</v>
      </c>
      <c r="C33" s="4"/>
      <c r="D33" t="s">
        <v>155</v>
      </c>
      <c r="E33" s="4">
        <v>25</v>
      </c>
      <c r="F33" s="75" t="s">
        <v>154</v>
      </c>
      <c r="G33" s="84" t="str">
        <f>IFERROR(IF(VLOOKUP(TableHandbook[[#This Row],[UDC]],TableAvailabilities[],2,FALSE)&gt;0,"Y",""),"")</f>
        <v/>
      </c>
      <c r="H33" s="84" t="str">
        <f>IFERROR(IF(VLOOKUP(TableHandbook[[#This Row],[UDC]],TableAvailabilities[],3,FALSE)&gt;0,"Y",""),"")</f>
        <v/>
      </c>
      <c r="I33" s="84" t="str">
        <f>IFERROR(IF(VLOOKUP(TableHandbook[[#This Row],[UDC]],TableAvailabilities[],4,FALSE)&gt;0,"Y",""),"")</f>
        <v/>
      </c>
      <c r="J33" s="84" t="str">
        <f>IFERROR(IF(VLOOKUP(TableHandbook[[#This Row],[UDC]],TableAvailabilities[],5,FALSE)&gt;0,"Y",""),"")</f>
        <v/>
      </c>
      <c r="K33" s="85" t="str">
        <f>IFERROR(IF(VLOOKUP(TableHandbook[[#This Row],[UDC]],TableAvailabilities[],6,FALSE)&gt;0,"Y",""),"")</f>
        <v/>
      </c>
      <c r="L33" s="85" t="str">
        <f>IFERROR(IF(VLOOKUP(TableHandbook[[#This Row],[UDC]],TableAvailabilities[],7,FALSE)&gt;0,"Y",""),"")</f>
        <v/>
      </c>
      <c r="M33" s="85" t="str">
        <f>IFERROR(IF(VLOOKUP(TableHandbook[[#This Row],[UDC]],TableAvailabilities[],8,FALSE)&gt;0,"Y",""),"")</f>
        <v/>
      </c>
      <c r="N33" s="85" t="str">
        <f>IFERROR(IF(VLOOKUP(TableHandbook[[#This Row],[UDC]],TableAvailabilities[],9,FALSE)&gt;0,"Y",""),"")</f>
        <v/>
      </c>
      <c r="O33"/>
      <c r="P33" s="76" t="str">
        <f>IFERROR(VLOOKUP(TableHandbook[[#This Row],[UDC]],TableMCARCH[],7,FALSE),"")</f>
        <v>Option</v>
      </c>
    </row>
  </sheetData>
  <sortState xmlns:xlrd2="http://schemas.microsoft.com/office/spreadsheetml/2017/richdata2" ref="A24:D37">
    <sortCondition ref="A24"/>
  </sortState>
  <conditionalFormatting sqref="A3:A33">
    <cfRule type="duplicateValues" dxfId="4" priority="36"/>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2"/>
  <sheetViews>
    <sheetView zoomScale="70" zoomScaleNormal="70" workbookViewId="0">
      <selection activeCell="D28" sqref="D28"/>
    </sheetView>
  </sheetViews>
  <sheetFormatPr defaultRowHeight="15.75" x14ac:dyDescent="0.25"/>
  <cols>
    <col min="1" max="1" width="11.875" customWidth="1"/>
    <col min="2" max="2" width="10.5" bestFit="1" customWidth="1"/>
    <col min="3" max="3" width="12.5" bestFit="1" customWidth="1"/>
    <col min="4" max="4" width="48.75" bestFit="1" customWidth="1"/>
    <col min="5" max="5" width="6.875" bestFit="1" customWidth="1"/>
    <col min="6" max="6" width="11.5" bestFit="1" customWidth="1"/>
    <col min="7" max="7" width="18.375" bestFit="1" customWidth="1"/>
    <col min="8" max="8" width="12.75" bestFit="1" customWidth="1"/>
    <col min="9" max="9" width="14.625" bestFit="1" customWidth="1"/>
    <col min="10" max="10" width="20.5" bestFit="1" customWidth="1"/>
    <col min="11" max="11" width="7.125" bestFit="1" customWidth="1"/>
    <col min="12" max="12" width="48.75" bestFit="1" customWidth="1"/>
    <col min="13" max="13" width="14.75" bestFit="1" customWidth="1"/>
    <col min="14" max="14" width="12.5" bestFit="1" customWidth="1"/>
    <col min="15" max="15" width="11.25" bestFit="1" customWidth="1"/>
    <col min="17" max="17" width="10.625" bestFit="1" customWidth="1"/>
    <col min="18" max="18" width="7.125" bestFit="1" customWidth="1"/>
  </cols>
  <sheetData>
    <row r="1" spans="1:18" ht="18.75" x14ac:dyDescent="0.3">
      <c r="A1" s="77" t="s">
        <v>156</v>
      </c>
      <c r="F1" s="41"/>
      <c r="G1" s="42" t="s">
        <v>157</v>
      </c>
      <c r="H1" s="81">
        <v>44927</v>
      </c>
      <c r="I1" s="53"/>
      <c r="J1" s="53" t="s">
        <v>74</v>
      </c>
      <c r="K1" s="82" t="s">
        <v>75</v>
      </c>
      <c r="L1" s="53" t="s">
        <v>11</v>
      </c>
      <c r="M1" s="55"/>
      <c r="N1" s="56" t="s">
        <v>158</v>
      </c>
      <c r="O1" s="57">
        <v>45517</v>
      </c>
      <c r="Q1" s="57">
        <v>45292</v>
      </c>
    </row>
    <row r="2" spans="1:18" x14ac:dyDescent="0.25">
      <c r="A2" s="36" t="s">
        <v>0</v>
      </c>
      <c r="B2" s="36" t="s">
        <v>159</v>
      </c>
      <c r="C2" s="36" t="s">
        <v>160</v>
      </c>
      <c r="D2" s="36" t="s">
        <v>3</v>
      </c>
      <c r="E2" s="38" t="s">
        <v>161</v>
      </c>
      <c r="F2" s="36" t="s">
        <v>162</v>
      </c>
      <c r="G2" s="36" t="s">
        <v>163</v>
      </c>
      <c r="H2" s="36" t="s">
        <v>164</v>
      </c>
      <c r="I2" s="36" t="s">
        <v>18</v>
      </c>
      <c r="J2" s="36" t="s">
        <v>165</v>
      </c>
      <c r="K2" s="36" t="s">
        <v>1</v>
      </c>
      <c r="L2" s="36" t="s">
        <v>166</v>
      </c>
      <c r="M2" s="36" t="s">
        <v>71</v>
      </c>
      <c r="N2" s="36" t="s">
        <v>167</v>
      </c>
      <c r="O2" s="36" t="s">
        <v>168</v>
      </c>
      <c r="Q2" t="s">
        <v>169</v>
      </c>
      <c r="R2" t="s">
        <v>1</v>
      </c>
    </row>
    <row r="3" spans="1:18" x14ac:dyDescent="0.25">
      <c r="A3" s="36" t="str">
        <f>TableMCARCH[[#This Row],[Study Package Code]]</f>
        <v>ARCH5007</v>
      </c>
      <c r="B3" s="37">
        <f>TableMCARCH[[#This Row],[Ver]]</f>
        <v>2</v>
      </c>
      <c r="C3" s="37"/>
      <c r="D3" s="36" t="str">
        <f>TableMCARCH[[#This Row],[Structure Line]]</f>
        <v>Architectural Systems and Research Methods</v>
      </c>
      <c r="E3" s="39">
        <f>TableMCARCH[[#This Row],[Credit Points]]</f>
        <v>25</v>
      </c>
      <c r="F3" s="40">
        <v>1</v>
      </c>
      <c r="G3" s="36" t="s">
        <v>170</v>
      </c>
      <c r="H3" s="36">
        <v>1</v>
      </c>
      <c r="I3" s="36" t="s">
        <v>171</v>
      </c>
      <c r="J3" s="36" t="s">
        <v>60</v>
      </c>
      <c r="K3" s="36">
        <v>2</v>
      </c>
      <c r="L3" s="36" t="s">
        <v>120</v>
      </c>
      <c r="M3" s="36">
        <v>25</v>
      </c>
      <c r="N3" s="54">
        <v>43101</v>
      </c>
      <c r="O3" s="54"/>
      <c r="Q3" t="s">
        <v>60</v>
      </c>
      <c r="R3">
        <v>2</v>
      </c>
    </row>
    <row r="4" spans="1:18" x14ac:dyDescent="0.25">
      <c r="A4" s="36" t="str">
        <f>TableMCARCH[[#This Row],[Study Package Code]]</f>
        <v>ARCH5006</v>
      </c>
      <c r="B4" s="37">
        <f>TableMCARCH[[#This Row],[Ver]]</f>
        <v>3</v>
      </c>
      <c r="C4" s="37"/>
      <c r="D4" s="36" t="str">
        <f>TableMCARCH[[#This Row],[Structure Line]]</f>
        <v>Architecture and Culture Research Topics and Methods</v>
      </c>
      <c r="E4" s="39">
        <f>TableMCARCH[[#This Row],[Credit Points]]</f>
        <v>25</v>
      </c>
      <c r="F4" s="36">
        <v>2</v>
      </c>
      <c r="G4" s="36" t="s">
        <v>170</v>
      </c>
      <c r="H4" s="36">
        <v>1</v>
      </c>
      <c r="I4" s="36" t="s">
        <v>171</v>
      </c>
      <c r="J4" s="36" t="s">
        <v>64</v>
      </c>
      <c r="K4" s="36">
        <v>3</v>
      </c>
      <c r="L4" s="36" t="s">
        <v>118</v>
      </c>
      <c r="M4" s="36">
        <v>25</v>
      </c>
      <c r="N4" s="54">
        <v>45108</v>
      </c>
      <c r="O4" s="54"/>
      <c r="Q4" t="s">
        <v>64</v>
      </c>
      <c r="R4">
        <v>3</v>
      </c>
    </row>
    <row r="5" spans="1:18" x14ac:dyDescent="0.25">
      <c r="A5" s="36" t="str">
        <f>TableMCARCH[[#This Row],[Study Package Code]]</f>
        <v>ARCH5031</v>
      </c>
      <c r="B5" s="37">
        <f>TableMCARCH[[#This Row],[Ver]]</f>
        <v>1</v>
      </c>
      <c r="C5" s="37"/>
      <c r="D5" s="36" t="str">
        <f>TableMCARCH[[#This Row],[Structure Line]]</f>
        <v>Urban Design Studio</v>
      </c>
      <c r="E5" s="39">
        <f>TableMCARCH[[#This Row],[Credit Points]]</f>
        <v>50</v>
      </c>
      <c r="F5" s="36">
        <v>3</v>
      </c>
      <c r="G5" s="36" t="s">
        <v>170</v>
      </c>
      <c r="H5" s="36">
        <v>1</v>
      </c>
      <c r="I5" s="36" t="s">
        <v>171</v>
      </c>
      <c r="J5" s="36" t="s">
        <v>73</v>
      </c>
      <c r="K5" s="36">
        <v>1</v>
      </c>
      <c r="L5" s="36" t="s">
        <v>125</v>
      </c>
      <c r="M5" s="36">
        <v>50</v>
      </c>
      <c r="N5" s="54">
        <v>44562</v>
      </c>
      <c r="O5" s="54"/>
      <c r="Q5" t="s">
        <v>73</v>
      </c>
      <c r="R5">
        <v>1</v>
      </c>
    </row>
    <row r="6" spans="1:18" x14ac:dyDescent="0.25">
      <c r="A6" s="36" t="str">
        <f>TableMCARCH[[#This Row],[Study Package Code]]</f>
        <v>ARCH5033</v>
      </c>
      <c r="B6" s="37">
        <f>TableMCARCH[[#This Row],[Ver]]</f>
        <v>1</v>
      </c>
      <c r="C6" s="37"/>
      <c r="D6" s="36" t="str">
        <f>TableMCARCH[[#This Row],[Structure Line]]</f>
        <v>Complex Buildings Studio</v>
      </c>
      <c r="E6" s="39">
        <f>TableMCARCH[[#This Row],[Credit Points]]</f>
        <v>50</v>
      </c>
      <c r="F6" s="36">
        <v>4</v>
      </c>
      <c r="G6" s="36" t="s">
        <v>170</v>
      </c>
      <c r="H6" s="36">
        <v>1</v>
      </c>
      <c r="I6" s="36" t="s">
        <v>172</v>
      </c>
      <c r="J6" s="36" t="s">
        <v>84</v>
      </c>
      <c r="K6" s="36">
        <v>1</v>
      </c>
      <c r="L6" s="36" t="s">
        <v>126</v>
      </c>
      <c r="M6" s="36">
        <v>50</v>
      </c>
      <c r="N6" s="54">
        <v>44562</v>
      </c>
      <c r="O6" s="54"/>
      <c r="Q6" t="s">
        <v>84</v>
      </c>
      <c r="R6">
        <v>1</v>
      </c>
    </row>
    <row r="7" spans="1:18" x14ac:dyDescent="0.25">
      <c r="A7" s="36" t="str">
        <f>TableMCARCH[[#This Row],[Study Package Code]]</f>
        <v>URDE6006</v>
      </c>
      <c r="B7" s="37">
        <f>TableMCARCH[[#This Row],[Ver]]</f>
        <v>1</v>
      </c>
      <c r="C7" s="37"/>
      <c r="D7" s="36" t="str">
        <f>TableMCARCH[[#This Row],[Structure Line]]</f>
        <v>Design and Built Environment Research Methods</v>
      </c>
      <c r="E7" s="39">
        <f>TableMCARCH[[#This Row],[Credit Points]]</f>
        <v>25</v>
      </c>
      <c r="F7" s="36">
        <v>5</v>
      </c>
      <c r="G7" s="36" t="s">
        <v>170</v>
      </c>
      <c r="H7" s="36">
        <v>1</v>
      </c>
      <c r="I7" s="36" t="s">
        <v>172</v>
      </c>
      <c r="J7" s="36" t="s">
        <v>62</v>
      </c>
      <c r="K7" s="36">
        <v>1</v>
      </c>
      <c r="L7" s="36" t="s">
        <v>152</v>
      </c>
      <c r="M7" s="36">
        <v>25</v>
      </c>
      <c r="N7" s="54">
        <v>44562</v>
      </c>
      <c r="O7" s="54"/>
      <c r="Q7" t="s">
        <v>62</v>
      </c>
      <c r="R7">
        <v>1</v>
      </c>
    </row>
    <row r="8" spans="1:18" x14ac:dyDescent="0.25">
      <c r="A8" s="36" t="str">
        <f>TableMCARCH[[#This Row],[Study Package Code]]</f>
        <v>Option</v>
      </c>
      <c r="B8" s="37">
        <f>TableMCARCH[[#This Row],[Ver]]</f>
        <v>0</v>
      </c>
      <c r="C8" s="37"/>
      <c r="D8" s="36" t="str">
        <f>TableMCARCH[[#This Row],[Structure Line]]</f>
        <v>Choose an Option</v>
      </c>
      <c r="E8" s="39">
        <f>TableMCARCH[[#This Row],[Credit Points]]</f>
        <v>0</v>
      </c>
      <c r="F8" s="36">
        <v>6</v>
      </c>
      <c r="G8" s="36" t="s">
        <v>65</v>
      </c>
      <c r="H8" s="36">
        <v>1</v>
      </c>
      <c r="I8" s="36" t="s">
        <v>172</v>
      </c>
      <c r="J8" s="36" t="s">
        <v>65</v>
      </c>
      <c r="K8" s="36">
        <v>0</v>
      </c>
      <c r="L8" s="36" t="s">
        <v>173</v>
      </c>
      <c r="M8" s="36"/>
      <c r="N8" s="54"/>
      <c r="O8" s="54"/>
      <c r="Q8" t="s">
        <v>65</v>
      </c>
      <c r="R8">
        <v>0</v>
      </c>
    </row>
    <row r="9" spans="1:18" x14ac:dyDescent="0.25">
      <c r="A9" s="36" t="str">
        <f>TableMCARCH[[#This Row],[Study Package Code]]</f>
        <v>ARCH6007</v>
      </c>
      <c r="B9" s="37">
        <f>TableMCARCH[[#This Row],[Ver]]</f>
        <v>2</v>
      </c>
      <c r="C9" s="37"/>
      <c r="D9" s="36" t="str">
        <f>TableMCARCH[[#This Row],[Structure Line]]</f>
        <v>Architectural Professional Project Delivery</v>
      </c>
      <c r="E9" s="39">
        <f>TableMCARCH[[#This Row],[Credit Points]]</f>
        <v>25</v>
      </c>
      <c r="F9" s="36">
        <v>7</v>
      </c>
      <c r="G9" s="36" t="s">
        <v>170</v>
      </c>
      <c r="H9" s="36">
        <v>2</v>
      </c>
      <c r="I9" s="36" t="s">
        <v>171</v>
      </c>
      <c r="J9" s="36" t="s">
        <v>89</v>
      </c>
      <c r="K9" s="36">
        <v>2</v>
      </c>
      <c r="L9" s="36" t="s">
        <v>127</v>
      </c>
      <c r="M9" s="36">
        <v>25</v>
      </c>
      <c r="N9" s="54">
        <v>44562</v>
      </c>
      <c r="O9" s="54"/>
      <c r="Q9" t="s">
        <v>89</v>
      </c>
      <c r="R9">
        <v>2</v>
      </c>
    </row>
    <row r="10" spans="1:18" x14ac:dyDescent="0.25">
      <c r="A10" s="36" t="str">
        <f>TableMCARCH[[#This Row],[Study Package Code]]</f>
        <v>ARCH6026</v>
      </c>
      <c r="B10" s="37">
        <f>TableMCARCH[[#This Row],[Ver]]</f>
        <v>2</v>
      </c>
      <c r="C10" s="37"/>
      <c r="D10" s="36" t="str">
        <f>TableMCARCH[[#This Row],[Structure Line]]</f>
        <v>Architectural Thesis Project 1</v>
      </c>
      <c r="E10" s="39">
        <f>TableMCARCH[[#This Row],[Credit Points]]</f>
        <v>25</v>
      </c>
      <c r="F10" s="36">
        <v>8</v>
      </c>
      <c r="G10" s="36" t="s">
        <v>170</v>
      </c>
      <c r="H10" s="36">
        <v>2</v>
      </c>
      <c r="I10" s="36" t="s">
        <v>171</v>
      </c>
      <c r="J10" s="36" t="s">
        <v>80</v>
      </c>
      <c r="K10" s="36">
        <v>2</v>
      </c>
      <c r="L10" s="36" t="s">
        <v>133</v>
      </c>
      <c r="M10" s="36">
        <v>25</v>
      </c>
      <c r="N10" s="54">
        <v>45292</v>
      </c>
      <c r="O10" s="54"/>
      <c r="Q10" t="s">
        <v>80</v>
      </c>
      <c r="R10">
        <v>2</v>
      </c>
    </row>
    <row r="11" spans="1:18" x14ac:dyDescent="0.25">
      <c r="A11" s="36" t="str">
        <f>TableMCARCH[[#This Row],[Study Package Code]]</f>
        <v>ARCH6017</v>
      </c>
      <c r="B11" s="37">
        <f>TableMCARCH[[#This Row],[Ver]]</f>
        <v>1</v>
      </c>
      <c r="C11" s="37"/>
      <c r="D11" s="36" t="str">
        <f>TableMCARCH[[#This Row],[Structure Line]]</f>
        <v>Praxis Studio</v>
      </c>
      <c r="E11" s="39">
        <f>TableMCARCH[[#This Row],[Credit Points]]</f>
        <v>50</v>
      </c>
      <c r="F11" s="36">
        <v>9</v>
      </c>
      <c r="G11" s="36" t="s">
        <v>170</v>
      </c>
      <c r="H11" s="36">
        <v>2</v>
      </c>
      <c r="I11" s="36" t="s">
        <v>171</v>
      </c>
      <c r="J11" s="36" t="s">
        <v>93</v>
      </c>
      <c r="K11" s="36">
        <v>1</v>
      </c>
      <c r="L11" s="36" t="s">
        <v>129</v>
      </c>
      <c r="M11" s="36">
        <v>50</v>
      </c>
      <c r="N11" s="54">
        <v>44562</v>
      </c>
      <c r="O11" s="54"/>
      <c r="Q11" t="s">
        <v>93</v>
      </c>
      <c r="R11">
        <v>1</v>
      </c>
    </row>
    <row r="12" spans="1:18" x14ac:dyDescent="0.25">
      <c r="A12" s="36" t="str">
        <f>TableMCARCH[[#This Row],[Study Package Code]]</f>
        <v>ARCH6021</v>
      </c>
      <c r="B12" s="37">
        <f>TableMCARCH[[#This Row],[Ver]]</f>
        <v>1</v>
      </c>
      <c r="C12" s="37"/>
      <c r="D12" s="36" t="str">
        <f>TableMCARCH[[#This Row],[Structure Line]]</f>
        <v>Architectural Practical Experience</v>
      </c>
      <c r="E12" s="39">
        <f>TableMCARCH[[#This Row],[Credit Points]]</f>
        <v>25</v>
      </c>
      <c r="F12" s="36">
        <v>10</v>
      </c>
      <c r="G12" s="36" t="s">
        <v>170</v>
      </c>
      <c r="H12" s="36">
        <v>2</v>
      </c>
      <c r="I12" s="36" t="s">
        <v>172</v>
      </c>
      <c r="J12" s="36" t="s">
        <v>91</v>
      </c>
      <c r="K12" s="36">
        <v>1</v>
      </c>
      <c r="L12" s="36" t="s">
        <v>174</v>
      </c>
      <c r="M12" s="36">
        <v>25</v>
      </c>
      <c r="N12" s="54">
        <v>44562</v>
      </c>
      <c r="O12" s="54"/>
      <c r="Q12" t="s">
        <v>91</v>
      </c>
      <c r="R12">
        <v>1</v>
      </c>
    </row>
    <row r="13" spans="1:18" x14ac:dyDescent="0.25">
      <c r="A13" s="36" t="str">
        <f>TableMCARCH[[#This Row],[Study Package Code]]</f>
        <v>ARCH6009</v>
      </c>
      <c r="B13" s="37">
        <f>TableMCARCH[[#This Row],[Ver]]</f>
        <v>2</v>
      </c>
      <c r="C13" s="37"/>
      <c r="D13" s="36" t="str">
        <f>TableMCARCH[[#This Row],[Structure Line]]</f>
        <v>Architectural Practice Management</v>
      </c>
      <c r="E13" s="39">
        <f>TableMCARCH[[#This Row],[Credit Points]]</f>
        <v>25</v>
      </c>
      <c r="F13" s="36">
        <v>11</v>
      </c>
      <c r="G13" s="36" t="s">
        <v>170</v>
      </c>
      <c r="H13" s="36">
        <v>2</v>
      </c>
      <c r="I13" s="36" t="s">
        <v>172</v>
      </c>
      <c r="J13" s="36" t="s">
        <v>92</v>
      </c>
      <c r="K13" s="36">
        <v>2</v>
      </c>
      <c r="L13" s="36" t="s">
        <v>128</v>
      </c>
      <c r="M13" s="36">
        <v>25</v>
      </c>
      <c r="N13" s="54">
        <v>44562</v>
      </c>
      <c r="O13" s="54"/>
      <c r="Q13" t="s">
        <v>92</v>
      </c>
      <c r="R13">
        <v>2</v>
      </c>
    </row>
    <row r="14" spans="1:18" x14ac:dyDescent="0.25">
      <c r="A14" s="36" t="str">
        <f>TableMCARCH[[#This Row],[Study Package Code]]</f>
        <v>ARCH6019</v>
      </c>
      <c r="B14" s="37">
        <f>TableMCARCH[[#This Row],[Ver]]</f>
        <v>1</v>
      </c>
      <c r="C14" s="37"/>
      <c r="D14" s="36" t="str">
        <f>TableMCARCH[[#This Row],[Structure Line]]</f>
        <v>Architectural Thesis Project 2</v>
      </c>
      <c r="E14" s="39">
        <f>TableMCARCH[[#This Row],[Credit Points]]</f>
        <v>50</v>
      </c>
      <c r="F14" s="36">
        <v>12</v>
      </c>
      <c r="G14" s="36" t="s">
        <v>170</v>
      </c>
      <c r="H14" s="36">
        <v>2</v>
      </c>
      <c r="I14" s="36" t="s">
        <v>172</v>
      </c>
      <c r="J14" s="36" t="s">
        <v>95</v>
      </c>
      <c r="K14" s="36">
        <v>1</v>
      </c>
      <c r="L14" s="36" t="s">
        <v>130</v>
      </c>
      <c r="M14" s="36">
        <v>50</v>
      </c>
      <c r="N14" s="54">
        <v>44562</v>
      </c>
      <c r="O14" s="54"/>
      <c r="Q14" t="s">
        <v>95</v>
      </c>
      <c r="R14">
        <v>1</v>
      </c>
    </row>
    <row r="15" spans="1:18" x14ac:dyDescent="0.25">
      <c r="A15" s="36" t="str">
        <f>TableMCARCH[[#This Row],[Study Package Code]]</f>
        <v>ARCH5008</v>
      </c>
      <c r="B15" s="37">
        <f>TableMCARCH[[#This Row],[Ver]]</f>
        <v>2</v>
      </c>
      <c r="C15" s="37"/>
      <c r="D15" s="36" t="str">
        <f>TableMCARCH[[#This Row],[Structure Line]]</f>
        <v>Advanced Architectural Systems Research Applications</v>
      </c>
      <c r="E15" s="39">
        <f>TableMCARCH[[#This Row],[Credit Points]]</f>
        <v>25</v>
      </c>
      <c r="F15" s="36">
        <v>6</v>
      </c>
      <c r="G15" s="36" t="s">
        <v>65</v>
      </c>
      <c r="H15" s="36">
        <v>1</v>
      </c>
      <c r="I15" s="36" t="s">
        <v>172</v>
      </c>
      <c r="J15" s="36" t="s">
        <v>29</v>
      </c>
      <c r="K15" s="36">
        <v>2</v>
      </c>
      <c r="L15" s="36" t="s">
        <v>121</v>
      </c>
      <c r="M15" s="36">
        <v>25</v>
      </c>
      <c r="N15" s="54">
        <v>43101</v>
      </c>
      <c r="O15" s="54"/>
      <c r="Q15" t="s">
        <v>29</v>
      </c>
      <c r="R15">
        <v>2</v>
      </c>
    </row>
    <row r="16" spans="1:18" x14ac:dyDescent="0.25">
      <c r="A16" s="36" t="str">
        <f>TableMCARCH[[#This Row],[Study Package Code]]</f>
        <v>ARCH5009</v>
      </c>
      <c r="B16" s="37">
        <f>TableMCARCH[[#This Row],[Ver]]</f>
        <v>2</v>
      </c>
      <c r="C16" s="37"/>
      <c r="D16" s="36" t="str">
        <f>TableMCARCH[[#This Row],[Structure Line]]</f>
        <v>Architecture and Culture Research Applications</v>
      </c>
      <c r="E16" s="39">
        <f>TableMCARCH[[#This Row],[Credit Points]]</f>
        <v>25</v>
      </c>
      <c r="F16" s="36">
        <v>6</v>
      </c>
      <c r="G16" s="36" t="s">
        <v>65</v>
      </c>
      <c r="H16" s="36">
        <v>1</v>
      </c>
      <c r="I16" s="36" t="s">
        <v>172</v>
      </c>
      <c r="J16" s="36" t="s">
        <v>122</v>
      </c>
      <c r="K16" s="36">
        <v>2</v>
      </c>
      <c r="L16" s="36" t="s">
        <v>123</v>
      </c>
      <c r="M16" s="36">
        <v>25</v>
      </c>
      <c r="N16" s="54">
        <v>43101</v>
      </c>
      <c r="O16" s="54"/>
      <c r="Q16" t="s">
        <v>122</v>
      </c>
      <c r="R16">
        <v>2</v>
      </c>
    </row>
    <row r="17" spans="1:18" x14ac:dyDescent="0.25">
      <c r="A17" s="36" t="str">
        <f>TableMCARCH[[#This Row],[Study Package Code]]</f>
        <v>GRDE5012</v>
      </c>
      <c r="B17" s="37">
        <f>TableMCARCH[[#This Row],[Ver]]</f>
        <v>1</v>
      </c>
      <c r="C17" s="37"/>
      <c r="D17" s="36" t="str">
        <f>TableMCARCH[[#This Row],[Structure Line]]</f>
        <v>Design Paradigms</v>
      </c>
      <c r="E17" s="39">
        <f>TableMCARCH[[#This Row],[Credit Points]]</f>
        <v>25</v>
      </c>
      <c r="F17" s="36">
        <v>6</v>
      </c>
      <c r="G17" s="36" t="s">
        <v>65</v>
      </c>
      <c r="H17" s="36">
        <v>1</v>
      </c>
      <c r="I17" s="36" t="s">
        <v>172</v>
      </c>
      <c r="J17" s="36" t="s">
        <v>31</v>
      </c>
      <c r="K17" s="36">
        <v>1</v>
      </c>
      <c r="L17" s="36" t="s">
        <v>135</v>
      </c>
      <c r="M17" s="36">
        <v>25</v>
      </c>
      <c r="N17" s="54">
        <v>44197</v>
      </c>
      <c r="O17" s="54"/>
      <c r="Q17" t="s">
        <v>31</v>
      </c>
      <c r="R17">
        <v>1</v>
      </c>
    </row>
    <row r="18" spans="1:18" x14ac:dyDescent="0.25">
      <c r="A18" s="36" t="str">
        <f>TableMCARCH[[#This Row],[Study Package Code]]</f>
        <v>GRDE5013</v>
      </c>
      <c r="B18" s="37">
        <f>TableMCARCH[[#This Row],[Ver]]</f>
        <v>1</v>
      </c>
      <c r="C18" s="37"/>
      <c r="D18" s="36" t="str">
        <f>TableMCARCH[[#This Row],[Structure Line]]</f>
        <v>Design Entrepreneurship</v>
      </c>
      <c r="E18" s="39">
        <f>TableMCARCH[[#This Row],[Credit Points]]</f>
        <v>25</v>
      </c>
      <c r="F18" s="36">
        <v>6</v>
      </c>
      <c r="G18" s="36" t="s">
        <v>65</v>
      </c>
      <c r="H18" s="36">
        <v>1</v>
      </c>
      <c r="I18" s="36" t="s">
        <v>172</v>
      </c>
      <c r="J18" s="36" t="s">
        <v>33</v>
      </c>
      <c r="K18" s="36">
        <v>1</v>
      </c>
      <c r="L18" s="36" t="s">
        <v>136</v>
      </c>
      <c r="M18" s="36">
        <v>25</v>
      </c>
      <c r="N18" s="54">
        <v>44197</v>
      </c>
      <c r="O18" s="54"/>
      <c r="Q18" t="s">
        <v>33</v>
      </c>
      <c r="R18">
        <v>1</v>
      </c>
    </row>
    <row r="19" spans="1:18" x14ac:dyDescent="0.25">
      <c r="A19" s="36" t="str">
        <f>TableMCARCH[[#This Row],[Study Package Code]]</f>
        <v>GRDE5014</v>
      </c>
      <c r="B19" s="37">
        <f>TableMCARCH[[#This Row],[Ver]]</f>
        <v>1</v>
      </c>
      <c r="C19" s="37"/>
      <c r="D19" s="36" t="str">
        <f>TableMCARCH[[#This Row],[Structure Line]]</f>
        <v>Future Interfaces</v>
      </c>
      <c r="E19" s="39">
        <f>TableMCARCH[[#This Row],[Credit Points]]</f>
        <v>25</v>
      </c>
      <c r="F19" s="36">
        <v>6</v>
      </c>
      <c r="G19" s="36" t="s">
        <v>65</v>
      </c>
      <c r="H19" s="36">
        <v>1</v>
      </c>
      <c r="I19" s="36" t="s">
        <v>172</v>
      </c>
      <c r="J19" s="36" t="s">
        <v>35</v>
      </c>
      <c r="K19" s="36">
        <v>1</v>
      </c>
      <c r="L19" s="36" t="s">
        <v>137</v>
      </c>
      <c r="M19" s="36">
        <v>25</v>
      </c>
      <c r="N19" s="54">
        <v>44197</v>
      </c>
      <c r="O19" s="54"/>
      <c r="Q19" t="s">
        <v>35</v>
      </c>
      <c r="R19">
        <v>1</v>
      </c>
    </row>
    <row r="20" spans="1:18" x14ac:dyDescent="0.25">
      <c r="A20" s="36" t="str">
        <f>TableMCARCH[[#This Row],[Study Package Code]]</f>
        <v>PRJM6000</v>
      </c>
      <c r="B20" s="37">
        <f>TableMCARCH[[#This Row],[Ver]]</f>
        <v>1</v>
      </c>
      <c r="C20" s="37"/>
      <c r="D20" s="36" t="str">
        <f>TableMCARCH[[#This Row],[Structure Line]]</f>
        <v>Project Management Overview</v>
      </c>
      <c r="E20" s="39">
        <f>TableMCARCH[[#This Row],[Credit Points]]</f>
        <v>25</v>
      </c>
      <c r="F20" s="36">
        <v>6</v>
      </c>
      <c r="G20" s="36" t="s">
        <v>65</v>
      </c>
      <c r="H20" s="36">
        <v>1</v>
      </c>
      <c r="I20" s="36" t="s">
        <v>172</v>
      </c>
      <c r="J20" s="36" t="s">
        <v>36</v>
      </c>
      <c r="K20" s="36">
        <v>1</v>
      </c>
      <c r="L20" s="36" t="s">
        <v>140</v>
      </c>
      <c r="M20" s="36">
        <v>25</v>
      </c>
      <c r="N20" s="54">
        <v>42005</v>
      </c>
      <c r="O20" s="54"/>
      <c r="Q20" t="s">
        <v>36</v>
      </c>
      <c r="R20">
        <v>1</v>
      </c>
    </row>
    <row r="21" spans="1:18" x14ac:dyDescent="0.25">
      <c r="A21" s="36" t="str">
        <f>TableMCARCH[[#This Row],[Study Package Code]]</f>
        <v>PRJM6001</v>
      </c>
      <c r="B21" s="37">
        <f>TableMCARCH[[#This Row],[Ver]]</f>
        <v>1</v>
      </c>
      <c r="C21" s="37"/>
      <c r="D21" s="36" t="str">
        <f>TableMCARCH[[#This Row],[Structure Line]]</f>
        <v>Project Cost Management</v>
      </c>
      <c r="E21" s="39">
        <f>TableMCARCH[[#This Row],[Credit Points]]</f>
        <v>25</v>
      </c>
      <c r="F21" s="36">
        <v>6</v>
      </c>
      <c r="G21" s="36" t="s">
        <v>65</v>
      </c>
      <c r="H21" s="36">
        <v>1</v>
      </c>
      <c r="I21" s="36" t="s">
        <v>172</v>
      </c>
      <c r="J21" s="36" t="s">
        <v>38</v>
      </c>
      <c r="K21" s="36">
        <v>1</v>
      </c>
      <c r="L21" s="36" t="s">
        <v>141</v>
      </c>
      <c r="M21" s="36">
        <v>25</v>
      </c>
      <c r="N21" s="54">
        <v>42005</v>
      </c>
      <c r="O21" s="54"/>
      <c r="Q21" t="s">
        <v>38</v>
      </c>
      <c r="R21">
        <v>1</v>
      </c>
    </row>
    <row r="22" spans="1:18" x14ac:dyDescent="0.25">
      <c r="A22" s="36" t="str">
        <f>TableMCARCH[[#This Row],[Study Package Code]]</f>
        <v>PRJM6002</v>
      </c>
      <c r="B22" s="37">
        <f>TableMCARCH[[#This Row],[Ver]]</f>
        <v>2</v>
      </c>
      <c r="C22" s="37"/>
      <c r="D22" s="36" t="str">
        <f>TableMCARCH[[#This Row],[Structure Line]]</f>
        <v>Project Planning and Schedule Management</v>
      </c>
      <c r="E22" s="39">
        <f>TableMCARCH[[#This Row],[Credit Points]]</f>
        <v>25</v>
      </c>
      <c r="F22" s="36">
        <v>6</v>
      </c>
      <c r="G22" s="36" t="s">
        <v>65</v>
      </c>
      <c r="H22" s="36">
        <v>1</v>
      </c>
      <c r="I22" s="36" t="s">
        <v>172</v>
      </c>
      <c r="J22" s="36" t="s">
        <v>40</v>
      </c>
      <c r="K22" s="36">
        <v>2</v>
      </c>
      <c r="L22" s="36" t="s">
        <v>142</v>
      </c>
      <c r="M22" s="36">
        <v>25</v>
      </c>
      <c r="N22" s="54">
        <v>45292</v>
      </c>
      <c r="O22" s="54"/>
      <c r="Q22" t="s">
        <v>40</v>
      </c>
      <c r="R22">
        <v>2</v>
      </c>
    </row>
    <row r="23" spans="1:18" x14ac:dyDescent="0.25">
      <c r="A23" s="36" t="str">
        <f>TableMCARCH[[#This Row],[Study Package Code]]</f>
        <v>PRJM6010</v>
      </c>
      <c r="B23" s="37">
        <f>TableMCARCH[[#This Row],[Ver]]</f>
        <v>1</v>
      </c>
      <c r="C23" s="37"/>
      <c r="D23" s="36" t="str">
        <f>TableMCARCH[[#This Row],[Structure Line]]</f>
        <v>Project and People</v>
      </c>
      <c r="E23" s="39">
        <f>TableMCARCH[[#This Row],[Credit Points]]</f>
        <v>25</v>
      </c>
      <c r="F23" s="36">
        <v>6</v>
      </c>
      <c r="G23" s="36" t="s">
        <v>65</v>
      </c>
      <c r="H23" s="36">
        <v>1</v>
      </c>
      <c r="I23" s="36" t="s">
        <v>172</v>
      </c>
      <c r="J23" s="36" t="s">
        <v>41</v>
      </c>
      <c r="K23" s="36">
        <v>1</v>
      </c>
      <c r="L23" s="36" t="s">
        <v>143</v>
      </c>
      <c r="M23" s="36">
        <v>25</v>
      </c>
      <c r="N23" s="54">
        <v>42005</v>
      </c>
      <c r="O23" s="54"/>
      <c r="Q23" t="s">
        <v>41</v>
      </c>
      <c r="R23">
        <v>1</v>
      </c>
    </row>
    <row r="24" spans="1:18" x14ac:dyDescent="0.25">
      <c r="A24" s="36" t="str">
        <f>TableMCARCH[[#This Row],[Study Package Code]]</f>
        <v>SUST5003</v>
      </c>
      <c r="B24" s="37">
        <f>TableMCARCH[[#This Row],[Ver]]</f>
        <v>2</v>
      </c>
      <c r="C24" s="37"/>
      <c r="D24" s="36" t="str">
        <f>TableMCARCH[[#This Row],[Structure Line]]</f>
        <v>Pathways to a Climate Resilient Society</v>
      </c>
      <c r="E24" s="39">
        <f>TableMCARCH[[#This Row],[Credit Points]]</f>
        <v>25</v>
      </c>
      <c r="F24" s="36">
        <v>6</v>
      </c>
      <c r="G24" s="36" t="s">
        <v>65</v>
      </c>
      <c r="H24" s="36">
        <v>1</v>
      </c>
      <c r="I24" s="36" t="s">
        <v>172</v>
      </c>
      <c r="J24" s="36" t="s">
        <v>43</v>
      </c>
      <c r="K24" s="36">
        <v>2</v>
      </c>
      <c r="L24" s="36" t="s">
        <v>144</v>
      </c>
      <c r="M24" s="36">
        <v>25</v>
      </c>
      <c r="N24" s="54">
        <v>43831</v>
      </c>
      <c r="O24" s="54"/>
      <c r="Q24" t="s">
        <v>43</v>
      </c>
      <c r="R24">
        <v>2</v>
      </c>
    </row>
    <row r="25" spans="1:18" x14ac:dyDescent="0.25">
      <c r="A25" s="36" t="str">
        <f>TableMCARCH[[#This Row],[Study Package Code]]</f>
        <v>SUST5005</v>
      </c>
      <c r="B25" s="37">
        <f>TableMCARCH[[#This Row],[Ver]]</f>
        <v>2</v>
      </c>
      <c r="C25" s="37"/>
      <c r="D25" s="36" t="str">
        <f>TableMCARCH[[#This Row],[Structure Line]]</f>
        <v>Future Cities</v>
      </c>
      <c r="E25" s="39">
        <f>TableMCARCH[[#This Row],[Credit Points]]</f>
        <v>25</v>
      </c>
      <c r="F25" s="36">
        <v>6</v>
      </c>
      <c r="G25" s="36" t="s">
        <v>65</v>
      </c>
      <c r="H25" s="36">
        <v>1</v>
      </c>
      <c r="I25" s="36" t="s">
        <v>172</v>
      </c>
      <c r="J25" s="36" t="s">
        <v>44</v>
      </c>
      <c r="K25" s="36">
        <v>2</v>
      </c>
      <c r="L25" s="36" t="s">
        <v>145</v>
      </c>
      <c r="M25" s="36">
        <v>25</v>
      </c>
      <c r="N25" s="54">
        <v>43831</v>
      </c>
      <c r="O25" s="54"/>
      <c r="Q25" t="s">
        <v>44</v>
      </c>
      <c r="R25">
        <v>2</v>
      </c>
    </row>
    <row r="26" spans="1:18" x14ac:dyDescent="0.25">
      <c r="A26" s="36" t="str">
        <f>TableMCARCH[[#This Row],[Study Package Code]]</f>
        <v>SUST5008</v>
      </c>
      <c r="B26" s="37">
        <f>TableMCARCH[[#This Row],[Ver]]</f>
        <v>1</v>
      </c>
      <c r="C26" s="37"/>
      <c r="D26" s="36" t="str">
        <f>TableMCARCH[[#This Row],[Structure Line]]</f>
        <v>Climate Policy</v>
      </c>
      <c r="E26" s="39">
        <f>TableMCARCH[[#This Row],[Credit Points]]</f>
        <v>25</v>
      </c>
      <c r="F26" s="36">
        <v>6</v>
      </c>
      <c r="G26" s="36" t="s">
        <v>65</v>
      </c>
      <c r="H26" s="36">
        <v>1</v>
      </c>
      <c r="I26" s="36" t="s">
        <v>172</v>
      </c>
      <c r="J26" s="36" t="s">
        <v>45</v>
      </c>
      <c r="K26" s="36">
        <v>1</v>
      </c>
      <c r="L26" s="36" t="s">
        <v>147</v>
      </c>
      <c r="M26" s="36">
        <v>25</v>
      </c>
      <c r="N26" s="54">
        <v>42005</v>
      </c>
      <c r="O26" s="54"/>
      <c r="Q26" t="s">
        <v>45</v>
      </c>
      <c r="R26">
        <v>1</v>
      </c>
    </row>
    <row r="27" spans="1:18" x14ac:dyDescent="0.25">
      <c r="A27" s="36" t="str">
        <f>TableMCARCH[[#This Row],[Study Package Code]]</f>
        <v>SUST5018</v>
      </c>
      <c r="B27" s="37">
        <f>TableMCARCH[[#This Row],[Ver]]</f>
        <v>2</v>
      </c>
      <c r="C27" s="37"/>
      <c r="D27" s="36" t="str">
        <f>TableMCARCH[[#This Row],[Structure Line]]</f>
        <v>People and Planet</v>
      </c>
      <c r="E27" s="39">
        <f>TableMCARCH[[#This Row],[Credit Points]]</f>
        <v>25</v>
      </c>
      <c r="F27" s="36">
        <v>6</v>
      </c>
      <c r="G27" s="36" t="s">
        <v>65</v>
      </c>
      <c r="H27" s="36">
        <v>1</v>
      </c>
      <c r="I27" s="36" t="s">
        <v>172</v>
      </c>
      <c r="J27" s="36" t="s">
        <v>46</v>
      </c>
      <c r="K27" s="36">
        <v>2</v>
      </c>
      <c r="L27" s="36" t="s">
        <v>148</v>
      </c>
      <c r="M27" s="36">
        <v>25</v>
      </c>
      <c r="N27" s="54">
        <v>43831</v>
      </c>
      <c r="O27" s="54"/>
      <c r="Q27" t="s">
        <v>46</v>
      </c>
      <c r="R27">
        <v>2</v>
      </c>
    </row>
    <row r="28" spans="1:18" x14ac:dyDescent="0.25">
      <c r="A28" s="36" t="str">
        <f>TableMCARCH[[#This Row],[Study Package Code]]</f>
        <v>URDE5009</v>
      </c>
      <c r="B28" s="37">
        <f>TableMCARCH[[#This Row],[Ver]]</f>
        <v>1</v>
      </c>
      <c r="C28" s="37"/>
      <c r="D28" s="36" t="str">
        <f>TableMCARCH[[#This Row],[Structure Line]]</f>
        <v>Participatory Planning</v>
      </c>
      <c r="E28" s="39">
        <f>TableMCARCH[[#This Row],[Credit Points]]</f>
        <v>25</v>
      </c>
      <c r="F28" s="36">
        <v>6</v>
      </c>
      <c r="G28" s="36" t="s">
        <v>65</v>
      </c>
      <c r="H28" s="36">
        <v>1</v>
      </c>
      <c r="I28" s="36" t="s">
        <v>172</v>
      </c>
      <c r="J28" s="36" t="s">
        <v>47</v>
      </c>
      <c r="K28" s="36">
        <v>1</v>
      </c>
      <c r="L28" s="36" t="s">
        <v>149</v>
      </c>
      <c r="M28" s="36">
        <v>25</v>
      </c>
      <c r="N28" s="54">
        <v>42005</v>
      </c>
      <c r="O28" s="54"/>
      <c r="Q28" t="s">
        <v>47</v>
      </c>
      <c r="R28">
        <v>1</v>
      </c>
    </row>
    <row r="29" spans="1:18" x14ac:dyDescent="0.25">
      <c r="A29" s="36" t="str">
        <f>TableMCARCH[[#This Row],[Study Package Code]]</f>
        <v>URDE5013</v>
      </c>
      <c r="B29" s="37">
        <f>TableMCARCH[[#This Row],[Ver]]</f>
        <v>3</v>
      </c>
      <c r="C29" s="37"/>
      <c r="D29" s="36" t="str">
        <f>TableMCARCH[[#This Row],[Structure Line]]</f>
        <v>Planning Theory and Context</v>
      </c>
      <c r="E29" s="39">
        <f>TableMCARCH[[#This Row],[Credit Points]]</f>
        <v>25</v>
      </c>
      <c r="F29" s="36">
        <v>6</v>
      </c>
      <c r="G29" s="36" t="s">
        <v>65</v>
      </c>
      <c r="H29" s="36">
        <v>1</v>
      </c>
      <c r="I29" s="36" t="s">
        <v>172</v>
      </c>
      <c r="J29" s="36" t="s">
        <v>48</v>
      </c>
      <c r="K29" s="36">
        <v>3</v>
      </c>
      <c r="L29" s="36" t="s">
        <v>150</v>
      </c>
      <c r="M29" s="36">
        <v>25</v>
      </c>
      <c r="N29" s="54">
        <v>44562</v>
      </c>
      <c r="O29" s="54"/>
      <c r="Q29" t="s">
        <v>48</v>
      </c>
      <c r="R29">
        <v>3</v>
      </c>
    </row>
    <row r="30" spans="1:18" x14ac:dyDescent="0.25">
      <c r="A30" s="36" t="str">
        <f>TableMCARCH[[#This Row],[Study Package Code]]</f>
        <v>URDE5027</v>
      </c>
      <c r="B30" s="37">
        <f>TableMCARCH[[#This Row],[Ver]]</f>
        <v>2</v>
      </c>
      <c r="C30" s="37"/>
      <c r="D30" s="36" t="str">
        <f>TableMCARCH[[#This Row],[Structure Line]]</f>
        <v>Development Outcomes</v>
      </c>
      <c r="E30" s="39">
        <f>TableMCARCH[[#This Row],[Credit Points]]</f>
        <v>25</v>
      </c>
      <c r="F30" s="36">
        <v>6</v>
      </c>
      <c r="G30" s="36" t="s">
        <v>65</v>
      </c>
      <c r="H30" s="36">
        <v>1</v>
      </c>
      <c r="I30" s="36" t="s">
        <v>172</v>
      </c>
      <c r="J30" s="36" t="s">
        <v>49</v>
      </c>
      <c r="K30" s="36">
        <v>2</v>
      </c>
      <c r="L30" s="36" t="s">
        <v>151</v>
      </c>
      <c r="M30" s="36">
        <v>25</v>
      </c>
      <c r="N30" s="54">
        <v>45292</v>
      </c>
      <c r="O30" s="54"/>
      <c r="Q30" t="s">
        <v>49</v>
      </c>
      <c r="R30">
        <v>2</v>
      </c>
    </row>
    <row r="31" spans="1:18" x14ac:dyDescent="0.25">
      <c r="A31" s="36" t="str">
        <f>TableMCARCH[[#This Row],[Study Package Code]]</f>
        <v>WORK5000</v>
      </c>
      <c r="B31" s="37">
        <f>TableMCARCH[[#This Row],[Ver]]</f>
        <v>1</v>
      </c>
      <c r="C31" s="37"/>
      <c r="D31" s="36" t="str">
        <f>TableMCARCH[[#This Row],[Structure Line]]</f>
        <v>Work Based Project</v>
      </c>
      <c r="E31" s="39">
        <f>TableMCARCH[[#This Row],[Credit Points]]</f>
        <v>25</v>
      </c>
      <c r="F31" s="36">
        <v>6</v>
      </c>
      <c r="G31" s="36" t="s">
        <v>65</v>
      </c>
      <c r="H31" s="36">
        <v>1</v>
      </c>
      <c r="I31" s="36" t="s">
        <v>172</v>
      </c>
      <c r="J31" s="36" t="s">
        <v>50</v>
      </c>
      <c r="K31" s="36">
        <v>1</v>
      </c>
      <c r="L31" s="36" t="s">
        <v>175</v>
      </c>
      <c r="M31" s="36">
        <v>25</v>
      </c>
      <c r="N31" s="54">
        <v>43101</v>
      </c>
      <c r="O31" s="54"/>
      <c r="Q31" t="s">
        <v>50</v>
      </c>
      <c r="R31">
        <v>1</v>
      </c>
    </row>
    <row r="32" spans="1:18" x14ac:dyDescent="0.25">
      <c r="A32" s="36" t="str">
        <f>TableMCARCH[[#This Row],[Study Package Code]]</f>
        <v>XINO5001</v>
      </c>
      <c r="B32" s="37">
        <f>TableMCARCH[[#This Row],[Ver]]</f>
        <v>2</v>
      </c>
      <c r="C32" s="37"/>
      <c r="D32" s="36" t="str">
        <f>TableMCARCH[[#This Row],[Structure Line]]</f>
        <v>International Study Tour</v>
      </c>
      <c r="E32" s="39">
        <f>TableMCARCH[[#This Row],[Credit Points]]</f>
        <v>25</v>
      </c>
      <c r="F32" s="36">
        <v>6</v>
      </c>
      <c r="G32" s="36" t="s">
        <v>65</v>
      </c>
      <c r="H32" s="36">
        <v>1</v>
      </c>
      <c r="I32" s="36" t="s">
        <v>172</v>
      </c>
      <c r="J32" s="36" t="s">
        <v>51</v>
      </c>
      <c r="K32" s="36">
        <v>2</v>
      </c>
      <c r="L32" s="36" t="s">
        <v>176</v>
      </c>
      <c r="M32" s="36">
        <v>25</v>
      </c>
      <c r="N32" s="54">
        <v>42552</v>
      </c>
      <c r="O32" s="54"/>
      <c r="Q32" t="s">
        <v>51</v>
      </c>
      <c r="R32">
        <v>2</v>
      </c>
    </row>
  </sheetData>
  <conditionalFormatting sqref="J3:J32">
    <cfRule type="duplicateValues" dxfId="3" priority="1"/>
  </conditionalFormatting>
  <conditionalFormatting sqref="N3:N32">
    <cfRule type="cellIs" dxfId="2" priority="2" operator="greaterThan">
      <formula>$Q$1</formula>
    </cfRule>
  </conditionalFormatting>
  <conditionalFormatting sqref="O3:O32">
    <cfRule type="notContainsBlanks" dxfId="1" priority="4">
      <formula>LEN(TRIM(O3))&gt;0</formula>
    </cfRule>
  </conditionalFormatting>
  <conditionalFormatting sqref="Q2:R32">
    <cfRule type="expression" dxfId="0" priority="3">
      <formula>Q2&lt;&gt;J2</formula>
    </cfRule>
  </conditionalFormatting>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1"/>
  <sheetViews>
    <sheetView workbookViewId="0">
      <selection activeCell="D28" sqref="D28"/>
    </sheetView>
  </sheetViews>
  <sheetFormatPr defaultRowHeight="15.75" x14ac:dyDescent="0.25"/>
  <cols>
    <col min="1" max="1" width="12.375" bestFit="1" customWidth="1"/>
    <col min="2" max="9" width="5.375" bestFit="1" customWidth="1"/>
    <col min="10" max="10" width="12.25" bestFit="1" customWidth="1"/>
    <col min="11" max="11" width="10.375" bestFit="1" customWidth="1"/>
    <col min="15" max="15" width="10.625" bestFit="1" customWidth="1"/>
  </cols>
  <sheetData>
    <row r="1" spans="1:11" ht="16.5" customHeight="1" x14ac:dyDescent="0.25">
      <c r="J1" s="90" t="s">
        <v>158</v>
      </c>
      <c r="K1" s="89">
        <v>45517</v>
      </c>
    </row>
    <row r="2" spans="1:11" x14ac:dyDescent="0.25">
      <c r="A2" s="83">
        <f>COLUMN()</f>
        <v>1</v>
      </c>
      <c r="B2" s="83">
        <f>COLUMN()</f>
        <v>2</v>
      </c>
      <c r="C2" s="83">
        <f>COLUMN()</f>
        <v>3</v>
      </c>
      <c r="D2" s="83">
        <f>COLUMN()</f>
        <v>4</v>
      </c>
      <c r="E2" s="83">
        <f>COLUMN()</f>
        <v>5</v>
      </c>
      <c r="F2" s="83">
        <f>COLUMN()</f>
        <v>6</v>
      </c>
      <c r="G2" s="83">
        <f>COLUMN()</f>
        <v>7</v>
      </c>
      <c r="H2" s="83">
        <f>COLUMN()</f>
        <v>8</v>
      </c>
      <c r="I2" s="83">
        <f>COLUMN()</f>
        <v>9</v>
      </c>
    </row>
    <row r="3" spans="1:11" ht="76.5" x14ac:dyDescent="0.25">
      <c r="A3" t="s">
        <v>177</v>
      </c>
      <c r="B3" s="74" t="s">
        <v>108</v>
      </c>
      <c r="C3" s="74" t="s">
        <v>109</v>
      </c>
      <c r="D3" s="74" t="s">
        <v>110</v>
      </c>
      <c r="E3" s="74" t="s">
        <v>111</v>
      </c>
      <c r="F3" s="74" t="s">
        <v>112</v>
      </c>
      <c r="G3" s="74" t="s">
        <v>113</v>
      </c>
      <c r="H3" s="74" t="s">
        <v>114</v>
      </c>
      <c r="I3" s="74" t="s">
        <v>115</v>
      </c>
    </row>
    <row r="4" spans="1:11" x14ac:dyDescent="0.25">
      <c r="A4" t="s">
        <v>64</v>
      </c>
      <c r="B4" s="4"/>
      <c r="C4" s="4"/>
      <c r="D4" s="4"/>
      <c r="E4" s="4"/>
      <c r="F4" s="4">
        <v>1</v>
      </c>
      <c r="G4" s="4"/>
      <c r="H4" s="4"/>
      <c r="I4" s="4"/>
    </row>
    <row r="5" spans="1:11" x14ac:dyDescent="0.25">
      <c r="A5" t="s">
        <v>60</v>
      </c>
      <c r="B5" s="4"/>
      <c r="C5" s="4"/>
      <c r="D5" s="4"/>
      <c r="E5" s="4"/>
      <c r="F5" s="4">
        <v>1</v>
      </c>
      <c r="G5" s="4"/>
      <c r="H5" s="4"/>
      <c r="I5" s="4"/>
    </row>
    <row r="6" spans="1:11" x14ac:dyDescent="0.25">
      <c r="A6" t="s">
        <v>29</v>
      </c>
      <c r="B6" s="4"/>
      <c r="C6" s="4"/>
      <c r="D6" s="4"/>
      <c r="E6" s="4"/>
      <c r="F6" s="4"/>
      <c r="G6" s="4"/>
      <c r="H6" s="4">
        <v>1</v>
      </c>
      <c r="I6" s="4"/>
    </row>
    <row r="7" spans="1:11" x14ac:dyDescent="0.25">
      <c r="A7" t="s">
        <v>73</v>
      </c>
      <c r="B7" s="4"/>
      <c r="C7" s="4"/>
      <c r="D7" s="4"/>
      <c r="E7" s="4"/>
      <c r="F7" s="4">
        <v>1</v>
      </c>
      <c r="G7" s="4"/>
      <c r="H7" s="4">
        <v>1</v>
      </c>
      <c r="I7" s="4"/>
    </row>
    <row r="8" spans="1:11" x14ac:dyDescent="0.25">
      <c r="A8" t="s">
        <v>84</v>
      </c>
      <c r="B8" s="4"/>
      <c r="C8" s="4"/>
      <c r="D8" s="4"/>
      <c r="E8" s="4"/>
      <c r="F8" s="4">
        <v>1</v>
      </c>
      <c r="G8" s="4"/>
      <c r="H8" s="4">
        <v>1</v>
      </c>
      <c r="I8" s="4"/>
    </row>
    <row r="9" spans="1:11" x14ac:dyDescent="0.25">
      <c r="A9" t="s">
        <v>89</v>
      </c>
      <c r="B9" s="4"/>
      <c r="C9" s="4"/>
      <c r="D9" s="4"/>
      <c r="E9" s="4"/>
      <c r="F9" s="4">
        <v>1</v>
      </c>
      <c r="G9" s="4"/>
      <c r="H9" s="4">
        <v>1</v>
      </c>
      <c r="I9" s="4"/>
    </row>
    <row r="10" spans="1:11" x14ac:dyDescent="0.25">
      <c r="A10" t="s">
        <v>92</v>
      </c>
      <c r="B10" s="4"/>
      <c r="C10" s="4"/>
      <c r="D10" s="4"/>
      <c r="E10" s="4"/>
      <c r="F10" s="4"/>
      <c r="G10" s="4"/>
      <c r="H10" s="4">
        <v>1</v>
      </c>
      <c r="I10" s="4"/>
    </row>
    <row r="11" spans="1:11" x14ac:dyDescent="0.25">
      <c r="A11" t="s">
        <v>93</v>
      </c>
      <c r="B11" s="4"/>
      <c r="C11" s="4"/>
      <c r="D11" s="4"/>
      <c r="E11" s="4"/>
      <c r="F11" s="4">
        <v>1</v>
      </c>
      <c r="G11" s="4"/>
      <c r="H11" s="4">
        <v>1</v>
      </c>
      <c r="I11" s="4"/>
    </row>
    <row r="12" spans="1:11" x14ac:dyDescent="0.25">
      <c r="A12" t="s">
        <v>95</v>
      </c>
      <c r="B12" s="4"/>
      <c r="C12" s="4"/>
      <c r="D12" s="4"/>
      <c r="E12" s="4"/>
      <c r="F12" s="4">
        <v>1</v>
      </c>
      <c r="G12" s="4"/>
      <c r="H12" s="4">
        <v>1</v>
      </c>
      <c r="I12" s="4"/>
    </row>
    <row r="13" spans="1:11" x14ac:dyDescent="0.25">
      <c r="A13" t="s">
        <v>91</v>
      </c>
      <c r="B13" s="4"/>
      <c r="C13" s="4"/>
      <c r="D13" s="4"/>
      <c r="E13" s="4"/>
      <c r="F13" s="4">
        <v>1</v>
      </c>
      <c r="G13" s="4"/>
      <c r="H13" s="4">
        <v>1</v>
      </c>
      <c r="I13" s="4"/>
    </row>
    <row r="14" spans="1:11" x14ac:dyDescent="0.25">
      <c r="A14" t="s">
        <v>80</v>
      </c>
      <c r="B14" s="4"/>
      <c r="C14" s="4"/>
      <c r="D14" s="4"/>
      <c r="E14" s="4"/>
      <c r="F14" s="4">
        <v>1</v>
      </c>
      <c r="G14" s="4"/>
      <c r="H14" s="4">
        <v>1</v>
      </c>
      <c r="I14" s="4"/>
    </row>
    <row r="15" spans="1:11" x14ac:dyDescent="0.25">
      <c r="A15" t="s">
        <v>31</v>
      </c>
      <c r="B15" s="4"/>
      <c r="C15" s="4"/>
      <c r="D15" s="4"/>
      <c r="E15" s="4"/>
      <c r="F15" s="4"/>
      <c r="G15" s="4"/>
      <c r="H15" s="4">
        <v>1</v>
      </c>
      <c r="I15" s="4"/>
    </row>
    <row r="16" spans="1:11" x14ac:dyDescent="0.25">
      <c r="A16" t="s">
        <v>33</v>
      </c>
      <c r="B16" s="4"/>
      <c r="C16" s="4"/>
      <c r="D16" s="4"/>
      <c r="E16" s="4"/>
      <c r="F16" s="4"/>
      <c r="G16" s="4"/>
      <c r="H16" s="4">
        <v>1</v>
      </c>
      <c r="I16" s="4"/>
    </row>
    <row r="17" spans="1:11" x14ac:dyDescent="0.25">
      <c r="A17" t="s">
        <v>35</v>
      </c>
      <c r="B17" s="4"/>
      <c r="C17" s="4"/>
      <c r="D17" s="4"/>
      <c r="E17" s="4"/>
      <c r="F17" s="4"/>
      <c r="G17" s="4"/>
      <c r="H17" s="4">
        <v>1</v>
      </c>
      <c r="I17" s="4"/>
    </row>
    <row r="18" spans="1:11" x14ac:dyDescent="0.25">
      <c r="A18" t="s">
        <v>36</v>
      </c>
      <c r="B18" s="4">
        <v>1</v>
      </c>
      <c r="C18" s="4"/>
      <c r="D18" s="4">
        <v>1</v>
      </c>
      <c r="E18" s="4"/>
      <c r="F18" s="4">
        <v>1</v>
      </c>
      <c r="G18" s="4">
        <v>1</v>
      </c>
      <c r="H18" s="4">
        <v>1</v>
      </c>
      <c r="I18" s="4">
        <v>1</v>
      </c>
    </row>
    <row r="19" spans="1:11" x14ac:dyDescent="0.25">
      <c r="A19" t="s">
        <v>38</v>
      </c>
      <c r="B19" s="4">
        <v>1</v>
      </c>
      <c r="C19" s="4"/>
      <c r="D19" s="4">
        <v>1</v>
      </c>
      <c r="E19" s="4"/>
      <c r="F19" s="4">
        <v>1</v>
      </c>
      <c r="G19" s="4">
        <v>1</v>
      </c>
      <c r="H19" s="4">
        <v>1</v>
      </c>
      <c r="I19" s="4">
        <v>1</v>
      </c>
    </row>
    <row r="20" spans="1:11" x14ac:dyDescent="0.25">
      <c r="A20" t="s">
        <v>40</v>
      </c>
      <c r="B20" s="4"/>
      <c r="C20" s="4">
        <v>1</v>
      </c>
      <c r="D20" s="4"/>
      <c r="E20" s="4">
        <v>1</v>
      </c>
      <c r="F20" s="4">
        <v>1</v>
      </c>
      <c r="G20" s="4">
        <v>1</v>
      </c>
      <c r="H20" s="4">
        <v>1</v>
      </c>
      <c r="I20" s="4">
        <v>1</v>
      </c>
    </row>
    <row r="21" spans="1:11" x14ac:dyDescent="0.25">
      <c r="A21" t="s">
        <v>41</v>
      </c>
      <c r="B21" s="4"/>
      <c r="C21" s="4">
        <v>1</v>
      </c>
      <c r="D21" s="4"/>
      <c r="E21" s="4">
        <v>1</v>
      </c>
      <c r="F21" s="4">
        <v>1</v>
      </c>
      <c r="G21" s="4">
        <v>1</v>
      </c>
      <c r="H21" s="4">
        <v>1</v>
      </c>
      <c r="I21" s="4">
        <v>1</v>
      </c>
    </row>
    <row r="22" spans="1:11" x14ac:dyDescent="0.25">
      <c r="A22" t="s">
        <v>43</v>
      </c>
      <c r="B22" s="4"/>
      <c r="C22" s="4"/>
      <c r="D22" s="4"/>
      <c r="E22" s="4"/>
      <c r="F22" s="4"/>
      <c r="G22" s="4"/>
      <c r="H22" s="4">
        <v>1</v>
      </c>
      <c r="I22" s="4">
        <v>1</v>
      </c>
    </row>
    <row r="23" spans="1:11" x14ac:dyDescent="0.25">
      <c r="A23" t="s">
        <v>44</v>
      </c>
      <c r="B23" s="4"/>
      <c r="C23" s="4"/>
      <c r="D23" s="4"/>
      <c r="E23" s="4"/>
      <c r="F23" s="4">
        <v>1</v>
      </c>
      <c r="G23" s="4">
        <v>1</v>
      </c>
      <c r="H23" s="4"/>
      <c r="I23" s="4"/>
    </row>
    <row r="24" spans="1:11" x14ac:dyDescent="0.25">
      <c r="A24" t="s">
        <v>45</v>
      </c>
      <c r="B24" s="4"/>
      <c r="C24" s="4"/>
      <c r="D24" s="4"/>
      <c r="E24" s="4"/>
      <c r="F24" s="4"/>
      <c r="G24" s="4"/>
      <c r="H24" s="4">
        <v>1</v>
      </c>
      <c r="I24" s="4">
        <v>1</v>
      </c>
    </row>
    <row r="25" spans="1:11" x14ac:dyDescent="0.25">
      <c r="A25" t="s">
        <v>46</v>
      </c>
      <c r="B25" s="4"/>
      <c r="C25" s="4"/>
      <c r="D25" s="4"/>
      <c r="E25" s="4"/>
      <c r="F25" s="4"/>
      <c r="G25" s="4"/>
      <c r="H25" s="4">
        <v>1</v>
      </c>
      <c r="I25" s="4">
        <v>1</v>
      </c>
    </row>
    <row r="26" spans="1:11" x14ac:dyDescent="0.25">
      <c r="A26" t="s">
        <v>47</v>
      </c>
      <c r="B26" s="4"/>
      <c r="C26" s="4"/>
      <c r="D26" s="4"/>
      <c r="E26" s="4"/>
      <c r="F26" s="4"/>
      <c r="G26" s="4"/>
      <c r="H26" s="4">
        <v>1</v>
      </c>
      <c r="I26" s="4"/>
    </row>
    <row r="27" spans="1:11" x14ac:dyDescent="0.25">
      <c r="A27" t="s">
        <v>48</v>
      </c>
      <c r="B27" s="4"/>
      <c r="C27" s="4"/>
      <c r="D27" s="4"/>
      <c r="E27" s="4"/>
      <c r="F27" s="4">
        <v>1</v>
      </c>
      <c r="G27" s="4"/>
      <c r="H27" s="4"/>
      <c r="I27" s="4"/>
    </row>
    <row r="28" spans="1:11" x14ac:dyDescent="0.25">
      <c r="A28" t="s">
        <v>49</v>
      </c>
      <c r="B28" s="4"/>
      <c r="C28" s="4"/>
      <c r="D28" s="4"/>
      <c r="E28" s="4"/>
      <c r="F28" s="4"/>
      <c r="G28" s="4"/>
      <c r="H28" s="4">
        <v>1</v>
      </c>
      <c r="I28" s="4"/>
    </row>
    <row r="29" spans="1:11" x14ac:dyDescent="0.25">
      <c r="A29" t="s">
        <v>62</v>
      </c>
      <c r="B29" s="4"/>
      <c r="C29" s="4"/>
      <c r="D29" s="4"/>
      <c r="E29" s="4"/>
      <c r="F29" s="4">
        <v>1</v>
      </c>
      <c r="G29" s="4">
        <v>1</v>
      </c>
      <c r="H29" s="4">
        <v>1</v>
      </c>
      <c r="I29" s="4">
        <v>1</v>
      </c>
    </row>
    <row r="30" spans="1:11" x14ac:dyDescent="0.25">
      <c r="A30" t="s">
        <v>50</v>
      </c>
      <c r="B30" s="4"/>
      <c r="C30" s="4"/>
      <c r="D30" s="4"/>
      <c r="E30" s="4"/>
      <c r="F30" s="4"/>
      <c r="G30" s="4"/>
      <c r="H30" s="4"/>
      <c r="I30" s="4"/>
      <c r="K30" t="s">
        <v>178</v>
      </c>
    </row>
    <row r="31" spans="1:11" x14ac:dyDescent="0.25">
      <c r="A31" t="s">
        <v>51</v>
      </c>
      <c r="B31" s="4"/>
      <c r="C31" s="4"/>
      <c r="D31" s="4"/>
      <c r="E31" s="4"/>
      <c r="F31" s="4"/>
      <c r="G31" s="4"/>
      <c r="H31" s="4"/>
      <c r="I31" s="4"/>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purl.org/dc/elements/1.1/"/>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infopath/2007/PartnerControls"/>
    <ds:schemaRef ds:uri="ba69df13-0c3c-4942-8695-6ca01564010c"/>
    <ds:schemaRef ds:uri="2380bd5d-8f09-40a9-a9cb-2482ec2cd2ca"/>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9723B2A-4B37-424A-9C58-AC158B433C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Master of Architecture Planner</vt:lpstr>
      <vt:lpstr>Unitsets</vt:lpstr>
      <vt:lpstr>Handbook</vt:lpstr>
      <vt:lpstr>Structures</vt:lpstr>
      <vt:lpstr>Availabilities</vt:lpstr>
      <vt:lpstr>'Master of Architecture Planner'!Print_Area</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2024-11-11T06:10:23Z</cp:lastPrinted>
  <dcterms:created xsi:type="dcterms:W3CDTF">2022-02-28T04:48:12Z</dcterms:created>
  <dcterms:modified xsi:type="dcterms:W3CDTF">2024-11-11T06:12:35Z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