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8E421F9A-2541-4C1B-92F4-EF3935F5B31D}" xr6:coauthVersionLast="47" xr6:coauthVersionMax="47" xr10:uidLastSave="{00000000-0000-0000-0000-000000000000}"/>
  <workbookProtection workbookAlgorithmName="SHA-512" workbookHashValue="qqlYHQpH3PsNI5a5Au6vIOWX7L+2SEdTSVY6vXsUljEHEsMXigTb+rJKFhKrB7xgBWvLCnieIgV7nBQJn871vA==" workbookSaltValue="VTOeqQF8Ac+f0b96u4Oz5A==" workbookSpinCount="100000" lockStructure="1"/>
  <bookViews>
    <workbookView xWindow="28680" yWindow="10680" windowWidth="29040" windowHeight="17520" xr2:uid="{00000000-000D-0000-FFFF-FFFF00000000}"/>
  </bookViews>
  <sheets>
    <sheet name="Architecture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'Architecture Planner'!$A$3:$L$67</definedName>
    <definedName name="RangeSpecSets">Unitsets!$L$31:$W$53</definedName>
    <definedName name="RangeUnitsets">Unitsets!$L$3:$O$27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3" l="1"/>
  <c r="H34" i="3"/>
  <c r="I34" i="3"/>
  <c r="J34" i="3"/>
  <c r="L34" i="3"/>
  <c r="M34" i="3"/>
  <c r="N34" i="3"/>
  <c r="O34" i="3"/>
  <c r="P34" i="3"/>
  <c r="Q34" i="3"/>
  <c r="R34" i="3"/>
  <c r="G69" i="3"/>
  <c r="H69" i="3"/>
  <c r="I69" i="3"/>
  <c r="J69" i="3"/>
  <c r="M69" i="3"/>
  <c r="N69" i="3"/>
  <c r="O69" i="3"/>
  <c r="P69" i="3"/>
  <c r="Q69" i="3"/>
  <c r="R69" i="3"/>
  <c r="G24" i="3"/>
  <c r="H24" i="3"/>
  <c r="I24" i="3"/>
  <c r="J24" i="3"/>
  <c r="M24" i="3"/>
  <c r="N24" i="3"/>
  <c r="O24" i="3"/>
  <c r="P24" i="3"/>
  <c r="R24" i="3"/>
  <c r="G71" i="3"/>
  <c r="H71" i="3"/>
  <c r="I71" i="3"/>
  <c r="J71" i="3"/>
  <c r="J76" i="3" l="1"/>
  <c r="I76" i="3"/>
  <c r="H76" i="3"/>
  <c r="G76" i="3"/>
  <c r="J75" i="3"/>
  <c r="I75" i="3"/>
  <c r="H75" i="3"/>
  <c r="G75" i="3"/>
  <c r="J74" i="3"/>
  <c r="I74" i="3"/>
  <c r="H74" i="3"/>
  <c r="G74" i="3"/>
  <c r="J73" i="3"/>
  <c r="I73" i="3"/>
  <c r="H73" i="3"/>
  <c r="G73" i="3"/>
  <c r="J72" i="3"/>
  <c r="I72" i="3"/>
  <c r="H72" i="3"/>
  <c r="G72" i="3"/>
  <c r="J70" i="3"/>
  <c r="I70" i="3"/>
  <c r="H70" i="3"/>
  <c r="G70"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A1" i="3" l="1"/>
  <c r="B1" i="3"/>
  <c r="C1" i="3"/>
  <c r="D1" i="3"/>
  <c r="E1" i="3"/>
  <c r="F1" i="3"/>
  <c r="G1" i="3"/>
  <c r="H1" i="3"/>
  <c r="I1" i="3"/>
  <c r="J1" i="3"/>
  <c r="K1" i="3"/>
  <c r="L1" i="3"/>
  <c r="M1" i="3"/>
  <c r="N1" i="3"/>
  <c r="O1" i="3"/>
  <c r="P1" i="3"/>
  <c r="Q1" i="3"/>
  <c r="R1" i="3"/>
  <c r="G7" i="5" l="1"/>
  <c r="L41" i="5" l="1"/>
  <c r="L29" i="5"/>
  <c r="L19" i="5"/>
  <c r="H40" i="5" l="1"/>
  <c r="K41" i="5"/>
  <c r="J41" i="5"/>
  <c r="I41" i="5"/>
  <c r="H41" i="5"/>
  <c r="K29" i="5"/>
  <c r="J29" i="5"/>
  <c r="I29" i="5"/>
  <c r="H29" i="5"/>
  <c r="K19" i="5"/>
  <c r="J19" i="5"/>
  <c r="I19" i="5"/>
  <c r="H19" i="5"/>
  <c r="G3" i="3" l="1"/>
  <c r="H3" i="3"/>
  <c r="I3" i="3"/>
  <c r="J3" i="3"/>
  <c r="A72" i="8" l="1"/>
  <c r="A73" i="8"/>
  <c r="A74" i="8"/>
  <c r="A75" i="8"/>
  <c r="A76" i="8"/>
  <c r="A77" i="8"/>
  <c r="A78" i="8"/>
  <c r="A79" i="8"/>
  <c r="A80" i="8"/>
  <c r="A81" i="8"/>
  <c r="A82" i="8"/>
  <c r="B72" i="8"/>
  <c r="B73" i="8"/>
  <c r="B74" i="8"/>
  <c r="B75" i="8"/>
  <c r="B76" i="8"/>
  <c r="B77" i="8"/>
  <c r="B78" i="8"/>
  <c r="B79" i="8"/>
  <c r="B80" i="8"/>
  <c r="B81" i="8"/>
  <c r="B82" i="8"/>
  <c r="D72" i="8"/>
  <c r="D73" i="8"/>
  <c r="D74" i="8"/>
  <c r="D75" i="8"/>
  <c r="D76" i="8"/>
  <c r="D77" i="8"/>
  <c r="D78" i="8"/>
  <c r="D79" i="8"/>
  <c r="D80" i="8"/>
  <c r="D81" i="8"/>
  <c r="D82" i="8"/>
  <c r="E72" i="8"/>
  <c r="E73" i="8"/>
  <c r="E74" i="8"/>
  <c r="E75" i="8"/>
  <c r="E76" i="8"/>
  <c r="E77" i="8"/>
  <c r="E78" i="8"/>
  <c r="E79" i="8"/>
  <c r="E80" i="8"/>
  <c r="E81" i="8"/>
  <c r="E82" i="8"/>
  <c r="A71" i="8" l="1"/>
  <c r="Q24" i="3" s="1"/>
  <c r="B71" i="8"/>
  <c r="D71" i="8"/>
  <c r="E71" i="8"/>
  <c r="L6" i="5" l="1"/>
  <c r="A62" i="5" s="1"/>
  <c r="L5" i="5"/>
  <c r="I62" i="5" l="1"/>
  <c r="H62" i="5"/>
  <c r="G62" i="5"/>
  <c r="F62" i="5"/>
  <c r="C62" i="5"/>
  <c r="B62" i="5"/>
  <c r="D62" i="5"/>
  <c r="K62" i="5"/>
  <c r="J62" i="5"/>
  <c r="A61" i="5"/>
  <c r="A58" i="5"/>
  <c r="A63" i="5"/>
  <c r="A60" i="5"/>
  <c r="A59" i="5"/>
  <c r="A52" i="5"/>
  <c r="A48" i="5"/>
  <c r="A54" i="5"/>
  <c r="A51" i="5"/>
  <c r="A56" i="5"/>
  <c r="A53" i="5"/>
  <c r="A50" i="5"/>
  <c r="A49" i="5"/>
  <c r="A55" i="5"/>
  <c r="A57" i="5"/>
  <c r="A53" i="8"/>
  <c r="B53" i="8"/>
  <c r="D53" i="8"/>
  <c r="E53" i="8"/>
  <c r="G59" i="5" l="1"/>
  <c r="B59" i="5"/>
  <c r="H59" i="5"/>
  <c r="C59" i="5"/>
  <c r="J59" i="5"/>
  <c r="F59" i="5"/>
  <c r="D59" i="5"/>
  <c r="I59" i="5"/>
  <c r="K59" i="5"/>
  <c r="K63" i="5"/>
  <c r="H63" i="5"/>
  <c r="I63" i="5"/>
  <c r="G63" i="5"/>
  <c r="D63" i="5"/>
  <c r="C63" i="5"/>
  <c r="J63" i="5"/>
  <c r="B63" i="5"/>
  <c r="F63" i="5"/>
  <c r="D60" i="5"/>
  <c r="I60" i="5"/>
  <c r="F60" i="5"/>
  <c r="J60" i="5"/>
  <c r="B60" i="5"/>
  <c r="K60" i="5"/>
  <c r="G60" i="5"/>
  <c r="H60" i="5"/>
  <c r="C60" i="5"/>
  <c r="I58" i="5"/>
  <c r="H58" i="5"/>
  <c r="G58" i="5"/>
  <c r="C58" i="5"/>
  <c r="D58" i="5"/>
  <c r="K58" i="5"/>
  <c r="J58" i="5"/>
  <c r="B58" i="5"/>
  <c r="F58" i="5"/>
  <c r="K61" i="5"/>
  <c r="D61" i="5"/>
  <c r="J61" i="5"/>
  <c r="G61" i="5"/>
  <c r="C61" i="5"/>
  <c r="H61" i="5"/>
  <c r="B61" i="5"/>
  <c r="F61" i="5"/>
  <c r="I61" i="5"/>
  <c r="K56" i="5"/>
  <c r="G56" i="5"/>
  <c r="F56" i="5"/>
  <c r="H56" i="5"/>
  <c r="J56" i="5"/>
  <c r="D56" i="5"/>
  <c r="I56" i="5"/>
  <c r="B56" i="5"/>
  <c r="C56" i="5"/>
  <c r="D51" i="5"/>
  <c r="G51" i="5"/>
  <c r="H51" i="5"/>
  <c r="F51" i="5"/>
  <c r="I51" i="5"/>
  <c r="J51" i="5"/>
  <c r="K51" i="5"/>
  <c r="B51" i="5"/>
  <c r="C51" i="5"/>
  <c r="I53" i="5"/>
  <c r="H53" i="5"/>
  <c r="K53" i="5"/>
  <c r="B53" i="5"/>
  <c r="D53" i="5"/>
  <c r="F53" i="5"/>
  <c r="J53" i="5"/>
  <c r="G53" i="5"/>
  <c r="C53" i="5"/>
  <c r="I57" i="5"/>
  <c r="F57" i="5"/>
  <c r="H57" i="5"/>
  <c r="D57" i="5"/>
  <c r="C57" i="5"/>
  <c r="K57" i="5"/>
  <c r="B57" i="5"/>
  <c r="G57" i="5"/>
  <c r="J57" i="5"/>
  <c r="D55" i="5"/>
  <c r="F55" i="5"/>
  <c r="K55" i="5"/>
  <c r="J55" i="5"/>
  <c r="I55" i="5"/>
  <c r="H55" i="5"/>
  <c r="B55" i="5"/>
  <c r="C55" i="5"/>
  <c r="G55" i="5"/>
  <c r="G54" i="5"/>
  <c r="B54" i="5"/>
  <c r="J54" i="5"/>
  <c r="D54" i="5"/>
  <c r="F54" i="5"/>
  <c r="I54" i="5"/>
  <c r="K54" i="5"/>
  <c r="H54" i="5"/>
  <c r="C54" i="5"/>
  <c r="K48" i="5"/>
  <c r="C48" i="5"/>
  <c r="D48" i="5"/>
  <c r="I48" i="5"/>
  <c r="H48" i="5"/>
  <c r="B48" i="5"/>
  <c r="G48" i="5"/>
  <c r="F48" i="5"/>
  <c r="J48" i="5"/>
  <c r="I49" i="5"/>
  <c r="K49" i="5"/>
  <c r="J49" i="5"/>
  <c r="B49" i="5"/>
  <c r="C49" i="5"/>
  <c r="D49" i="5"/>
  <c r="G49" i="5"/>
  <c r="H49" i="5"/>
  <c r="F49" i="5"/>
  <c r="G50" i="5"/>
  <c r="I50" i="5"/>
  <c r="J50" i="5"/>
  <c r="B50" i="5"/>
  <c r="H50" i="5"/>
  <c r="F50" i="5"/>
  <c r="D50" i="5"/>
  <c r="K50" i="5"/>
  <c r="C50" i="5"/>
  <c r="K52" i="5"/>
  <c r="C52" i="5"/>
  <c r="J52" i="5"/>
  <c r="G52" i="5"/>
  <c r="I52" i="5"/>
  <c r="F52" i="5"/>
  <c r="D52" i="5"/>
  <c r="H52" i="5"/>
  <c r="B52" i="5"/>
  <c r="G6" i="5"/>
  <c r="G5" i="5"/>
  <c r="A43" i="5" l="1"/>
  <c r="G43" i="5" l="1"/>
  <c r="A41" i="5"/>
  <c r="A44" i="5" l="1"/>
  <c r="A45" i="5"/>
  <c r="F45" i="5" s="1"/>
  <c r="A46" i="5"/>
  <c r="D46" i="5" s="1"/>
  <c r="A47" i="5"/>
  <c r="C47" i="5" s="1"/>
  <c r="C43" i="5"/>
  <c r="D43" i="5"/>
  <c r="F43" i="5"/>
  <c r="B43" i="5"/>
  <c r="D44" i="5" l="1"/>
  <c r="B45" i="5"/>
  <c r="F47" i="5"/>
  <c r="C46" i="5"/>
  <c r="G46" i="5"/>
  <c r="B46" i="5"/>
  <c r="F44" i="5"/>
  <c r="B44" i="5"/>
  <c r="G44" i="5"/>
  <c r="F46" i="5"/>
  <c r="B47" i="5"/>
  <c r="D45" i="5"/>
  <c r="G45" i="5"/>
  <c r="C45" i="5"/>
  <c r="C44" i="5"/>
  <c r="G47" i="5"/>
  <c r="D47" i="5"/>
  <c r="K47" i="5"/>
  <c r="J47" i="5"/>
  <c r="I47" i="5"/>
  <c r="H47" i="5"/>
  <c r="K45" i="5"/>
  <c r="J45" i="5"/>
  <c r="I45" i="5"/>
  <c r="H45" i="5"/>
  <c r="K44" i="5"/>
  <c r="J44" i="5"/>
  <c r="I44" i="5"/>
  <c r="H44" i="5"/>
  <c r="K43" i="5"/>
  <c r="J43" i="5"/>
  <c r="I43" i="5"/>
  <c r="H43" i="5"/>
  <c r="I46" i="5"/>
  <c r="H46" i="5" l="1"/>
  <c r="J46" i="5"/>
  <c r="K46" i="5"/>
  <c r="E89" i="8" l="1"/>
  <c r="D89" i="8"/>
  <c r="B89" i="8"/>
  <c r="A89" i="8"/>
  <c r="E88" i="8"/>
  <c r="D88" i="8"/>
  <c r="B88" i="8"/>
  <c r="A88" i="8"/>
  <c r="E87" i="8"/>
  <c r="D87" i="8"/>
  <c r="B87" i="8"/>
  <c r="A87" i="8"/>
  <c r="E86" i="8"/>
  <c r="D86" i="8"/>
  <c r="B86" i="8"/>
  <c r="A86" i="8"/>
  <c r="R5" i="3" l="1"/>
  <c r="R71" i="3"/>
  <c r="R8" i="3"/>
  <c r="R4" i="3"/>
  <c r="R3" i="3"/>
  <c r="R61" i="3"/>
  <c r="R54" i="3"/>
  <c r="R51" i="3"/>
  <c r="R75" i="3"/>
  <c r="R53" i="3"/>
  <c r="R76" i="3"/>
  <c r="R73" i="3"/>
  <c r="R67" i="3"/>
  <c r="R68" i="3"/>
  <c r="R17" i="3"/>
  <c r="R55" i="3"/>
  <c r="R49" i="3"/>
  <c r="R70" i="3"/>
  <c r="R72" i="3"/>
  <c r="R22" i="3"/>
  <c r="R57" i="3"/>
  <c r="R58" i="3"/>
  <c r="R59" i="3"/>
  <c r="R60" i="3"/>
  <c r="R62" i="3"/>
  <c r="R41" i="3"/>
  <c r="R56" i="3"/>
  <c r="R63" i="3"/>
  <c r="R64" i="3"/>
  <c r="R65" i="3"/>
  <c r="R66" i="3"/>
  <c r="R50" i="3"/>
  <c r="R52" i="3"/>
  <c r="R45" i="3"/>
  <c r="R42" i="3"/>
  <c r="R46" i="3"/>
  <c r="R43" i="3"/>
  <c r="R38" i="3"/>
  <c r="R7" i="3"/>
  <c r="R37" i="3"/>
  <c r="R39" i="3"/>
  <c r="R31" i="3"/>
  <c r="R32" i="3"/>
  <c r="R33" i="3"/>
  <c r="R35" i="3"/>
  <c r="R40" i="3"/>
  <c r="R44" i="3"/>
  <c r="R47" i="3"/>
  <c r="R6" i="3"/>
  <c r="R48" i="3"/>
  <c r="R74" i="3"/>
  <c r="R10" i="3"/>
  <c r="R9" i="3"/>
  <c r="R11" i="3"/>
  <c r="R14" i="3"/>
  <c r="R12" i="3"/>
  <c r="R20" i="3"/>
  <c r="R21" i="3"/>
  <c r="R15" i="3"/>
  <c r="R18" i="3"/>
  <c r="R19" i="3"/>
  <c r="R16" i="3"/>
  <c r="R29" i="3"/>
  <c r="R30" i="3"/>
  <c r="R23" i="3"/>
  <c r="R27" i="3"/>
  <c r="R28" i="3"/>
  <c r="R25" i="3"/>
  <c r="R26" i="3"/>
  <c r="R36" i="3"/>
  <c r="R13" i="3"/>
  <c r="E70" i="8"/>
  <c r="D70" i="8"/>
  <c r="B70" i="8"/>
  <c r="A70" i="8"/>
  <c r="E69" i="8"/>
  <c r="D69" i="8"/>
  <c r="B69" i="8"/>
  <c r="A69" i="8"/>
  <c r="E68" i="8"/>
  <c r="D68" i="8"/>
  <c r="B68" i="8"/>
  <c r="A68" i="8"/>
  <c r="E67" i="8"/>
  <c r="D67" i="8"/>
  <c r="B67" i="8"/>
  <c r="A67" i="8"/>
  <c r="E66" i="8"/>
  <c r="D66" i="8"/>
  <c r="B66" i="8"/>
  <c r="A66" i="8"/>
  <c r="E65" i="8"/>
  <c r="D65" i="8"/>
  <c r="B65" i="8"/>
  <c r="A65" i="8"/>
  <c r="Q71" i="3" s="1"/>
  <c r="Q5" i="3" l="1"/>
  <c r="Q4" i="3"/>
  <c r="Q3" i="3"/>
  <c r="Q8" i="3"/>
  <c r="Q54" i="3"/>
  <c r="Q55" i="3"/>
  <c r="Q49" i="3"/>
  <c r="Q17" i="3"/>
  <c r="Q22" i="3"/>
  <c r="Q51" i="3"/>
  <c r="Q53" i="3"/>
  <c r="Q67" i="3"/>
  <c r="Q68" i="3"/>
  <c r="Q70" i="3"/>
  <c r="Q72" i="3"/>
  <c r="Q73" i="3"/>
  <c r="Q75" i="3"/>
  <c r="Q76" i="3"/>
  <c r="Q61" i="3"/>
  <c r="Q57" i="3"/>
  <c r="Q58" i="3"/>
  <c r="Q59" i="3"/>
  <c r="Q60" i="3"/>
  <c r="Q62" i="3"/>
  <c r="Q41" i="3"/>
  <c r="Q56" i="3"/>
  <c r="Q63" i="3"/>
  <c r="Q64" i="3"/>
  <c r="Q65" i="3"/>
  <c r="Q66" i="3"/>
  <c r="Q50" i="3"/>
  <c r="Q52" i="3"/>
  <c r="Q45" i="3"/>
  <c r="Q42" i="3"/>
  <c r="Q46" i="3"/>
  <c r="Q43" i="3"/>
  <c r="Q39" i="3"/>
  <c r="Q33" i="3"/>
  <c r="Q44" i="3"/>
  <c r="Q20" i="3"/>
  <c r="Q23" i="3"/>
  <c r="Q13" i="3"/>
  <c r="Q25" i="3"/>
  <c r="Q7" i="3"/>
  <c r="Q35" i="3"/>
  <c r="Q47" i="3"/>
  <c r="Q21" i="3"/>
  <c r="Q27" i="3"/>
  <c r="Q48" i="3"/>
  <c r="Q16" i="3"/>
  <c r="Q29" i="3"/>
  <c r="Q6" i="3"/>
  <c r="Q15" i="3"/>
  <c r="Q28" i="3"/>
  <c r="Q10" i="3"/>
  <c r="Q74" i="3"/>
  <c r="Q9" i="3"/>
  <c r="Q19" i="3"/>
  <c r="Q26" i="3"/>
  <c r="Q38" i="3"/>
  <c r="Q11" i="3"/>
  <c r="Q14" i="3"/>
  <c r="Q37" i="3"/>
  <c r="Q32" i="3"/>
  <c r="Q40" i="3"/>
  <c r="Q12" i="3"/>
  <c r="Q30" i="3"/>
  <c r="Q36" i="3"/>
  <c r="Q18" i="3"/>
  <c r="Q31" i="3"/>
  <c r="E61" i="8"/>
  <c r="D61" i="8"/>
  <c r="B61" i="8"/>
  <c r="A61" i="8"/>
  <c r="E60" i="8"/>
  <c r="D60" i="8"/>
  <c r="B60" i="8"/>
  <c r="A60" i="8"/>
  <c r="E59" i="8"/>
  <c r="D59" i="8"/>
  <c r="B59" i="8"/>
  <c r="A59" i="8"/>
  <c r="E58" i="8"/>
  <c r="D58" i="8"/>
  <c r="B58" i="8"/>
  <c r="A58" i="8"/>
  <c r="P5" i="3" l="1"/>
  <c r="P71" i="3"/>
  <c r="P4" i="3"/>
  <c r="P3" i="3"/>
  <c r="P8" i="3"/>
  <c r="P54" i="3"/>
  <c r="P55" i="3"/>
  <c r="P49" i="3"/>
  <c r="P17" i="3"/>
  <c r="P22" i="3"/>
  <c r="P51" i="3"/>
  <c r="P53" i="3"/>
  <c r="P67" i="3"/>
  <c r="P68" i="3"/>
  <c r="P70" i="3"/>
  <c r="P72" i="3"/>
  <c r="P73" i="3"/>
  <c r="P75" i="3"/>
  <c r="P76" i="3"/>
  <c r="P61" i="3"/>
  <c r="P57" i="3"/>
  <c r="P58" i="3"/>
  <c r="P59" i="3"/>
  <c r="P60" i="3"/>
  <c r="P62" i="3"/>
  <c r="P41" i="3"/>
  <c r="P56" i="3"/>
  <c r="P45" i="3"/>
  <c r="P32" i="3"/>
  <c r="P40" i="3"/>
  <c r="P15" i="3"/>
  <c r="P28" i="3"/>
  <c r="P13" i="3"/>
  <c r="P18" i="3"/>
  <c r="P19" i="3"/>
  <c r="P27" i="3"/>
  <c r="P50" i="3"/>
  <c r="P42" i="3"/>
  <c r="P33" i="3"/>
  <c r="P44" i="3"/>
  <c r="P10" i="3"/>
  <c r="P25" i="3"/>
  <c r="P26" i="3"/>
  <c r="P46" i="3"/>
  <c r="P38" i="3"/>
  <c r="P35" i="3"/>
  <c r="P47" i="3"/>
  <c r="P9" i="3"/>
  <c r="P21" i="3"/>
  <c r="P63" i="3"/>
  <c r="P52" i="3"/>
  <c r="P43" i="3"/>
  <c r="P7" i="3"/>
  <c r="P6" i="3"/>
  <c r="P11" i="3"/>
  <c r="P16" i="3"/>
  <c r="P12" i="3"/>
  <c r="P31" i="3"/>
  <c r="P36" i="3"/>
  <c r="P64" i="3"/>
  <c r="P37" i="3"/>
  <c r="P48" i="3"/>
  <c r="P14" i="3"/>
  <c r="P29" i="3"/>
  <c r="P74" i="3"/>
  <c r="P65" i="3"/>
  <c r="P39" i="3"/>
  <c r="P30" i="3"/>
  <c r="P66" i="3"/>
  <c r="P20" i="3"/>
  <c r="P23" i="3"/>
  <c r="E54" i="8"/>
  <c r="D54" i="8"/>
  <c r="B54" i="8"/>
  <c r="A54" i="8"/>
  <c r="E52" i="8"/>
  <c r="D52" i="8"/>
  <c r="B52" i="8"/>
  <c r="A52" i="8"/>
  <c r="E51" i="8"/>
  <c r="D51" i="8"/>
  <c r="B51" i="8"/>
  <c r="A51" i="8"/>
  <c r="E50" i="8"/>
  <c r="D50" i="8"/>
  <c r="B50" i="8"/>
  <c r="A50" i="8"/>
  <c r="E49" i="8"/>
  <c r="D49" i="8"/>
  <c r="B49" i="8"/>
  <c r="A49" i="8"/>
  <c r="O5" i="3" l="1"/>
  <c r="O71" i="3"/>
  <c r="O4" i="3"/>
  <c r="O3" i="3"/>
  <c r="O8" i="3"/>
  <c r="O54" i="3"/>
  <c r="O55" i="3"/>
  <c r="O49" i="3"/>
  <c r="O17" i="3"/>
  <c r="O22" i="3"/>
  <c r="O51" i="3"/>
  <c r="O53" i="3"/>
  <c r="O67" i="3"/>
  <c r="O68" i="3"/>
  <c r="O70" i="3"/>
  <c r="O72" i="3"/>
  <c r="O73" i="3"/>
  <c r="O75" i="3"/>
  <c r="O76" i="3"/>
  <c r="O61" i="3"/>
  <c r="O57" i="3"/>
  <c r="O58" i="3"/>
  <c r="O59" i="3"/>
  <c r="O60" i="3"/>
  <c r="O62" i="3"/>
  <c r="O41" i="3"/>
  <c r="O56" i="3"/>
  <c r="O46" i="3"/>
  <c r="O45" i="3"/>
  <c r="O38" i="3"/>
  <c r="O42" i="3"/>
  <c r="O43" i="3"/>
  <c r="O50" i="3"/>
  <c r="O63" i="3"/>
  <c r="O64" i="3"/>
  <c r="O52" i="3"/>
  <c r="O65" i="3"/>
  <c r="O66" i="3"/>
  <c r="O39" i="3"/>
  <c r="O33" i="3"/>
  <c r="O9" i="3"/>
  <c r="O19" i="3"/>
  <c r="O26" i="3"/>
  <c r="O32" i="3"/>
  <c r="O35" i="3"/>
  <c r="O40" i="3"/>
  <c r="O11" i="3"/>
  <c r="O16" i="3"/>
  <c r="O13" i="3"/>
  <c r="O44" i="3"/>
  <c r="O14" i="3"/>
  <c r="O29" i="3"/>
  <c r="O25" i="3"/>
  <c r="O47" i="3"/>
  <c r="O12" i="3"/>
  <c r="O30" i="3"/>
  <c r="O36" i="3"/>
  <c r="O10" i="3"/>
  <c r="O6" i="3"/>
  <c r="O20" i="3"/>
  <c r="O23" i="3"/>
  <c r="O18" i="3"/>
  <c r="O48" i="3"/>
  <c r="O21" i="3"/>
  <c r="O27" i="3"/>
  <c r="O7" i="3"/>
  <c r="O31" i="3"/>
  <c r="O74" i="3"/>
  <c r="O15" i="3"/>
  <c r="O28" i="3"/>
  <c r="O37" i="3"/>
  <c r="E45" i="8"/>
  <c r="D45" i="8"/>
  <c r="B45" i="8"/>
  <c r="A45" i="8"/>
  <c r="E44" i="8"/>
  <c r="D44" i="8"/>
  <c r="B44" i="8"/>
  <c r="A44" i="8"/>
  <c r="E43" i="8"/>
  <c r="D43" i="8"/>
  <c r="B43" i="8"/>
  <c r="A43" i="8"/>
  <c r="E42" i="8"/>
  <c r="D42" i="8"/>
  <c r="B42" i="8"/>
  <c r="A42" i="8"/>
  <c r="N5" i="3" l="1"/>
  <c r="N71" i="3"/>
  <c r="N4" i="3"/>
  <c r="N3" i="3"/>
  <c r="N8" i="3"/>
  <c r="N54" i="3"/>
  <c r="N55" i="3"/>
  <c r="N49" i="3"/>
  <c r="N17" i="3"/>
  <c r="N22" i="3"/>
  <c r="N51" i="3"/>
  <c r="N53" i="3"/>
  <c r="N67" i="3"/>
  <c r="N68" i="3"/>
  <c r="N70" i="3"/>
  <c r="N72" i="3"/>
  <c r="N73" i="3"/>
  <c r="N75" i="3"/>
  <c r="N76" i="3"/>
  <c r="N61" i="3"/>
  <c r="N57" i="3"/>
  <c r="N58" i="3"/>
  <c r="N59" i="3"/>
  <c r="N60" i="3"/>
  <c r="N62" i="3"/>
  <c r="N41" i="3"/>
  <c r="N56" i="3"/>
  <c r="N7" i="3"/>
  <c r="N74" i="3"/>
  <c r="N42" i="3"/>
  <c r="N39" i="3"/>
  <c r="N32" i="3"/>
  <c r="N48" i="3"/>
  <c r="N20" i="3"/>
  <c r="N23" i="3"/>
  <c r="N46" i="3"/>
  <c r="N64" i="3"/>
  <c r="N43" i="3"/>
  <c r="N35" i="3"/>
  <c r="N15" i="3"/>
  <c r="N28" i="3"/>
  <c r="N47" i="3"/>
  <c r="N27" i="3"/>
  <c r="N65" i="3"/>
  <c r="N50" i="3"/>
  <c r="N10" i="3"/>
  <c r="N18" i="3"/>
  <c r="N25" i="3"/>
  <c r="N29" i="3"/>
  <c r="N21" i="3"/>
  <c r="N66" i="3"/>
  <c r="N40" i="3"/>
  <c r="N9" i="3"/>
  <c r="N19" i="3"/>
  <c r="N26" i="3"/>
  <c r="N13" i="3"/>
  <c r="N45" i="3"/>
  <c r="N31" i="3"/>
  <c r="N12" i="3"/>
  <c r="N52" i="3"/>
  <c r="N38" i="3"/>
  <c r="N44" i="3"/>
  <c r="N11" i="3"/>
  <c r="N16" i="3"/>
  <c r="N36" i="3"/>
  <c r="N14" i="3"/>
  <c r="N37" i="3"/>
  <c r="N6" i="3"/>
  <c r="N30" i="3"/>
  <c r="N63" i="3"/>
  <c r="N33" i="3"/>
  <c r="A25" i="8"/>
  <c r="A26" i="8"/>
  <c r="A27" i="8"/>
  <c r="A28" i="8"/>
  <c r="A29" i="8"/>
  <c r="B25" i="8"/>
  <c r="B26" i="8"/>
  <c r="B27" i="8"/>
  <c r="B28" i="8"/>
  <c r="B29" i="8"/>
  <c r="D25" i="8"/>
  <c r="D26" i="8"/>
  <c r="D27" i="8"/>
  <c r="D28" i="8"/>
  <c r="D29" i="8"/>
  <c r="E25" i="8"/>
  <c r="E26" i="8"/>
  <c r="E27" i="8"/>
  <c r="E28" i="8"/>
  <c r="E29" i="8"/>
  <c r="A24" i="8"/>
  <c r="B24" i="8"/>
  <c r="D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D7" i="8"/>
  <c r="D8" i="8"/>
  <c r="D9" i="8"/>
  <c r="D10" i="8"/>
  <c r="D11" i="8"/>
  <c r="D12" i="8"/>
  <c r="D13" i="8"/>
  <c r="D14" i="8"/>
  <c r="D15" i="8"/>
  <c r="D16" i="8"/>
  <c r="D17" i="8"/>
  <c r="D18" i="8"/>
  <c r="D19" i="8"/>
  <c r="D20" i="8"/>
  <c r="D21" i="8"/>
  <c r="D22" i="8"/>
  <c r="D23" i="8"/>
  <c r="E7" i="8"/>
  <c r="E8" i="8"/>
  <c r="E9" i="8"/>
  <c r="E10" i="8"/>
  <c r="E11" i="8"/>
  <c r="E12" i="8"/>
  <c r="E13" i="8"/>
  <c r="E14" i="8"/>
  <c r="E15" i="8"/>
  <c r="E16" i="8"/>
  <c r="E17" i="8"/>
  <c r="E18" i="8"/>
  <c r="E19" i="8"/>
  <c r="E20" i="8"/>
  <c r="E21" i="8"/>
  <c r="E22" i="8"/>
  <c r="E23" i="8"/>
  <c r="L69" i="3" l="1"/>
  <c r="L24" i="3"/>
  <c r="B33" i="8"/>
  <c r="E33" i="8"/>
  <c r="E34" i="8"/>
  <c r="E35" i="8"/>
  <c r="E36" i="8"/>
  <c r="E37" i="8"/>
  <c r="E38" i="8"/>
  <c r="D33" i="8"/>
  <c r="D34" i="8"/>
  <c r="D35" i="8"/>
  <c r="D36" i="8"/>
  <c r="D37" i="8"/>
  <c r="D38" i="8"/>
  <c r="B34" i="8"/>
  <c r="B35" i="8"/>
  <c r="B36" i="8"/>
  <c r="B37" i="8"/>
  <c r="B38" i="8"/>
  <c r="A33" i="8"/>
  <c r="A34" i="8"/>
  <c r="A35" i="8"/>
  <c r="A36" i="8"/>
  <c r="A37" i="8"/>
  <c r="A38" i="8"/>
  <c r="E3" i="8"/>
  <c r="E4" i="8"/>
  <c r="E5" i="8"/>
  <c r="E6" i="8"/>
  <c r="D3" i="8"/>
  <c r="D4" i="8"/>
  <c r="D5" i="8"/>
  <c r="D6" i="8"/>
  <c r="B3" i="8"/>
  <c r="B4" i="8"/>
  <c r="B5" i="8"/>
  <c r="B6" i="8"/>
  <c r="A4" i="8"/>
  <c r="A5" i="8"/>
  <c r="A6" i="8"/>
  <c r="L71" i="3" l="1"/>
  <c r="M71" i="3"/>
  <c r="L5" i="3"/>
  <c r="M5" i="3"/>
  <c r="L4" i="3"/>
  <c r="L3" i="3"/>
  <c r="M4" i="3"/>
  <c r="M3" i="3"/>
  <c r="L56" i="3"/>
  <c r="L8" i="3"/>
  <c r="L54" i="3"/>
  <c r="L55" i="3"/>
  <c r="L49" i="3"/>
  <c r="L17" i="3"/>
  <c r="L22" i="3"/>
  <c r="L51" i="3"/>
  <c r="L53" i="3"/>
  <c r="L67" i="3"/>
  <c r="L68" i="3"/>
  <c r="L70" i="3"/>
  <c r="L72" i="3"/>
  <c r="L73" i="3"/>
  <c r="L75" i="3"/>
  <c r="L76" i="3"/>
  <c r="M8" i="3"/>
  <c r="M54" i="3"/>
  <c r="M55" i="3"/>
  <c r="M49" i="3"/>
  <c r="M17" i="3"/>
  <c r="M22" i="3"/>
  <c r="M51" i="3"/>
  <c r="M53" i="3"/>
  <c r="M67" i="3"/>
  <c r="M68" i="3"/>
  <c r="M70" i="3"/>
  <c r="M72" i="3"/>
  <c r="M73" i="3"/>
  <c r="M75" i="3"/>
  <c r="M76" i="3"/>
  <c r="L61" i="3"/>
  <c r="M61" i="3"/>
  <c r="L57" i="3"/>
  <c r="L58" i="3"/>
  <c r="L59" i="3"/>
  <c r="L60" i="3"/>
  <c r="L62" i="3"/>
  <c r="L41" i="3"/>
  <c r="M57" i="3"/>
  <c r="M58" i="3"/>
  <c r="M59" i="3"/>
  <c r="M60" i="3"/>
  <c r="M62" i="3"/>
  <c r="M41" i="3"/>
  <c r="L63" i="3"/>
  <c r="L64" i="3"/>
  <c r="L65" i="3"/>
  <c r="L66" i="3"/>
  <c r="L50" i="3"/>
  <c r="L52" i="3"/>
  <c r="L45" i="3"/>
  <c r="L42" i="3"/>
  <c r="L46" i="3"/>
  <c r="L43" i="3"/>
  <c r="L38" i="3"/>
  <c r="L7" i="3"/>
  <c r="L37" i="3"/>
  <c r="L39" i="3"/>
  <c r="L31" i="3"/>
  <c r="L32" i="3"/>
  <c r="L33" i="3"/>
  <c r="L35" i="3"/>
  <c r="L40" i="3"/>
  <c r="L44" i="3"/>
  <c r="L47" i="3"/>
  <c r="L6" i="3"/>
  <c r="L48" i="3"/>
  <c r="L74" i="3"/>
  <c r="L10" i="3"/>
  <c r="L9" i="3"/>
  <c r="L11" i="3"/>
  <c r="L14" i="3"/>
  <c r="L12" i="3"/>
  <c r="L20" i="3"/>
  <c r="L21" i="3"/>
  <c r="L15" i="3"/>
  <c r="L18" i="3"/>
  <c r="L19" i="3"/>
  <c r="L16" i="3"/>
  <c r="L29" i="3"/>
  <c r="L30" i="3"/>
  <c r="L23" i="3"/>
  <c r="L27" i="3"/>
  <c r="L28" i="3"/>
  <c r="L25" i="3"/>
  <c r="L26" i="3"/>
  <c r="M56" i="3"/>
  <c r="M63" i="3"/>
  <c r="M64" i="3"/>
  <c r="M65" i="3"/>
  <c r="M66" i="3"/>
  <c r="M50" i="3"/>
  <c r="M52" i="3"/>
  <c r="M45" i="3"/>
  <c r="M42" i="3"/>
  <c r="M46" i="3"/>
  <c r="M43" i="3"/>
  <c r="M40" i="3"/>
  <c r="M44" i="3"/>
  <c r="M47" i="3"/>
  <c r="M37" i="3"/>
  <c r="M32" i="3"/>
  <c r="M15" i="3"/>
  <c r="M28" i="3"/>
  <c r="M39" i="3"/>
  <c r="M33" i="3"/>
  <c r="M10" i="3"/>
  <c r="M18" i="3"/>
  <c r="M25" i="3"/>
  <c r="M36" i="3"/>
  <c r="M35" i="3"/>
  <c r="M9" i="3"/>
  <c r="M19" i="3"/>
  <c r="M26" i="3"/>
  <c r="M13" i="3"/>
  <c r="M11" i="3"/>
  <c r="M16" i="3"/>
  <c r="M6" i="3"/>
  <c r="M14" i="3"/>
  <c r="M29" i="3"/>
  <c r="M27" i="3"/>
  <c r="M48" i="3"/>
  <c r="M12" i="3"/>
  <c r="M30" i="3"/>
  <c r="M38" i="3"/>
  <c r="M74" i="3"/>
  <c r="M20" i="3"/>
  <c r="M23" i="3"/>
  <c r="M7" i="3"/>
  <c r="M31" i="3"/>
  <c r="M21" i="3"/>
  <c r="L36" i="3"/>
  <c r="L13" i="3"/>
  <c r="A31" i="5" l="1"/>
  <c r="A21" i="5"/>
  <c r="A11" i="5"/>
  <c r="A30" i="5"/>
  <c r="A20" i="5"/>
  <c r="A10" i="5"/>
  <c r="A38" i="5"/>
  <c r="A28" i="5"/>
  <c r="A18" i="5"/>
  <c r="A37" i="5"/>
  <c r="A27" i="5"/>
  <c r="A17" i="5"/>
  <c r="A36" i="5"/>
  <c r="A26" i="5"/>
  <c r="A16" i="5"/>
  <c r="A35" i="5"/>
  <c r="A25" i="5"/>
  <c r="A15" i="5"/>
  <c r="A33" i="5"/>
  <c r="A23" i="5"/>
  <c r="A13" i="5"/>
  <c r="A32" i="5"/>
  <c r="A22" i="5"/>
  <c r="A12" i="5"/>
  <c r="K38" i="5" l="1"/>
  <c r="J38" i="5"/>
  <c r="I38" i="5"/>
  <c r="H38" i="5"/>
  <c r="H12" i="5"/>
  <c r="K12" i="5"/>
  <c r="J12" i="5"/>
  <c r="I12" i="5"/>
  <c r="E35" i="5"/>
  <c r="E36" i="5" s="1"/>
  <c r="E37" i="5" s="1"/>
  <c r="E38" i="5" s="1"/>
  <c r="J35" i="5"/>
  <c r="I35" i="5"/>
  <c r="H35" i="5"/>
  <c r="K35" i="5"/>
  <c r="K28" i="5"/>
  <c r="J28" i="5"/>
  <c r="I28" i="5"/>
  <c r="H28" i="5"/>
  <c r="J32" i="5"/>
  <c r="H32" i="5"/>
  <c r="K32" i="5"/>
  <c r="I32" i="5"/>
  <c r="K13" i="5"/>
  <c r="J13" i="5"/>
  <c r="I13" i="5"/>
  <c r="H13" i="5"/>
  <c r="K36" i="5"/>
  <c r="J36" i="5"/>
  <c r="I36" i="5"/>
  <c r="H36" i="5"/>
  <c r="E20" i="5"/>
  <c r="E21" i="5" s="1"/>
  <c r="E22" i="5" s="1"/>
  <c r="E23" i="5" s="1"/>
  <c r="H20" i="5"/>
  <c r="K20" i="5"/>
  <c r="J20" i="5"/>
  <c r="I20" i="5"/>
  <c r="J22" i="5"/>
  <c r="I22" i="5"/>
  <c r="H22" i="5"/>
  <c r="K22" i="5"/>
  <c r="K23" i="5"/>
  <c r="J23" i="5"/>
  <c r="I23" i="5"/>
  <c r="H23" i="5"/>
  <c r="I17" i="5"/>
  <c r="H17" i="5"/>
  <c r="K17" i="5"/>
  <c r="J17" i="5"/>
  <c r="E30" i="5"/>
  <c r="E31" i="5" s="1"/>
  <c r="E32" i="5" s="1"/>
  <c r="E33" i="5" s="1"/>
  <c r="J30" i="5"/>
  <c r="H30" i="5"/>
  <c r="K30" i="5"/>
  <c r="I30" i="5"/>
  <c r="E10" i="5"/>
  <c r="E11" i="5" s="1"/>
  <c r="E12" i="5" s="1"/>
  <c r="E13" i="5" s="1"/>
  <c r="H10" i="5"/>
  <c r="K10" i="5"/>
  <c r="J10" i="5"/>
  <c r="I10" i="5"/>
  <c r="K33" i="5"/>
  <c r="J33" i="5"/>
  <c r="I33" i="5"/>
  <c r="H33" i="5"/>
  <c r="J27" i="5"/>
  <c r="I27" i="5"/>
  <c r="H27" i="5"/>
  <c r="K27" i="5"/>
  <c r="K11" i="5"/>
  <c r="J11" i="5"/>
  <c r="I11" i="5"/>
  <c r="H11" i="5"/>
  <c r="K26" i="5"/>
  <c r="J26" i="5"/>
  <c r="I26" i="5"/>
  <c r="H26" i="5"/>
  <c r="E15" i="5"/>
  <c r="E16" i="5" s="1"/>
  <c r="E17" i="5" s="1"/>
  <c r="E18" i="5" s="1"/>
  <c r="J15" i="5"/>
  <c r="H15" i="5"/>
  <c r="K15" i="5"/>
  <c r="I15" i="5"/>
  <c r="J37" i="5"/>
  <c r="H37" i="5"/>
  <c r="K37" i="5"/>
  <c r="I37" i="5"/>
  <c r="K21" i="5"/>
  <c r="J21" i="5"/>
  <c r="I21" i="5"/>
  <c r="H21" i="5"/>
  <c r="K16" i="5"/>
  <c r="J16" i="5"/>
  <c r="I16" i="5"/>
  <c r="H16" i="5"/>
  <c r="E25" i="5"/>
  <c r="E26" i="5" s="1"/>
  <c r="E27" i="5" s="1"/>
  <c r="E28" i="5" s="1"/>
  <c r="J25" i="5"/>
  <c r="H25" i="5"/>
  <c r="K25" i="5"/>
  <c r="I25" i="5"/>
  <c r="K18" i="5"/>
  <c r="J18" i="5"/>
  <c r="I18" i="5"/>
  <c r="H18" i="5"/>
  <c r="K31" i="5"/>
  <c r="J31" i="5"/>
  <c r="I31" i="5"/>
  <c r="H31" i="5"/>
  <c r="C36" i="5"/>
  <c r="F36" i="5"/>
  <c r="G36" i="5"/>
  <c r="B36" i="5"/>
  <c r="D36" i="5"/>
  <c r="B37" i="5"/>
  <c r="F37" i="5"/>
  <c r="G37" i="5"/>
  <c r="D37" i="5"/>
  <c r="C37" i="5"/>
  <c r="B32" i="5"/>
  <c r="C32" i="5"/>
  <c r="G32" i="5"/>
  <c r="F32" i="5"/>
  <c r="D32" i="5"/>
  <c r="D38" i="5"/>
  <c r="B38" i="5"/>
  <c r="C38" i="5"/>
  <c r="F38" i="5"/>
  <c r="G38" i="5"/>
  <c r="D35" i="5"/>
  <c r="B35" i="5"/>
  <c r="C35" i="5"/>
  <c r="F35" i="5"/>
  <c r="G35" i="5"/>
  <c r="C31" i="5"/>
  <c r="G31" i="5"/>
  <c r="D31" i="5"/>
  <c r="F31" i="5"/>
  <c r="B31" i="5"/>
  <c r="C33" i="5"/>
  <c r="G33" i="5"/>
  <c r="F33" i="5"/>
  <c r="B33" i="5"/>
  <c r="D33" i="5"/>
  <c r="D30" i="5"/>
  <c r="F30" i="5"/>
  <c r="B30" i="5"/>
  <c r="C30" i="5"/>
  <c r="G30" i="5"/>
  <c r="F22" i="5" l="1"/>
  <c r="C22" i="5"/>
  <c r="G22" i="5"/>
  <c r="D22" i="5"/>
  <c r="B22" i="5"/>
  <c r="G15" i="5"/>
  <c r="F15" i="5"/>
  <c r="D15" i="5"/>
  <c r="C15" i="5"/>
  <c r="B15" i="5"/>
  <c r="G20" i="5"/>
  <c r="F20" i="5"/>
  <c r="D20" i="5"/>
  <c r="C20" i="5"/>
  <c r="B20" i="5"/>
  <c r="G13" i="5"/>
  <c r="F13" i="5"/>
  <c r="D13" i="5"/>
  <c r="C13" i="5"/>
  <c r="B13" i="5"/>
  <c r="G28" i="5"/>
  <c r="F28" i="5"/>
  <c r="D28" i="5"/>
  <c r="C28" i="5"/>
  <c r="B28" i="5"/>
  <c r="G16" i="5"/>
  <c r="F16" i="5"/>
  <c r="D16" i="5"/>
  <c r="C16" i="5"/>
  <c r="B16" i="5"/>
  <c r="G10" i="5"/>
  <c r="F10" i="5"/>
  <c r="D10" i="5"/>
  <c r="C10" i="5"/>
  <c r="B10" i="5"/>
  <c r="F12" i="5"/>
  <c r="B12" i="5"/>
  <c r="C12" i="5"/>
  <c r="G12" i="5"/>
  <c r="D12" i="5"/>
  <c r="G17" i="5"/>
  <c r="F17" i="5"/>
  <c r="D17" i="5"/>
  <c r="C17" i="5"/>
  <c r="B17" i="5"/>
  <c r="F21" i="5"/>
  <c r="C21" i="5"/>
  <c r="G21" i="5"/>
  <c r="D21" i="5"/>
  <c r="B21" i="5"/>
  <c r="F23" i="5"/>
  <c r="G23" i="5"/>
  <c r="D23" i="5"/>
  <c r="C23" i="5"/>
  <c r="B23" i="5"/>
  <c r="G25" i="5"/>
  <c r="F25" i="5"/>
  <c r="D25" i="5"/>
  <c r="C25" i="5"/>
  <c r="B25" i="5"/>
  <c r="B11" i="5"/>
  <c r="C11" i="5"/>
  <c r="G11" i="5"/>
  <c r="D11" i="5"/>
  <c r="F11" i="5"/>
  <c r="G26" i="5"/>
  <c r="F26" i="5"/>
  <c r="D26" i="5"/>
  <c r="C26" i="5"/>
  <c r="B26" i="5"/>
  <c r="G27" i="5"/>
  <c r="F27" i="5"/>
  <c r="D27" i="5"/>
  <c r="C27" i="5"/>
  <c r="B27" i="5"/>
  <c r="G18" i="5"/>
  <c r="F18" i="5"/>
  <c r="D18" i="5"/>
  <c r="C18" i="5"/>
  <c r="B18" i="5"/>
</calcChain>
</file>

<file path=xl/sharedStrings.xml><?xml version="1.0" encoding="utf-8"?>
<sst xmlns="http://schemas.openxmlformats.org/spreadsheetml/2006/main" count="1184" uniqueCount="323">
  <si>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</si>
  <si>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</si>
  <si>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</si>
  <si>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</si>
  <si>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</si>
  <si>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</si>
  <si>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</si>
  <si>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</si>
  <si>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</si>
  <si>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</si>
  <si>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</si>
  <si>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Bachelor of Applied Science (Architectural Science)</t>
  </si>
  <si>
    <t>Course version:</t>
  </si>
  <si>
    <t>Specialisation:</t>
  </si>
  <si>
    <t>Interior Architecture Specialisation</t>
  </si>
  <si>
    <t>Specialisation version:</t>
  </si>
  <si>
    <t>Commencing:</t>
  </si>
  <si>
    <t>Semester 2 (July -  November)</t>
  </si>
  <si>
    <t>Credits to Complete:</t>
  </si>
  <si>
    <t>2025 Availabilities</t>
  </si>
  <si>
    <t>Year 1</t>
  </si>
  <si>
    <t>Study Period</t>
  </si>
  <si>
    <t>Pre-Requisite(s)</t>
  </si>
  <si>
    <t>CP</t>
  </si>
  <si>
    <t>Sem1 BEN</t>
  </si>
  <si>
    <t>Sem1 FO</t>
  </si>
  <si>
    <t>Sem2 BEN</t>
  </si>
  <si>
    <t>Sem2 FO</t>
  </si>
  <si>
    <t>Notes / Progress</t>
  </si>
  <si>
    <t>Year 2</t>
  </si>
  <si>
    <t>Year 3</t>
  </si>
  <si>
    <t>Specialisation Units (see Guidelines)</t>
  </si>
  <si>
    <t>Note: Provided you meet any pre requisites, and the unit is available, you may study specialisation units in any order.</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</si>
  <si>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</si>
  <si>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</si>
  <si>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</si>
  <si>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</si>
  <si>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RangeUnitsets</t>
  </si>
  <si>
    <t>B-ARCHSem1</t>
  </si>
  <si>
    <t>B-ARCHSem2</t>
  </si>
  <si>
    <t>Y1Sem1</t>
  </si>
  <si>
    <t>COMS1010</t>
  </si>
  <si>
    <t>Y1Sem2</t>
  </si>
  <si>
    <t>ARCH1016</t>
  </si>
  <si>
    <t>TableCourses</t>
  </si>
  <si>
    <t>ARCH1018</t>
  </si>
  <si>
    <t>ARCH1015</t>
  </si>
  <si>
    <t>Choose your Course</t>
  </si>
  <si>
    <t>SM Version</t>
  </si>
  <si>
    <t>SM Effective Date</t>
  </si>
  <si>
    <t>Akari Iteration</t>
  </si>
  <si>
    <t>Akari Effective Date</t>
  </si>
  <si>
    <t>Credit Points</t>
  </si>
  <si>
    <t>SM Availabilities</t>
  </si>
  <si>
    <t>ARCH1004</t>
  </si>
  <si>
    <t>ARCH1003</t>
  </si>
  <si>
    <t>B-ARCH</t>
  </si>
  <si>
    <t>v.3</t>
  </si>
  <si>
    <t>600 credit points required</t>
  </si>
  <si>
    <t>Sem1; Sem2</t>
  </si>
  <si>
    <t>(Non-structural)</t>
  </si>
  <si>
    <t>Spec</t>
  </si>
  <si>
    <t>ARCH1025</t>
  </si>
  <si>
    <t>TableSpecialisations</t>
  </si>
  <si>
    <t>Choose your Specialisation (drop-down list)</t>
  </si>
  <si>
    <t>Animation and Game Architecture Design Specialisation</t>
  </si>
  <si>
    <t>SPUC-ANGAD</t>
  </si>
  <si>
    <t>v.1</t>
  </si>
  <si>
    <t>100 credit points</t>
  </si>
  <si>
    <t>Construction Management Specialisation</t>
  </si>
  <si>
    <t>SPUC-CONMS</t>
  </si>
  <si>
    <t>Y2Sem1</t>
  </si>
  <si>
    <t>ARCH2024</t>
  </si>
  <si>
    <t>Y2Sem2</t>
  </si>
  <si>
    <t>ARCH2022</t>
  </si>
  <si>
    <t>Designing Fashion Specialisation</t>
  </si>
  <si>
    <t>SPUC-DSGNF</t>
  </si>
  <si>
    <t>v.2</t>
  </si>
  <si>
    <t>ARCH2025</t>
  </si>
  <si>
    <t>ARCH2023</t>
  </si>
  <si>
    <t>Design Thinking and Visual Communication Specialisation</t>
  </si>
  <si>
    <t>SPUC-DSGNV</t>
  </si>
  <si>
    <t>ARCH2003</t>
  </si>
  <si>
    <t>ARCH2004</t>
  </si>
  <si>
    <t>SPUC-INARS</t>
  </si>
  <si>
    <t>Principles of Planning Specialisation</t>
  </si>
  <si>
    <t>SPUC-PRINP</t>
  </si>
  <si>
    <t>TableStudyPeriod</t>
  </si>
  <si>
    <t>Choose your commencing study period (drop-down list)</t>
  </si>
  <si>
    <t>START</t>
  </si>
  <si>
    <t>Next</t>
  </si>
  <si>
    <t>Semester 1 (February - June)</t>
  </si>
  <si>
    <t>Sem1</t>
  </si>
  <si>
    <t>Sem2</t>
  </si>
  <si>
    <t>Y3Sem1</t>
  </si>
  <si>
    <t>ARCH3026</t>
  </si>
  <si>
    <t>Y3Sem2</t>
  </si>
  <si>
    <t>ARCH3024</t>
  </si>
  <si>
    <t>ARCH3027</t>
  </si>
  <si>
    <t>ARCH3007</t>
  </si>
  <si>
    <t>ARCH3006</t>
  </si>
  <si>
    <t>ARCH3008</t>
  </si>
  <si>
    <t>ARCH3009</t>
  </si>
  <si>
    <t>1)      Update high level course / component &amp; study period details (Unitsets Tab)</t>
  </si>
  <si>
    <t>2)      Update Planner page(s) to reference year of planner e.g. “2025” (Planner Tab)</t>
  </si>
  <si>
    <t>3)      Update structures (Structures Tab)</t>
  </si>
  <si>
    <t>4)      Update Handbook unit list from updated structures (Handbook Tab)</t>
  </si>
  <si>
    <t>Spec Unit</t>
  </si>
  <si>
    <t>5)      Update Availabilities using updated Handbook unit list (Availabilities Tab)</t>
  </si>
  <si>
    <t>Akari Structure</t>
  </si>
  <si>
    <t>6)      Update Pre Requisites (Handbook Tab)</t>
  </si>
  <si>
    <t>7)      Update sequences for courses / components (Unitsets Tab)</t>
  </si>
  <si>
    <t>RangeSpecSets</t>
  </si>
  <si>
    <t>8)      Review Handbook Tab for obvious issues / errors and enter notes (Handbook Tab)</t>
  </si>
  <si>
    <t>Spec1</t>
  </si>
  <si>
    <t>-3-</t>
  </si>
  <si>
    <t>-4-</t>
  </si>
  <si>
    <t>AC-INARS</t>
  </si>
  <si>
    <t>9)      Review Planner Tab(s) for obvious issues / errors (Planner Tab)</t>
  </si>
  <si>
    <t>Spec2</t>
  </si>
  <si>
    <t>GRDE1001</t>
  </si>
  <si>
    <t>BLDG1000</t>
  </si>
  <si>
    <t>GRDE1003</t>
  </si>
  <si>
    <t>GRDE1004</t>
  </si>
  <si>
    <t>INAR1010</t>
  </si>
  <si>
    <t>URDE1003</t>
  </si>
  <si>
    <t>Spec3</t>
  </si>
  <si>
    <t>GRDE1020</t>
  </si>
  <si>
    <t>BLDG1001</t>
  </si>
  <si>
    <t>FASH1001</t>
  </si>
  <si>
    <t>GRDE1018</t>
  </si>
  <si>
    <t>INAR1012</t>
  </si>
  <si>
    <t>URDE1006</t>
  </si>
  <si>
    <t>Spec4</t>
  </si>
  <si>
    <t>GRDE2037</t>
  </si>
  <si>
    <t>BLDG2024</t>
  </si>
  <si>
    <t>FASH2004</t>
  </si>
  <si>
    <t>GRDE2008</t>
  </si>
  <si>
    <t>AND</t>
  </si>
  <si>
    <t>URDE2001</t>
  </si>
  <si>
    <t>Spec5</t>
  </si>
  <si>
    <t>BLAW3030</t>
  </si>
  <si>
    <t>GRDE2027</t>
  </si>
  <si>
    <t>-2-</t>
  </si>
  <si>
    <t>URDE3002</t>
  </si>
  <si>
    <t>Spec6</t>
  </si>
  <si>
    <t>AC-ANGAD</t>
  </si>
  <si>
    <t>AC-DSGNF</t>
  </si>
  <si>
    <t>INAR2022</t>
  </si>
  <si>
    <t>Spec7</t>
  </si>
  <si>
    <t>GRDE3030</t>
  </si>
  <si>
    <t>FASH3003</t>
  </si>
  <si>
    <t>INAR3020</t>
  </si>
  <si>
    <t>Spec8</t>
  </si>
  <si>
    <t>WORK3000</t>
  </si>
  <si>
    <t>Spec9</t>
  </si>
  <si>
    <t>Opt-INARS</t>
  </si>
  <si>
    <t>Spec10</t>
  </si>
  <si>
    <t>INAR2012</t>
  </si>
  <si>
    <t>Spec11</t>
  </si>
  <si>
    <t>INAR2024</t>
  </si>
  <si>
    <t>Spec12</t>
  </si>
  <si>
    <t>ARCH2012</t>
  </si>
  <si>
    <t>Spec13</t>
  </si>
  <si>
    <t>ARCH3001</t>
  </si>
  <si>
    <t>Spec14</t>
  </si>
  <si>
    <t>URDE3005</t>
  </si>
  <si>
    <t>Spec15</t>
  </si>
  <si>
    <t>WORK2001</t>
  </si>
  <si>
    <t>Spec16</t>
  </si>
  <si>
    <t>WORK2002</t>
  </si>
  <si>
    <t>Spec17</t>
  </si>
  <si>
    <t>WORK2003</t>
  </si>
  <si>
    <t>Spec18</t>
  </si>
  <si>
    <t>WORK2005</t>
  </si>
  <si>
    <t>Spec19</t>
  </si>
  <si>
    <t>Spec20</t>
  </si>
  <si>
    <t>WORK3004</t>
  </si>
  <si>
    <t>Spec21</t>
  </si>
  <si>
    <t>WORK3006</t>
  </si>
  <si>
    <t>Pre Req Issue</t>
  </si>
  <si>
    <t>Title</t>
  </si>
  <si>
    <t>S1INT</t>
  </si>
  <si>
    <t>S1FO</t>
  </si>
  <si>
    <t>S2INT</t>
  </si>
  <si>
    <t>S2FO</t>
  </si>
  <si>
    <t>Notes</t>
  </si>
  <si>
    <t>Study BOTH:</t>
  </si>
  <si>
    <t>Study all three of:</t>
  </si>
  <si>
    <t>Study all FOUR units:</t>
  </si>
  <si>
    <t>Study either GRDE3030 or WORK3000</t>
  </si>
  <si>
    <t>Study either FASH3003 or WORK3000</t>
  </si>
  <si>
    <t>Study either INAR1010 or INAR1012</t>
  </si>
  <si>
    <t>Reading Architecture Globally</t>
  </si>
  <si>
    <t>None</t>
  </si>
  <si>
    <t>Sustainability and Structures in Architecture</t>
  </si>
  <si>
    <t>Architecture and Interior Architecture Design Studio 1 - Small Structures</t>
  </si>
  <si>
    <t>ARCH1016*</t>
  </si>
  <si>
    <t>Architecture and Interior Architecture Methods 1B - Digital Literacy</t>
  </si>
  <si>
    <t>Architecture and Interior Architecture Methods 1A - Analogue Literacy</t>
  </si>
  <si>
    <t>Architectural Science in Context</t>
  </si>
  <si>
    <t>Architectural Documentation and Detailing</t>
  </si>
  <si>
    <t>Architecture History and Identity</t>
  </si>
  <si>
    <t>Built Environment Special Topic (with approval)</t>
  </si>
  <si>
    <t>See Handbook</t>
  </si>
  <si>
    <t>Architecture Design Studio 2B - Regional Studio</t>
  </si>
  <si>
    <t>ARCH1015 + ARCH1016 + ARCH1018</t>
  </si>
  <si>
    <t>Architecture Methods 2B - Information Visualisation</t>
  </si>
  <si>
    <t>Architecture and Interior Architecture Design Studio 2A - Residential Typology and Grammar</t>
  </si>
  <si>
    <t>(ARCH1015 or INAR1003) + (ARCH1016 or INAR1007) + (ARCH1018 or INAR1008)</t>
  </si>
  <si>
    <t>Architecture Methods 2A - Digital Fabrication</t>
  </si>
  <si>
    <t>Special Topics in Architecture Construction and Planning (with approval)</t>
  </si>
  <si>
    <t>Environmental and Building Systems in Architecture</t>
  </si>
  <si>
    <t>ARCH2003 or ARCH2023 or INAR2011</t>
  </si>
  <si>
    <t>Building Information Modelling in Architecture</t>
  </si>
  <si>
    <t>ARCH2003 + ARCH2023</t>
  </si>
  <si>
    <t>Urban Contexts</t>
  </si>
  <si>
    <t>Twentieth and Twenty-First Century Architectural Theories</t>
  </si>
  <si>
    <t>Architecture Design Studio 3B - Civic</t>
  </si>
  <si>
    <t>ARCH2022 + ARCH2023 + ARCH2024 + ARCH2025</t>
  </si>
  <si>
    <t>Architecture Design Studio 3A - Multi Residential</t>
  </si>
  <si>
    <t>Architecture Methods 3A - Digital Futures</t>
  </si>
  <si>
    <t>Construction Contracts and Law</t>
  </si>
  <si>
    <t>Low Rise Construction</t>
  </si>
  <si>
    <t>High-rise Construction</t>
  </si>
  <si>
    <t>Building Surveying</t>
  </si>
  <si>
    <t>Academic and Professional Communications</t>
  </si>
  <si>
    <t>Style Hunting</t>
  </si>
  <si>
    <t>Fashion Design and Illustration</t>
  </si>
  <si>
    <t>Clothing in Context -The Business of Fashion</t>
  </si>
  <si>
    <t>Animation Design Introduction</t>
  </si>
  <si>
    <t>3D Design Practice</t>
  </si>
  <si>
    <t>Design Computing</t>
  </si>
  <si>
    <t>UX Design 1</t>
  </si>
  <si>
    <t>Game Design Introduction</t>
  </si>
  <si>
    <t>Design Thinking and Visual Narrative</t>
  </si>
  <si>
    <t>Photography Contexts and Practice</t>
  </si>
  <si>
    <t>3D Level Design</t>
  </si>
  <si>
    <t>GRDE1001 or GRDE1020</t>
  </si>
  <si>
    <t>Industry Project Development</t>
  </si>
  <si>
    <t>GRDE3001 or GRDE3014 or GRDE3015 or GRDE3029</t>
  </si>
  <si>
    <t>Pre Req issue for Specialisation, ARCH students cannot meet Pre Req.</t>
  </si>
  <si>
    <t>Interior Architecture Studio - Foundation</t>
  </si>
  <si>
    <t>History of the Interior</t>
  </si>
  <si>
    <t>Interior Architecture Studio – Community</t>
  </si>
  <si>
    <t>Philosophy and Practice</t>
  </si>
  <si>
    <t>Design Fabrication</t>
  </si>
  <si>
    <t>Furniture Design</t>
  </si>
  <si>
    <t>Study ONE unit from the Option List below</t>
  </si>
  <si>
    <t>Study a unit from your chosen Specialisation (see below)</t>
  </si>
  <si>
    <t>See below</t>
  </si>
  <si>
    <t>-</t>
  </si>
  <si>
    <t>Governance for Planning</t>
  </si>
  <si>
    <t>Introduction to Planning</t>
  </si>
  <si>
    <t>Participatory Planning</t>
  </si>
  <si>
    <t>Urban Regeneration</t>
  </si>
  <si>
    <t>Special Topics in Urban &amp; Regional Planning (with approval)</t>
  </si>
  <si>
    <t>Balance of the Planet (with approval)</t>
  </si>
  <si>
    <t>Sustainability and Innovation Foundations (with approval)</t>
  </si>
  <si>
    <t>WORK2003.PO</t>
  </si>
  <si>
    <t>Regional Industry Placement 2 (with approval)</t>
  </si>
  <si>
    <t>Phasing Out</t>
  </si>
  <si>
    <t>Regional Industry Internship (with approval)</t>
  </si>
  <si>
    <t>WORK1000* + WORK2002* + INDS2004*</t>
  </si>
  <si>
    <t>New Version</t>
  </si>
  <si>
    <t>Go Global - Internship 2 (with approval)</t>
  </si>
  <si>
    <t>Work Based Project (with approval)</t>
  </si>
  <si>
    <t>Go Practice - Internship (with approval)</t>
  </si>
  <si>
    <t>Go Global - Internship 4 (with approval)</t>
  </si>
  <si>
    <t>Do not alter columns A-E, formulas are used to present data as required for transfer to Handbook Tab</t>
  </si>
  <si>
    <t>Effective:</t>
  </si>
  <si>
    <t>Downloaded:</t>
  </si>
  <si>
    <t>Check Tables</t>
  </si>
  <si>
    <t>V</t>
  </si>
  <si>
    <t>OUA Code</t>
  </si>
  <si>
    <t>CPs</t>
  </si>
  <si>
    <t>No.</t>
  </si>
  <si>
    <t>Component Type</t>
  </si>
  <si>
    <t>Year Level</t>
  </si>
  <si>
    <t>Study Package Code</t>
  </si>
  <si>
    <t>Structure Line</t>
  </si>
  <si>
    <t>Effective</t>
  </si>
  <si>
    <t>Discont.</t>
  </si>
  <si>
    <t>Core</t>
  </si>
  <si>
    <t>NA</t>
  </si>
  <si>
    <t>Choose a Specialisation</t>
  </si>
  <si>
    <t>Semester 1</t>
  </si>
  <si>
    <t>Semester 2</t>
  </si>
  <si>
    <t>Choose GRDE3030 or WORK3000</t>
  </si>
  <si>
    <t>Work Based Project</t>
  </si>
  <si>
    <t>Choose WORK3000 or FASH3003</t>
  </si>
  <si>
    <t/>
  </si>
  <si>
    <t>Choose INAR1012 or INAR1010</t>
  </si>
  <si>
    <t>Option</t>
  </si>
  <si>
    <t>Choose an Option</t>
  </si>
  <si>
    <t>Built Environment Special Topic</t>
  </si>
  <si>
    <t>Special Topics in Architecture Construction and Planning</t>
  </si>
  <si>
    <t>Special Topics in Urban &amp; Regional Planning</t>
  </si>
  <si>
    <t>Balance of the Planet</t>
  </si>
  <si>
    <t>Regional Industry Internship</t>
  </si>
  <si>
    <t>Go Global - Internship 2</t>
  </si>
  <si>
    <t>Go Practice - Internship</t>
  </si>
  <si>
    <t>Go Global - Internship 4</t>
  </si>
  <si>
    <t>Downloaded 2024:</t>
  </si>
  <si>
    <t>Row Labels</t>
  </si>
  <si>
    <t>Sem1 Internal</t>
  </si>
  <si>
    <t>Sem1 Online</t>
  </si>
  <si>
    <t>Sem2 Internal</t>
  </si>
  <si>
    <t>Sem2 Online</t>
  </si>
  <si>
    <t>Advanced Construction and Sustainability</t>
  </si>
  <si>
    <t>ARCH3007.PO</t>
  </si>
  <si>
    <t>Changemakers Innovation Lab</t>
  </si>
  <si>
    <t>WORK2002.PO</t>
  </si>
  <si>
    <t>Changemakers Innovation Lab (with approval)</t>
  </si>
  <si>
    <t>BLDG2015</t>
  </si>
  <si>
    <t>Building Information Management and Modelling</t>
  </si>
  <si>
    <t>Manually replaced as late change</t>
  </si>
  <si>
    <t>Manually Added as late structure change</t>
  </si>
  <si>
    <t>Removed for 2025</t>
  </si>
  <si>
    <t>150CP</t>
  </si>
  <si>
    <t>350CP</t>
  </si>
  <si>
    <t>Pre Requisites (1/11/2024)</t>
  </si>
  <si>
    <t>200CP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</si>
</sst>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b/>
      <sz val="18"/>
      <color theme="1"/>
      <name val="Segoe UI"/>
      <family val="2"/>
    </font>
    <font>
      <b/>
      <sz val="11"/>
      <name val="Segoe UI"/>
      <family val="2"/>
    </font>
    <font>
      <b/>
      <sz val="10"/>
      <color theme="0"/>
      <name val="Segoe UI"/>
      <family val="2"/>
    </font>
    <font>
      <b/>
      <i/>
      <sz val="16"/>
      <color theme="0"/>
      <name val="Segoe UI"/>
      <family val="2"/>
    </font>
    <font>
      <sz val="12"/>
      <name val="Calibri"/>
      <family val="2"/>
      <scheme val="minor"/>
    </font>
    <font>
      <sz val="12"/>
      <color rgb="FFFF0000"/>
      <name val="Calibri"/>
      <family val="2"/>
      <scheme val="minor"/>
    </font>
    <font>
      <b/>
      <sz val="8"/>
      <name val="Segoe UI"/>
      <family val="2"/>
    </font>
    <font>
      <b/>
      <sz val="10"/>
      <color theme="8"/>
      <name val="Segoe UI"/>
      <family val="2"/>
    </font>
    <font>
      <sz val="9"/>
      <color rgb="FFFF0000"/>
      <name val="Segoe UI"/>
      <family val="2"/>
    </font>
    <font>
      <b/>
      <i/>
      <sz val="10"/>
      <color theme="0" tint="-0.499984740745262"/>
      <name val="Arial"/>
      <family val="2"/>
    </font>
    <font>
      <b/>
      <i/>
      <u/>
      <sz val="14"/>
      <name val="Calibri"/>
      <family val="2"/>
      <scheme val="minor"/>
    </font>
    <font>
      <b/>
      <i/>
      <sz val="12"/>
      <name val="Calibri"/>
      <family val="2"/>
      <scheme val="minor"/>
    </font>
    <font>
      <sz val="11"/>
      <color rgb="FF006100"/>
      <name val="Calibri"/>
      <family val="2"/>
      <scheme val="minor"/>
    </font>
    <font>
      <sz val="10"/>
      <color rgb="FF00B050"/>
      <name val="Arial"/>
      <family val="2"/>
    </font>
    <font>
      <b/>
      <i/>
      <sz val="12"/>
      <color rgb="FF00B050"/>
      <name val="Calibri"/>
      <family val="2"/>
      <scheme val="minor"/>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s>
  <borders count="2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s>
  <cellStyleXfs count="4">
    <xf numFmtId="0" fontId="0" fillId="0" borderId="0"/>
    <xf numFmtId="0" fontId="1" fillId="0" borderId="0"/>
    <xf numFmtId="0" fontId="26" fillId="0" borderId="0" applyNumberFormat="0" applyFill="0" applyBorder="0" applyAlignment="0" applyProtection="0"/>
    <xf numFmtId="0" fontId="56" fillId="13" borderId="0" applyNumberFormat="0" applyBorder="0" applyAlignment="0" applyProtection="0"/>
  </cellStyleXfs>
  <cellXfs count="212">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8"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8"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0" fillId="0" borderId="0" xfId="0" applyFont="1"/>
    <xf numFmtId="0" fontId="11" fillId="0" borderId="0" xfId="0" applyFont="1"/>
    <xf numFmtId="0" fontId="9" fillId="0" borderId="0" xfId="0" applyFont="1" applyAlignment="1">
      <alignment horizontal="center" vertical="center"/>
    </xf>
    <xf numFmtId="0" fontId="14" fillId="0" borderId="0" xfId="0" applyFont="1"/>
    <xf numFmtId="0" fontId="16" fillId="0" borderId="0" xfId="0" applyFont="1" applyAlignment="1">
      <alignment horizontal="center"/>
    </xf>
    <xf numFmtId="0" fontId="4" fillId="0" borderId="2" xfId="0" applyFont="1" applyBorder="1" applyAlignment="1">
      <alignment horizontal="center" vertical="center"/>
    </xf>
    <xf numFmtId="0" fontId="15" fillId="0" borderId="0" xfId="0" applyFont="1"/>
    <xf numFmtId="0" fontId="7" fillId="0" borderId="0" xfId="0" applyFont="1" applyAlignment="1">
      <alignment horizontal="left" vertical="center"/>
    </xf>
    <xf numFmtId="0" fontId="37" fillId="0" borderId="0" xfId="0" applyFont="1" applyAlignment="1">
      <alignment horizontal="left" vertical="center"/>
    </xf>
    <xf numFmtId="0" fontId="20" fillId="2" borderId="14" xfId="1" applyFont="1" applyFill="1" applyBorder="1" applyAlignment="1" applyProtection="1">
      <alignment horizontal="center" vertical="center" wrapText="1"/>
      <protection locked="0"/>
    </xf>
    <xf numFmtId="0" fontId="20" fillId="0" borderId="14" xfId="1" applyFont="1" applyBorder="1" applyAlignment="1" applyProtection="1">
      <alignment horizontal="center" vertical="center" wrapText="1"/>
      <protection locked="0"/>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43" fillId="0" borderId="0" xfId="0" applyFont="1"/>
    <xf numFmtId="0" fontId="43" fillId="0" borderId="0" xfId="0" applyFont="1" applyAlignment="1">
      <alignment horizontal="righ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3" fillId="6" borderId="3" xfId="0" applyFont="1" applyFill="1" applyBorder="1" applyAlignment="1">
      <alignment horizontal="center" vertical="center"/>
    </xf>
    <xf numFmtId="0" fontId="43" fillId="0" borderId="0" xfId="0" applyFont="1" applyAlignment="1">
      <alignment horizontal="left"/>
    </xf>
    <xf numFmtId="14" fontId="0" fillId="0" borderId="0" xfId="0" applyNumberFormat="1"/>
    <xf numFmtId="0" fontId="8" fillId="5" borderId="0" xfId="0" applyFont="1" applyFill="1" applyAlignment="1">
      <alignment wrapText="1"/>
    </xf>
    <xf numFmtId="0" fontId="8" fillId="0" borderId="0" xfId="0" applyFont="1" applyAlignment="1">
      <alignment wrapText="1"/>
    </xf>
    <xf numFmtId="0" fontId="0" fillId="0" borderId="0" xfId="0" applyAlignment="1">
      <alignment horizontal="left"/>
    </xf>
    <xf numFmtId="0" fontId="7" fillId="7" borderId="2" xfId="0" applyFont="1" applyFill="1" applyBorder="1" applyAlignment="1">
      <alignment horizontal="center" vertical="center"/>
    </xf>
    <xf numFmtId="0" fontId="27" fillId="9" borderId="0" xfId="2" applyFont="1" applyFill="1" applyAlignment="1" applyProtection="1">
      <alignment vertical="center"/>
    </xf>
    <xf numFmtId="0" fontId="26" fillId="9" borderId="0" xfId="2" applyFill="1" applyAlignment="1" applyProtection="1">
      <alignment vertical="center"/>
    </xf>
    <xf numFmtId="0" fontId="7" fillId="0" borderId="23" xfId="0" applyFont="1" applyBorder="1" applyAlignment="1">
      <alignment horizontal="center" vertical="center"/>
    </xf>
    <xf numFmtId="0" fontId="0" fillId="0" borderId="23" xfId="0" applyBorder="1"/>
    <xf numFmtId="0" fontId="2" fillId="3" borderId="19" xfId="0" applyFont="1" applyFill="1" applyBorder="1" applyAlignment="1">
      <alignment horizontal="right" vertical="center"/>
    </xf>
    <xf numFmtId="0" fontId="2" fillId="3" borderId="20" xfId="0" applyFont="1" applyFill="1" applyBorder="1" applyAlignment="1">
      <alignment horizontal="right" vertical="center"/>
    </xf>
    <xf numFmtId="0" fontId="2" fillId="3" borderId="21" xfId="0" applyFont="1" applyFill="1" applyBorder="1" applyAlignment="1">
      <alignment horizontal="right" vertical="center"/>
    </xf>
    <xf numFmtId="0" fontId="3"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6" borderId="23" xfId="0" applyFont="1" applyFill="1" applyBorder="1" applyAlignment="1">
      <alignment horizontal="center" vertical="center"/>
    </xf>
    <xf numFmtId="0" fontId="2" fillId="3" borderId="22"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4" xfId="0" applyFont="1" applyFill="1" applyBorder="1" applyAlignment="1">
      <alignment horizontal="right" vertical="center"/>
    </xf>
    <xf numFmtId="0" fontId="3" fillId="0" borderId="24" xfId="0" applyFont="1" applyBorder="1" applyAlignment="1">
      <alignment horizontal="center" vertical="center"/>
    </xf>
    <xf numFmtId="14" fontId="0" fillId="7" borderId="0" xfId="0" applyNumberFormat="1" applyFill="1"/>
    <xf numFmtId="0" fontId="0" fillId="7" borderId="0" xfId="0" applyFill="1" applyAlignment="1">
      <alignment horizontal="right"/>
    </xf>
    <xf numFmtId="14" fontId="8" fillId="0" borderId="0" xfId="0" applyNumberFormat="1" applyFont="1" applyAlignment="1">
      <alignment horizontal="center"/>
    </xf>
    <xf numFmtId="14" fontId="48" fillId="0" borderId="0" xfId="0" applyNumberFormat="1" applyFont="1" applyAlignment="1">
      <alignment horizontal="right"/>
    </xf>
    <xf numFmtId="14" fontId="48" fillId="0" borderId="0" xfId="0" applyNumberFormat="1" applyFont="1"/>
    <xf numFmtId="0" fontId="7" fillId="7" borderId="0" xfId="0" applyFont="1" applyFill="1" applyAlignment="1">
      <alignment horizontal="center" vertical="center"/>
    </xf>
    <xf numFmtId="0" fontId="0" fillId="0" borderId="2" xfId="0" applyBorder="1"/>
    <xf numFmtId="0" fontId="7" fillId="0" borderId="0" xfId="0" applyFont="1" applyAlignment="1">
      <alignment horizontal="center" vertical="center"/>
    </xf>
    <xf numFmtId="0" fontId="0" fillId="0" borderId="1" xfId="0" applyBorder="1"/>
    <xf numFmtId="0" fontId="0" fillId="0" borderId="4" xfId="0" applyBorder="1"/>
    <xf numFmtId="0" fontId="0" fillId="0" borderId="3" xfId="0" applyBorder="1"/>
    <xf numFmtId="0" fontId="20" fillId="11" borderId="11" xfId="1" applyFont="1" applyFill="1" applyBorder="1" applyAlignment="1" applyProtection="1">
      <alignment horizontal="center" vertical="center" wrapText="1"/>
      <protection locked="0"/>
    </xf>
    <xf numFmtId="0" fontId="4" fillId="8" borderId="0" xfId="0" applyFont="1" applyFill="1" applyAlignment="1">
      <alignment horizontal="center" vertical="center"/>
    </xf>
    <xf numFmtId="0" fontId="42" fillId="4" borderId="0" xfId="1" applyFont="1" applyFill="1" applyAlignment="1" applyProtection="1">
      <alignment vertical="center"/>
      <protection locked="0"/>
    </xf>
    <xf numFmtId="0" fontId="18" fillId="2" borderId="0" xfId="1" applyFont="1" applyFill="1" applyAlignment="1" applyProtection="1">
      <alignment vertical="center"/>
      <protection locked="0"/>
    </xf>
    <xf numFmtId="0" fontId="4" fillId="0" borderId="24" xfId="0" quotePrefix="1" applyFont="1" applyBorder="1" applyAlignment="1">
      <alignment horizontal="center" vertical="center"/>
    </xf>
    <xf numFmtId="0" fontId="3" fillId="0" borderId="2" xfId="0" quotePrefix="1" applyFont="1" applyBorder="1" applyAlignment="1">
      <alignment horizontal="center" vertical="center"/>
    </xf>
    <xf numFmtId="0" fontId="8" fillId="4" borderId="0" xfId="0" applyFont="1" applyFill="1" applyAlignment="1">
      <alignment horizontal="center"/>
    </xf>
    <xf numFmtId="14" fontId="6" fillId="0" borderId="0" xfId="0" applyNumberFormat="1" applyFont="1" applyAlignment="1">
      <alignment horizontal="center"/>
    </xf>
    <xf numFmtId="0" fontId="13" fillId="0" borderId="0" xfId="0" applyFont="1" applyAlignment="1">
      <alignment horizontal="center"/>
    </xf>
    <xf numFmtId="0" fontId="53" fillId="0" borderId="0" xfId="0" applyFont="1" applyAlignment="1">
      <alignment horizontal="left"/>
    </xf>
    <xf numFmtId="0" fontId="53" fillId="0" borderId="0" xfId="0" applyFont="1" applyAlignment="1">
      <alignment horizontal="right"/>
    </xf>
    <xf numFmtId="0" fontId="54" fillId="0" borderId="0" xfId="0" applyFont="1"/>
    <xf numFmtId="0" fontId="55" fillId="0" borderId="0" xfId="0" applyFont="1" applyAlignment="1">
      <alignment horizontal="center"/>
    </xf>
    <xf numFmtId="0" fontId="55" fillId="0" borderId="0" xfId="0" applyFont="1"/>
    <xf numFmtId="0" fontId="48" fillId="0" borderId="0" xfId="0" applyFont="1"/>
    <xf numFmtId="0" fontId="48" fillId="0" borderId="0" xfId="0" applyFont="1" applyAlignment="1">
      <alignment horizontal="center"/>
    </xf>
    <xf numFmtId="0" fontId="48" fillId="0" borderId="18" xfId="0" applyFont="1" applyBorder="1" applyAlignment="1">
      <alignment horizontal="center"/>
    </xf>
    <xf numFmtId="0" fontId="8" fillId="0" borderId="0" xfId="0" applyFont="1" applyAlignment="1">
      <alignment horizontal="left" textRotation="90"/>
    </xf>
    <xf numFmtId="0" fontId="8" fillId="12" borderId="0" xfId="0" applyFont="1" applyFill="1" applyAlignment="1">
      <alignment horizontal="center"/>
    </xf>
    <xf numFmtId="0" fontId="8" fillId="8" borderId="0" xfId="0" applyFont="1" applyFill="1" applyAlignment="1">
      <alignment horizontal="center"/>
    </xf>
    <xf numFmtId="14" fontId="8" fillId="8" borderId="0" xfId="0" applyNumberFormat="1" applyFont="1" applyFill="1" applyAlignment="1">
      <alignment horizontal="center"/>
    </xf>
    <xf numFmtId="0" fontId="57" fillId="0" borderId="0" xfId="0" applyFont="1" applyAlignment="1">
      <alignment horizontal="center"/>
    </xf>
    <xf numFmtId="14" fontId="57" fillId="0" borderId="0" xfId="0" applyNumberFormat="1" applyFont="1" applyAlignment="1">
      <alignment horizontal="center"/>
    </xf>
    <xf numFmtId="14" fontId="56" fillId="13" borderId="0" xfId="3" applyNumberFormat="1" applyAlignment="1">
      <alignment horizontal="center"/>
    </xf>
    <xf numFmtId="0" fontId="0" fillId="0" borderId="0" xfId="0" applyAlignment="1">
      <alignment horizontal="left" textRotation="90" wrapText="1"/>
    </xf>
    <xf numFmtId="14" fontId="8" fillId="0" borderId="0" xfId="0" applyNumberFormat="1" applyFont="1"/>
    <xf numFmtId="14" fontId="58" fillId="0" borderId="0" xfId="0" applyNumberFormat="1" applyFont="1"/>
    <xf numFmtId="0" fontId="58" fillId="0" borderId="0" xfId="0" applyFont="1" applyAlignment="1">
      <alignment horizontal="left"/>
    </xf>
    <xf numFmtId="0" fontId="58" fillId="0" borderId="0" xfId="0" applyFont="1" applyAlignment="1">
      <alignment horizontal="center"/>
    </xf>
    <xf numFmtId="0" fontId="49" fillId="7" borderId="0" xfId="0" applyFont="1" applyFill="1"/>
    <xf numFmtId="0" fontId="7" fillId="7" borderId="23" xfId="0" applyFont="1" applyFill="1" applyBorder="1" applyAlignment="1">
      <alignment horizontal="center" vertical="center"/>
    </xf>
    <xf numFmtId="0" fontId="59" fillId="7" borderId="0" xfId="0" applyFont="1" applyFill="1" applyAlignment="1">
      <alignment wrapText="1"/>
    </xf>
    <xf numFmtId="0" fontId="57" fillId="5" borderId="0" xfId="0" applyFont="1" applyFill="1" applyAlignment="1">
      <alignment wrapText="1"/>
    </xf>
    <xf numFmtId="0" fontId="16" fillId="0" borderId="5" xfId="1" applyFont="1" applyBorder="1" applyAlignment="1" applyProtection="1">
      <alignment horizontal="center"/>
    </xf>
    <xf numFmtId="0" fontId="16" fillId="0" borderId="6" xfId="1" applyFont="1" applyBorder="1" applyAlignment="1" applyProtection="1">
      <alignment horizontal="center"/>
    </xf>
    <xf numFmtId="0" fontId="16" fillId="0" borderId="6" xfId="1" applyFont="1" applyBorder="1" applyProtection="1"/>
    <xf numFmtId="0" fontId="16" fillId="0" borderId="7" xfId="1" applyFont="1" applyBorder="1" applyProtection="1"/>
    <xf numFmtId="0" fontId="1" fillId="0" borderId="0" xfId="1" applyProtection="1"/>
    <xf numFmtId="0" fontId="16" fillId="0" borderId="0" xfId="1" applyFont="1" applyAlignment="1" applyProtection="1">
      <alignment horizontal="center"/>
    </xf>
    <xf numFmtId="0" fontId="7" fillId="0" borderId="0" xfId="1" applyFont="1" applyAlignment="1" applyProtection="1">
      <alignment horizontal="center"/>
    </xf>
    <xf numFmtId="0" fontId="16" fillId="0" borderId="0" xfId="1" applyFont="1" applyProtection="1"/>
    <xf numFmtId="0" fontId="38" fillId="10" borderId="8" xfId="1" applyFont="1" applyFill="1" applyBorder="1" applyAlignment="1" applyProtection="1">
      <alignment horizontal="left" vertical="center" wrapText="1"/>
    </xf>
    <xf numFmtId="0" fontId="38" fillId="10" borderId="0" xfId="1" applyFont="1" applyFill="1" applyAlignment="1" applyProtection="1">
      <alignment vertical="center" wrapText="1"/>
    </xf>
    <xf numFmtId="0" fontId="44" fillId="11" borderId="9" xfId="1" applyFont="1" applyFill="1" applyBorder="1" applyAlignment="1" applyProtection="1">
      <alignment horizontal="centerContinuous" vertical="center"/>
    </xf>
    <xf numFmtId="0" fontId="17" fillId="11" borderId="10" xfId="1" applyFont="1" applyFill="1" applyBorder="1" applyAlignment="1" applyProtection="1">
      <alignment horizontal="centerContinuous" vertical="center"/>
    </xf>
    <xf numFmtId="0" fontId="44" fillId="11" borderId="10" xfId="1" applyFont="1" applyFill="1" applyBorder="1" applyAlignment="1" applyProtection="1">
      <alignment horizontal="center" vertical="center"/>
    </xf>
    <xf numFmtId="0" fontId="41" fillId="11" borderId="10" xfId="1" applyFont="1" applyFill="1" applyBorder="1" applyAlignment="1" applyProtection="1">
      <alignment horizontal="centerContinuous" vertical="center"/>
    </xf>
    <xf numFmtId="0" fontId="1" fillId="0" borderId="0" xfId="1" applyAlignment="1" applyProtection="1">
      <alignment horizontal="center"/>
    </xf>
    <xf numFmtId="0" fontId="18" fillId="2" borderId="0" xfId="1" applyFont="1" applyFill="1" applyAlignment="1" applyProtection="1">
      <alignment horizontal="right" vertical="center" indent="1"/>
    </xf>
    <xf numFmtId="0" fontId="20" fillId="2" borderId="0" xfId="1" applyFont="1" applyFill="1" applyAlignment="1" applyProtection="1">
      <alignment horizontal="right" vertical="center" indent="1"/>
    </xf>
    <xf numFmtId="0" fontId="45" fillId="2" borderId="0" xfId="1" applyFont="1" applyFill="1" applyAlignment="1" applyProtection="1">
      <alignment vertical="center"/>
    </xf>
    <xf numFmtId="0" fontId="18"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18" fillId="2" borderId="0" xfId="1" applyFont="1" applyFill="1" applyAlignment="1" applyProtection="1">
      <alignment horizontal="left" vertical="center"/>
    </xf>
    <xf numFmtId="0" fontId="18" fillId="2" borderId="0" xfId="1" applyFont="1" applyFill="1" applyAlignment="1" applyProtection="1">
      <alignment horizontal="left" vertical="center" indent="1"/>
    </xf>
    <xf numFmtId="0" fontId="20" fillId="2" borderId="0" xfId="1" applyFont="1" applyFill="1" applyAlignment="1" applyProtection="1">
      <alignment horizontal="left" vertical="center" wrapText="1"/>
    </xf>
    <xf numFmtId="0" fontId="20" fillId="0" borderId="0" xfId="1" applyFont="1" applyAlignment="1" applyProtection="1">
      <alignment vertical="top" wrapText="1"/>
    </xf>
    <xf numFmtId="0" fontId="52" fillId="0" borderId="0" xfId="1" applyFont="1" applyAlignment="1" applyProtection="1">
      <alignment vertical="top" wrapText="1"/>
    </xf>
    <xf numFmtId="0" fontId="21" fillId="10" borderId="0" xfId="1" applyFont="1" applyFill="1" applyAlignment="1" applyProtection="1">
      <alignment horizontal="center" vertical="center"/>
    </xf>
    <xf numFmtId="0" fontId="21" fillId="10" borderId="0" xfId="1" applyFont="1" applyFill="1" applyAlignment="1" applyProtection="1">
      <alignment horizontal="left" vertical="center" indent="1"/>
    </xf>
    <xf numFmtId="0" fontId="21" fillId="10" borderId="0" xfId="1" applyFont="1" applyFill="1" applyAlignment="1" applyProtection="1">
      <alignment vertical="center"/>
    </xf>
    <xf numFmtId="0" fontId="21" fillId="10" borderId="15" xfId="1" applyFont="1" applyFill="1" applyBorder="1" applyAlignment="1" applyProtection="1">
      <alignment horizontal="left" vertical="center"/>
    </xf>
    <xf numFmtId="0" fontId="21" fillId="10" borderId="0" xfId="1" applyFont="1" applyFill="1" applyAlignment="1" applyProtection="1">
      <alignment horizontal="left" vertical="center"/>
    </xf>
    <xf numFmtId="0" fontId="21" fillId="10" borderId="11" xfId="1" applyFont="1" applyFill="1" applyBorder="1" applyAlignment="1" applyProtection="1">
      <alignment horizontal="left" vertical="center"/>
    </xf>
    <xf numFmtId="0" fontId="22" fillId="2" borderId="0" xfId="1" applyFont="1" applyFill="1" applyAlignment="1" applyProtection="1">
      <alignment vertical="center"/>
    </xf>
    <xf numFmtId="0" fontId="23" fillId="2" borderId="0" xfId="1" applyFont="1" applyFill="1" applyAlignment="1" applyProtection="1">
      <alignment vertical="center"/>
    </xf>
    <xf numFmtId="0" fontId="21" fillId="10" borderId="0" xfId="1" applyFont="1" applyFill="1" applyAlignment="1" applyProtection="1">
      <alignment horizontal="left" vertical="center" shrinkToFit="1"/>
    </xf>
    <xf numFmtId="0" fontId="21" fillId="10" borderId="0" xfId="1" applyFont="1" applyFill="1" applyAlignment="1" applyProtection="1">
      <alignment horizontal="center" vertical="center" wrapText="1"/>
    </xf>
    <xf numFmtId="0" fontId="21" fillId="10" borderId="15" xfId="1" applyFont="1" applyFill="1" applyBorder="1" applyAlignment="1" applyProtection="1">
      <alignment horizontal="center" vertical="center" wrapText="1"/>
    </xf>
    <xf numFmtId="0" fontId="21" fillId="10" borderId="25" xfId="1" applyFont="1" applyFill="1" applyBorder="1" applyAlignment="1" applyProtection="1">
      <alignment horizontal="center" vertical="center" wrapText="1"/>
    </xf>
    <xf numFmtId="0" fontId="21" fillId="10" borderId="11" xfId="1" applyFont="1" applyFill="1" applyBorder="1" applyAlignment="1" applyProtection="1">
      <alignment horizontal="center" vertical="center" wrapText="1"/>
    </xf>
    <xf numFmtId="0" fontId="20" fillId="2" borderId="12" xfId="1" applyFont="1" applyFill="1" applyBorder="1" applyAlignment="1" applyProtection="1">
      <alignment horizontal="center" vertical="center" wrapText="1"/>
    </xf>
    <xf numFmtId="0" fontId="20" fillId="2" borderId="13" xfId="1" applyFont="1" applyFill="1" applyBorder="1" applyAlignment="1" applyProtection="1">
      <alignment horizontal="center" vertical="center" wrapText="1"/>
    </xf>
    <xf numFmtId="0" fontId="20" fillId="2" borderId="13" xfId="1" applyFont="1" applyFill="1" applyBorder="1" applyAlignment="1" applyProtection="1">
      <alignment vertical="center" shrinkToFit="1"/>
    </xf>
    <xf numFmtId="0" fontId="23" fillId="2" borderId="13" xfId="1" applyFont="1" applyFill="1" applyBorder="1" applyAlignment="1" applyProtection="1">
      <alignment horizontal="center" vertical="center" wrapText="1"/>
    </xf>
    <xf numFmtId="0" fontId="20" fillId="2" borderId="16" xfId="1" applyFont="1" applyFill="1" applyBorder="1" applyAlignment="1" applyProtection="1">
      <alignment horizontal="center" vertical="center" wrapText="1"/>
    </xf>
    <xf numFmtId="0" fontId="20" fillId="2" borderId="26" xfId="1" applyFont="1" applyFill="1" applyBorder="1" applyAlignment="1" applyProtection="1">
      <alignment horizontal="center" vertical="center" wrapText="1"/>
    </xf>
    <xf numFmtId="0" fontId="20" fillId="2" borderId="17" xfId="1" applyFont="1" applyFill="1" applyBorder="1" applyAlignment="1" applyProtection="1">
      <alignment horizontal="center" vertical="center" wrapText="1"/>
    </xf>
    <xf numFmtId="0" fontId="24" fillId="0" borderId="0" xfId="1" applyFont="1" applyAlignment="1" applyProtection="1">
      <alignment horizontal="center" vertical="center" wrapText="1"/>
    </xf>
    <xf numFmtId="0" fontId="22" fillId="2" borderId="0" xfId="1" applyFont="1" applyFill="1" applyAlignment="1" applyProtection="1">
      <alignment wrapText="1"/>
    </xf>
    <xf numFmtId="0" fontId="23" fillId="2" borderId="0" xfId="1" applyFont="1" applyFill="1" applyAlignment="1" applyProtection="1">
      <alignment wrapText="1"/>
    </xf>
    <xf numFmtId="0" fontId="20" fillId="11" borderId="7" xfId="1" applyFont="1" applyFill="1" applyBorder="1" applyAlignment="1" applyProtection="1">
      <alignment horizontal="center" vertical="center" wrapText="1"/>
    </xf>
    <xf numFmtId="0" fontId="20" fillId="11" borderId="0" xfId="1" applyFont="1" applyFill="1" applyAlignment="1" applyProtection="1">
      <alignment horizontal="center" vertical="center" wrapText="1"/>
    </xf>
    <xf numFmtId="0" fontId="20" fillId="11" borderId="0" xfId="1" applyFont="1" applyFill="1" applyAlignment="1" applyProtection="1">
      <alignment vertical="center" shrinkToFit="1"/>
    </xf>
    <xf numFmtId="0" fontId="23" fillId="11" borderId="0" xfId="1" applyFont="1" applyFill="1" applyAlignment="1" applyProtection="1">
      <alignment horizontal="left" vertical="center" wrapText="1"/>
    </xf>
    <xf numFmtId="0" fontId="20" fillId="11" borderId="15" xfId="1" applyFont="1" applyFill="1" applyBorder="1" applyAlignment="1" applyProtection="1">
      <alignment horizontal="center" vertical="center" wrapText="1"/>
    </xf>
    <xf numFmtId="0" fontId="20" fillId="11" borderId="25" xfId="1" applyFont="1" applyFill="1" applyBorder="1" applyAlignment="1" applyProtection="1">
      <alignment horizontal="center" vertical="center" wrapText="1"/>
    </xf>
    <xf numFmtId="0" fontId="20" fillId="11" borderId="11" xfId="1" applyFont="1" applyFill="1" applyBorder="1" applyAlignment="1" applyProtection="1">
      <alignment horizontal="center" vertical="center" wrapText="1"/>
    </xf>
    <xf numFmtId="0" fontId="20" fillId="0" borderId="13" xfId="1" applyFont="1" applyBorder="1" applyAlignment="1" applyProtection="1">
      <alignment horizontal="center" vertical="center" wrapText="1"/>
    </xf>
    <xf numFmtId="0" fontId="20" fillId="0" borderId="16" xfId="1" applyFont="1" applyBorder="1" applyAlignment="1" applyProtection="1">
      <alignment horizontal="center" vertical="center" wrapText="1"/>
    </xf>
    <xf numFmtId="0" fontId="20" fillId="0" borderId="26" xfId="1" applyFont="1" applyBorder="1" applyAlignment="1" applyProtection="1">
      <alignment horizontal="center" vertical="center" wrapText="1"/>
    </xf>
    <xf numFmtId="0" fontId="20" fillId="0" borderId="17" xfId="1" applyFont="1" applyBorder="1" applyAlignment="1" applyProtection="1">
      <alignment horizontal="center" vertical="center" wrapText="1"/>
    </xf>
    <xf numFmtId="0" fontId="22" fillId="2" borderId="0" xfId="1" applyFont="1" applyFill="1" applyProtection="1"/>
    <xf numFmtId="0" fontId="23" fillId="2" borderId="0" xfId="1" applyFont="1" applyFill="1" applyProtection="1"/>
    <xf numFmtId="0" fontId="20" fillId="0" borderId="13" xfId="1" applyFont="1" applyBorder="1" applyAlignment="1" applyProtection="1">
      <alignment horizontal="left" vertical="center" shrinkToFit="1"/>
    </xf>
    <xf numFmtId="0" fontId="22" fillId="2" borderId="0" xfId="1" applyFont="1" applyFill="1" applyAlignment="1" applyProtection="1">
      <alignment horizontal="center" vertical="center"/>
    </xf>
    <xf numFmtId="0" fontId="20" fillId="0" borderId="13" xfId="1" applyFont="1" applyBorder="1" applyAlignment="1" applyProtection="1">
      <alignment vertical="center" shrinkToFi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34" fillId="2" borderId="0" xfId="1" applyFont="1" applyFill="1" applyAlignment="1" applyProtection="1">
      <alignment horizontal="center" vertical="center"/>
    </xf>
    <xf numFmtId="0" fontId="34" fillId="2" borderId="0" xfId="1" applyFont="1" applyFill="1" applyProtection="1"/>
    <xf numFmtId="0" fontId="10" fillId="2" borderId="0" xfId="1" applyFont="1" applyFill="1" applyProtection="1"/>
    <xf numFmtId="0" fontId="47" fillId="10" borderId="0" xfId="1" applyFont="1" applyFill="1" applyAlignment="1" applyProtection="1">
      <alignment horizontal="left" vertical="center" readingOrder="1"/>
    </xf>
    <xf numFmtId="0" fontId="36" fillId="10" borderId="0" xfId="1" applyFont="1" applyFill="1" applyAlignment="1" applyProtection="1">
      <alignment horizontal="left" vertical="center" readingOrder="1"/>
    </xf>
    <xf numFmtId="0" fontId="19" fillId="10" borderId="0" xfId="1" applyFont="1" applyFill="1" applyAlignment="1" applyProtection="1">
      <alignment horizontal="left" vertical="center" readingOrder="1"/>
    </xf>
    <xf numFmtId="0" fontId="40" fillId="10" borderId="0" xfId="1" applyFont="1" applyFill="1" applyAlignment="1" applyProtection="1">
      <alignment horizontal="center" vertical="center" readingOrder="1"/>
    </xf>
    <xf numFmtId="0" fontId="21" fillId="10" borderId="15" xfId="1" applyFont="1" applyFill="1" applyBorder="1" applyAlignment="1" applyProtection="1">
      <alignment vertical="center" readingOrder="1"/>
    </xf>
    <xf numFmtId="0" fontId="21" fillId="10" borderId="0" xfId="1" applyFont="1" applyFill="1" applyAlignment="1" applyProtection="1">
      <alignment vertical="center" readingOrder="1"/>
    </xf>
    <xf numFmtId="0" fontId="40" fillId="10" borderId="0" xfId="1" applyFont="1" applyFill="1" applyAlignment="1" applyProtection="1">
      <alignment vertical="center" readingOrder="1"/>
    </xf>
    <xf numFmtId="0" fontId="40" fillId="10" borderId="11" xfId="1" applyFont="1" applyFill="1" applyBorder="1" applyAlignment="1" applyProtection="1">
      <alignment vertical="center" readingOrder="1"/>
    </xf>
    <xf numFmtId="0" fontId="21" fillId="10" borderId="0" xfId="1" applyFont="1" applyFill="1" applyAlignment="1" applyProtection="1">
      <alignment horizontal="center" vertical="top"/>
    </xf>
    <xf numFmtId="0" fontId="1" fillId="0" borderId="0" xfId="1" applyAlignment="1" applyProtection="1">
      <alignment horizontal="center" vertical="center"/>
    </xf>
    <xf numFmtId="0" fontId="46" fillId="10" borderId="0" xfId="1" applyFont="1" applyFill="1" applyAlignment="1" applyProtection="1">
      <alignment horizontal="left" vertical="center"/>
    </xf>
    <xf numFmtId="0" fontId="36" fillId="10" borderId="0" xfId="1" applyFont="1" applyFill="1" applyAlignment="1" applyProtection="1">
      <alignment horizontal="left" vertical="center"/>
    </xf>
    <xf numFmtId="0" fontId="19" fillId="10" borderId="0" xfId="1" applyFont="1" applyFill="1" applyAlignment="1" applyProtection="1">
      <alignment horizontal="left" vertical="center"/>
    </xf>
    <xf numFmtId="0" fontId="36" fillId="10" borderId="0" xfId="1" applyFont="1" applyFill="1" applyAlignment="1" applyProtection="1">
      <alignment horizontal="center" vertical="center"/>
    </xf>
    <xf numFmtId="0" fontId="1" fillId="0" borderId="0" xfId="1" applyAlignment="1" applyProtection="1">
      <alignment horizontal="center" vertical="top"/>
    </xf>
    <xf numFmtId="0" fontId="51" fillId="0" borderId="0" xfId="1" applyFont="1" applyAlignment="1" applyProtection="1">
      <alignment horizontal="left" vertical="center"/>
    </xf>
    <xf numFmtId="0" fontId="42" fillId="0" borderId="0" xfId="1" applyFont="1" applyAlignment="1" applyProtection="1">
      <alignment horizontal="left" vertical="center"/>
    </xf>
    <xf numFmtId="0" fontId="35" fillId="0" borderId="0" xfId="1" applyFont="1" applyAlignment="1" applyProtection="1">
      <alignment horizontal="left" vertical="center"/>
    </xf>
    <xf numFmtId="0" fontId="42" fillId="0" borderId="0" xfId="1" applyFont="1" applyAlignment="1" applyProtection="1">
      <alignment horizontal="center" vertical="center"/>
    </xf>
    <xf numFmtId="0" fontId="50" fillId="0" borderId="15" xfId="1" applyFont="1" applyBorder="1" applyAlignment="1" applyProtection="1">
      <alignment horizontal="center" vertical="center" wrapText="1"/>
    </xf>
    <xf numFmtId="0" fontId="50" fillId="0" borderId="25" xfId="1" applyFont="1" applyBorder="1" applyAlignment="1" applyProtection="1">
      <alignment horizontal="center" vertical="center" wrapText="1"/>
    </xf>
    <xf numFmtId="0" fontId="50" fillId="0" borderId="0" xfId="1" applyFont="1" applyAlignment="1" applyProtection="1">
      <alignment horizontal="center" vertical="center" wrapText="1"/>
    </xf>
    <xf numFmtId="0" fontId="50" fillId="0" borderId="11" xfId="1" applyFont="1" applyBorder="1" applyAlignment="1" applyProtection="1">
      <alignment horizontal="center" vertical="center" wrapText="1"/>
    </xf>
    <xf numFmtId="0" fontId="35" fillId="0" borderId="12" xfId="1" applyFont="1" applyBorder="1" applyAlignment="1" applyProtection="1">
      <alignment horizontal="center" vertical="center"/>
    </xf>
    <xf numFmtId="0" fontId="35" fillId="0" borderId="13" xfId="1" applyFont="1" applyBorder="1" applyAlignment="1" applyProtection="1">
      <alignment horizontal="center" vertical="center"/>
    </xf>
    <xf numFmtId="0" fontId="35" fillId="0" borderId="13" xfId="1" applyFont="1" applyBorder="1" applyAlignment="1" applyProtection="1">
      <alignment vertical="center"/>
    </xf>
    <xf numFmtId="0" fontId="35" fillId="0" borderId="13" xfId="1" applyFont="1" applyBorder="1" applyAlignment="1" applyProtection="1">
      <alignment vertical="center" wrapText="1"/>
    </xf>
    <xf numFmtId="0" fontId="35" fillId="0" borderId="13" xfId="1" applyFont="1" applyBorder="1" applyAlignment="1" applyProtection="1">
      <alignment horizontal="center" vertical="center" wrapText="1"/>
    </xf>
    <xf numFmtId="0" fontId="20" fillId="2" borderId="16" xfId="1" applyFont="1" applyFill="1" applyBorder="1" applyAlignment="1" applyProtection="1">
      <alignment horizontal="center" vertical="center"/>
    </xf>
    <xf numFmtId="0" fontId="20" fillId="2" borderId="26" xfId="1" applyFont="1" applyFill="1" applyBorder="1" applyAlignment="1" applyProtection="1">
      <alignment horizontal="center" vertical="center"/>
    </xf>
    <xf numFmtId="0" fontId="20" fillId="2" borderId="13" xfId="1" applyFont="1" applyFill="1" applyBorder="1" applyAlignment="1" applyProtection="1">
      <alignment horizontal="center" vertical="center"/>
    </xf>
    <xf numFmtId="0" fontId="20" fillId="2" borderId="17" xfId="1" applyFont="1" applyFill="1" applyBorder="1" applyAlignment="1" applyProtection="1">
      <alignment horizontal="center" vertical="center"/>
    </xf>
    <xf numFmtId="0" fontId="0" fillId="0" borderId="0" xfId="0" applyProtection="1"/>
    <xf numFmtId="0" fontId="25" fillId="2" borderId="0" xfId="1" applyFont="1" applyFill="1" applyAlignment="1" applyProtection="1">
      <alignment horizontal="center" vertical="center" wrapText="1"/>
    </xf>
    <xf numFmtId="0" fontId="29" fillId="2" borderId="0" xfId="1" applyFont="1" applyFill="1" applyProtection="1"/>
    <xf numFmtId="0" fontId="30" fillId="2" borderId="0" xfId="1" applyFont="1" applyFill="1" applyProtection="1"/>
    <xf numFmtId="0" fontId="31" fillId="2" borderId="0" xfId="1" applyFont="1" applyFill="1" applyAlignment="1" applyProtection="1">
      <alignment vertical="center"/>
    </xf>
    <xf numFmtId="0" fontId="10" fillId="2" borderId="0" xfId="1" applyFont="1" applyFill="1" applyAlignment="1" applyProtection="1">
      <alignment vertical="center"/>
    </xf>
    <xf numFmtId="0" fontId="33" fillId="2" borderId="0" xfId="1" applyFont="1" applyFill="1" applyAlignment="1" applyProtection="1">
      <alignment horizontal="right" vertical="center"/>
    </xf>
    <xf numFmtId="0" fontId="21" fillId="10" borderId="0" xfId="1" applyFont="1" applyFill="1" applyAlignment="1" applyProtection="1">
      <alignment horizontal="center" vertical="center"/>
      <protection locked="0"/>
    </xf>
    <xf numFmtId="0" fontId="50" fillId="0" borderId="11" xfId="1" applyFont="1" applyBorder="1" applyAlignment="1" applyProtection="1">
      <alignment horizontal="center" vertical="center" wrapText="1"/>
      <protection locked="0"/>
    </xf>
  </cellXfs>
  <cellStyles count="4">
    <cellStyle name="Good" xfId="3" builtinId="26"/>
    <cellStyle name="Hyperlink" xfId="2" builtinId="8"/>
    <cellStyle name="Normal" xfId="0" builtinId="0"/>
    <cellStyle name="Normal 2" xfId="1" xr:uid="{00000000-0005-0000-0000-000003000000}"/>
  </cellStyles>
  <dxfs count="130">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border diagonalUp="0" diagonalDown="0" outline="0">
        <left/>
        <right style="double">
          <color auto="1"/>
        </right>
        <top/>
        <bottom/>
      </border>
    </dxf>
    <dxf>
      <font>
        <strike val="0"/>
        <outline val="0"/>
        <shadow val="0"/>
        <u val="none"/>
        <vertAlign val="baseline"/>
        <sz val="12"/>
        <color auto="1"/>
        <name val="Calibri"/>
        <scheme val="minor"/>
      </font>
      <numFmt numFmtId="0" formatCode="General"/>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border diagonalUp="0" diagonalDown="0" outline="0">
        <left/>
        <right style="double">
          <color auto="1"/>
        </right>
        <top/>
        <bottom/>
      </border>
    </dxf>
    <dxf>
      <font>
        <strike val="0"/>
        <outline val="0"/>
        <shadow val="0"/>
        <u val="none"/>
        <vertAlign val="baseline"/>
        <sz val="12"/>
        <color auto="1"/>
        <name val="Calibri"/>
        <scheme val="minor"/>
      </font>
      <numFmt numFmtId="0" formatCode="General"/>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border diagonalUp="0" diagonalDown="0" outline="0">
        <left/>
        <right style="double">
          <color auto="1"/>
        </right>
        <top/>
        <bottom/>
      </border>
    </dxf>
    <dxf>
      <font>
        <strike val="0"/>
        <outline val="0"/>
        <shadow val="0"/>
        <u val="none"/>
        <vertAlign val="baseline"/>
        <sz val="12"/>
        <color auto="1"/>
        <name val="Calibri"/>
        <scheme val="minor"/>
      </font>
      <numFmt numFmtId="0" formatCode="General"/>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border diagonalUp="0" diagonalDown="0" outline="0">
        <left/>
        <right style="double">
          <color auto="1"/>
        </right>
        <top/>
        <bottom/>
      </border>
    </dxf>
    <dxf>
      <font>
        <strike val="0"/>
        <outline val="0"/>
        <shadow val="0"/>
        <u val="none"/>
        <vertAlign val="baseline"/>
        <sz val="12"/>
        <color auto="1"/>
        <name val="Calibri"/>
        <scheme val="minor"/>
      </font>
      <numFmt numFmtId="0" formatCode="General"/>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border diagonalUp="0" diagonalDown="0" outline="0">
        <left/>
        <right style="double">
          <color auto="1"/>
        </right>
        <top/>
        <bottom/>
      </border>
    </dxf>
    <dxf>
      <font>
        <strike val="0"/>
        <outline val="0"/>
        <shadow val="0"/>
        <u val="none"/>
        <vertAlign val="baseline"/>
        <sz val="12"/>
        <color auto="1"/>
        <name val="Calibri"/>
        <scheme val="minor"/>
      </font>
      <numFmt numFmtId="0" formatCode="General"/>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border diagonalUp="0" diagonalDown="0" outline="0">
        <left/>
        <right style="double">
          <color auto="1"/>
        </right>
        <top/>
        <bottom/>
      </border>
    </dxf>
    <dxf>
      <font>
        <strike val="0"/>
        <outline val="0"/>
        <shadow val="0"/>
        <u val="none"/>
        <vertAlign val="baseline"/>
        <sz val="12"/>
        <color auto="1"/>
        <name val="Calibri"/>
        <scheme val="minor"/>
      </font>
      <numFmt numFmtId="0" formatCode="General"/>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border diagonalUp="0" diagonalDown="0" outline="0">
        <left/>
        <right style="double">
          <color auto="1"/>
        </right>
        <top/>
        <bottom/>
      </border>
    </dxf>
    <dxf>
      <font>
        <strike val="0"/>
        <outline val="0"/>
        <shadow val="0"/>
        <u val="none"/>
        <vertAlign val="baseline"/>
        <sz val="12"/>
        <color auto="1"/>
        <name val="Calibri"/>
        <scheme val="minor"/>
      </font>
      <numFmt numFmtId="0" formatCode="General"/>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numFmt numFmtId="0" formatCode="General"/>
      <alignment horizontal="center" vertical="bottom" textRotation="0" wrapText="0" indent="0" justifyLastLine="0" shrinkToFit="0" readingOrder="0"/>
    </dxf>
    <dxf>
      <font>
        <strike val="0"/>
        <outline val="0"/>
        <shadow val="0"/>
        <u val="none"/>
        <vertAlign val="baseline"/>
        <sz val="12"/>
        <color auto="1"/>
        <name val="Calibri"/>
        <scheme val="minor"/>
      </font>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190501</xdr:colOff>
      <xdr:row>3</xdr:row>
      <xdr:rowOff>28574</xdr:rowOff>
    </xdr:from>
    <xdr:ext cx="5534024" cy="619842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649076" y="533399"/>
          <a:ext cx="5534024" cy="619842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endParaRPr lang="en-AU" sz="1100" b="1" i="0" u="sng" strike="noStrike">
            <a:solidFill>
              <a:schemeClr val="dk1"/>
            </a:solidFill>
            <a:effectLst/>
            <a:latin typeface="+mn-lt"/>
            <a:ea typeface="+mn-ea"/>
            <a:cs typeface="+mn-cs"/>
          </a:endParaRPr>
        </a:p>
        <a:p>
          <a:pPr algn="ctr" rtl="0" fontAlgn="base"/>
          <a:endParaRPr lang="en-AU" sz="1100" b="0" i="0">
            <a:solidFill>
              <a:schemeClr val="dk1"/>
            </a:solidFill>
            <a:effectLst/>
            <a:latin typeface="+mn-lt"/>
            <a:ea typeface="+mn-ea"/>
            <a:cs typeface="+mn-cs"/>
          </a:endParaRPr>
        </a:p>
        <a:p>
          <a:pPr algn="ctr" rtl="0" fontAlgn="base"/>
          <a:r>
            <a:rPr lang="en-AU" b="1">
              <a:solidFill>
                <a:schemeClr val="accent5"/>
              </a:solidFill>
              <a:effectLst/>
            </a:rPr>
            <a:t>Bachelor of Applied Science (Architectural Science)</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rtl="0" fontAlgn="base"/>
          <a:endParaRPr lang="en-AU">
            <a:effectLst/>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1">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Units may not be offered in every study period and may not be available at the time that you wish to study them. Your progression in the degree may be impacted if you do not follow the recommended sequence of enrolment.</a:t>
          </a:r>
        </a:p>
        <a:p>
          <a:pPr rtl="0" fontAlgn="base"/>
          <a:endParaRPr lang="en-AU">
            <a:effectLst/>
          </a:endParaRPr>
        </a:p>
        <a:p>
          <a:pPr rtl="0" fontAlgn="base"/>
          <a:r>
            <a:rPr lang="en-AU" sz="1100" b="0" i="0">
              <a:solidFill>
                <a:sysClr val="windowText" lastClr="000000"/>
              </a:solidFill>
              <a:effectLst/>
              <a:latin typeface="+mn-lt"/>
              <a:ea typeface="+mn-ea"/>
              <a:cs typeface="+mn-cs"/>
            </a:rPr>
            <a:t>If you wish to enrol in a part-time load, </a:t>
          </a:r>
          <a:r>
            <a:rPr lang="en-AU" sz="1100" b="0" i="0" baseline="0">
              <a:solidFill>
                <a:sysClr val="windowText" lastClr="000000"/>
              </a:solidFill>
              <a:effectLst/>
              <a:latin typeface="+mn-lt"/>
              <a:ea typeface="+mn-ea"/>
              <a:cs typeface="+mn-cs"/>
            </a:rPr>
            <a:t>please contact your Course Coordinator (Email - BachArchitecture@curtin.edu.au) to develop an ad hoc study plan OR please select one or two units from the four listed for each study period.</a:t>
          </a:r>
          <a:endParaRPr lang="en-AU">
            <a:solidFill>
              <a:sysClr val="windowText" lastClr="000000"/>
            </a:solidFill>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pPr rtl="0" fontAlgn="base"/>
          <a:endParaRPr lang="en-AU" sz="1100" b="1" i="0">
            <a:solidFill>
              <a:schemeClr val="dk1"/>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Specialisation Units</a:t>
          </a:r>
          <a:endParaRPr lang="en-AU" b="1"/>
        </a:p>
        <a:p>
          <a:r>
            <a:rPr lang="en-AU" b="0"/>
            <a:t>Provided you meet any pre requisites, and the unit is available, you may study specialisation units in any order.</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pPr rtl="0" fontAlgn="base"/>
          <a:endParaRPr lang="en-AU" sz="1100" b="1" i="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Sem1 = Semester 1; Sem2 = Semester 2;</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561975</xdr:colOff>
      <xdr:row>2</xdr:row>
      <xdr:rowOff>190500</xdr:rowOff>
    </xdr:from>
    <xdr:to>
      <xdr:col>21</xdr:col>
      <xdr:colOff>238125</xdr:colOff>
      <xdr:row>3</xdr:row>
      <xdr:rowOff>28970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763750" y="1905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7" totalsRowShown="0" headerRowDxfId="129">
  <autoFilter ref="A6:H7" xr:uid="{00000000-0009-0000-0100-000003000000}"/>
  <tableColumns count="8">
    <tableColumn id="3" xr3:uid="{00000000-0010-0000-0000-000003000000}" name="Choose your Course" dataDxfId="128"/>
    <tableColumn id="1" xr3:uid="{00000000-0010-0000-0000-000001000000}" name="UDC" dataDxfId="127"/>
    <tableColumn id="2" xr3:uid="{00000000-0010-0000-0000-000002000000}" name="SM Version" dataDxfId="126"/>
    <tableColumn id="4" xr3:uid="{00000000-0010-0000-0000-000004000000}" name="SM Effective Date" dataDxfId="125"/>
    <tableColumn id="8" xr3:uid="{00000000-0010-0000-0000-000008000000}" name="Akari Iteration" dataDxfId="124"/>
    <tableColumn id="7" xr3:uid="{00000000-0010-0000-0000-000007000000}" name="Akari Effective Date" dataDxfId="123"/>
    <tableColumn id="5" xr3:uid="{00000000-0010-0000-0000-000005000000}" name="Credit Points" dataDxfId="122"/>
    <tableColumn id="6" xr3:uid="{00000000-0010-0000-0000-000006000000}" name="SM Availabilities" dataDxfId="12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SPUCINARS" displayName="TableSPUCINARS" ref="A64:O82" totalsRowShown="0">
  <autoFilter ref="A64:O82" xr:uid="{00000000-0009-0000-0100-00000C000000}"/>
  <tableColumns count="15">
    <tableColumn id="1" xr3:uid="{00000000-0010-0000-0900-000001000000}" name="UDC" dataDxfId="53">
      <calculatedColumnFormula>TableSPUCINARS[[#This Row],[Study Package Code]]</calculatedColumnFormula>
    </tableColumn>
    <tableColumn id="9" xr3:uid="{00000000-0010-0000-0900-000009000000}" name="V" dataDxfId="52">
      <calculatedColumnFormula>TableSPUCINARS[[#This Row],[Ver]]</calculatedColumnFormula>
    </tableColumn>
    <tableColumn id="10" xr3:uid="{00000000-0010-0000-0900-00000A000000}" name="OUA Code" dataDxfId="51"/>
    <tableColumn id="11" xr3:uid="{00000000-0010-0000-0900-00000B000000}" name="Unit Title" dataDxfId="50">
      <calculatedColumnFormula>TableSPUCINARS[[#This Row],[Structure Line]]</calculatedColumnFormula>
    </tableColumn>
    <tableColumn id="12" xr3:uid="{00000000-0010-0000-0900-00000C000000}" name="CPs" dataDxfId="49">
      <calculatedColumnFormula>TableSPUCINARS[[#This Row],[Credit Points]]</calculatedColumnFormula>
    </tableColumn>
    <tableColumn id="13" xr3:uid="{00000000-0010-0000-0900-00000D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15" xr3:uid="{00000000-0010-0000-0900-00000F000000}" name="Effective" dataDxfId="48"/>
    <tableColumn id="14" xr3:uid="{00000000-0010-0000-0900-00000E000000}" name="Discont." dataDxfId="4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SPUCPRINP" displayName="TableSPUCPRINP" ref="A85:O89" totalsRowShown="0">
  <autoFilter ref="A85:O89" xr:uid="{00000000-0009-0000-0100-00000E000000}"/>
  <tableColumns count="15">
    <tableColumn id="1" xr3:uid="{00000000-0010-0000-0A00-000001000000}" name="UDC" dataDxfId="46">
      <calculatedColumnFormula>TableSPUCPRINP[[#This Row],[Study Package Code]]</calculatedColumnFormula>
    </tableColumn>
    <tableColumn id="9" xr3:uid="{00000000-0010-0000-0A00-000009000000}" name="V" dataDxfId="45">
      <calculatedColumnFormula>TableSPUCPRINP[[#This Row],[Ver]]</calculatedColumnFormula>
    </tableColumn>
    <tableColumn id="10" xr3:uid="{00000000-0010-0000-0A00-00000A000000}" name="OUA Code" dataDxfId="44"/>
    <tableColumn id="11" xr3:uid="{00000000-0010-0000-0A00-00000B000000}" name="Unit Title" dataDxfId="43">
      <calculatedColumnFormula>TableSPUCPRINP[[#This Row],[Structure Line]]</calculatedColumnFormula>
    </tableColumn>
    <tableColumn id="12" xr3:uid="{00000000-0010-0000-0A00-00000C000000}" name="CPs" dataDxfId="42">
      <calculatedColumnFormula>TableSPUCPRINP[[#This Row],[Credit Points]]</calculatedColumnFormula>
    </tableColumn>
    <tableColumn id="13" xr3:uid="{00000000-0010-0000-0A00-00000D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15" xr3:uid="{00000000-0010-0000-0A00-00000F000000}" name="Effective" dataDxfId="41"/>
    <tableColumn id="14" xr3:uid="{00000000-0010-0000-0A00-00000E000000}" name="Discont." dataDxfId="4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BARCH_Check" displayName="TableBARCH_Check" ref="Q2:R29" totalsRowShown="0">
  <autoFilter ref="Q2:R29" xr:uid="{00000000-0009-0000-0100-000009000000}"/>
  <tableColumns count="2">
    <tableColumn id="1" xr3:uid="{00000000-0010-0000-0B00-000001000000}" name="Study Package Code"/>
    <tableColumn id="2" xr3:uid="{00000000-0010-0000-0B00-000002000000}" name="Ver"/>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leSPUCANGAD_Check" displayName="TableSPUCANGAD_Check" ref="Q32:R38" totalsRowShown="0">
  <autoFilter ref="Q32:R38" xr:uid="{00000000-0009-0000-0100-00000B000000}"/>
  <tableColumns count="2">
    <tableColumn id="1" xr3:uid="{00000000-0010-0000-0C00-000001000000}" name="Study Package Code"/>
    <tableColumn id="2" xr3:uid="{00000000-0010-0000-0C00-000002000000}" name="Ver"/>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SPUCCONMS_Check" displayName="TableSPUCCONMS_Check" ref="Q41:R45" totalsRowShown="0">
  <autoFilter ref="Q41:R45" xr:uid="{00000000-0009-0000-0100-000012000000}"/>
  <tableColumns count="2">
    <tableColumn id="1" xr3:uid="{00000000-0010-0000-0D00-000001000000}" name="Study Package Code"/>
    <tableColumn id="2" xr3:uid="{00000000-0010-0000-0D00-000002000000}" name="Ver"/>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E000000}" name="TableSPUCDSGNV_Check" displayName="TableSPUCDSGNV_Check" ref="Q57:R61" totalsRowShown="0">
  <autoFilter ref="Q57:R61" xr:uid="{00000000-0009-0000-0100-000014000000}"/>
  <tableColumns count="2">
    <tableColumn id="1" xr3:uid="{00000000-0010-0000-0E00-000001000000}" name="Study Package Code"/>
    <tableColumn id="2" xr3:uid="{00000000-0010-0000-0E00-000002000000}" name="Ver"/>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F000000}" name="TableSPUCPRINP_Check" displayName="TableSPUCPRINP_Check" ref="Q85:R89" totalsRowShown="0">
  <autoFilter ref="Q85:R89" xr:uid="{00000000-0009-0000-0100-000016000000}"/>
  <tableColumns count="2">
    <tableColumn id="1" xr3:uid="{00000000-0010-0000-0F00-000001000000}" name="Study Package Code"/>
    <tableColumn id="2" xr3:uid="{00000000-0010-0000-0F00-000002000000}" name="Ver"/>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0000000}" name="TableSPUCDSGNF_Check" displayName="TableSPUCDSGNF_Check" ref="Q48:R54" totalsRowShown="0">
  <autoFilter ref="Q48:R54" xr:uid="{00000000-0009-0000-0100-000017000000}"/>
  <tableColumns count="2">
    <tableColumn id="1" xr3:uid="{00000000-0010-0000-1000-000001000000}" name="Study Package Code"/>
    <tableColumn id="2" xr3:uid="{00000000-0010-0000-1000-000002000000}" name="Ver"/>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1000000}" name="TableSPUCINARS_Check" displayName="TableSPUCINARS_Check" ref="Q64:R82" totalsRowShown="0">
  <autoFilter ref="Q64:R82" xr:uid="{00000000-0009-0000-0100-000018000000}"/>
  <tableColumns count="2">
    <tableColumn id="1" xr3:uid="{00000000-0010-0000-1100-000001000000}" name="Study Package Code"/>
    <tableColumn id="2" xr3:uid="{00000000-0010-0000-1100-000002000000}" name="Ver"/>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Availabilities" displayName="TableAvailabilities" ref="A3:E52" totalsRowShown="0">
  <autoFilter ref="A3:E52" xr:uid="{00000000-0009-0000-0100-00000D000000}"/>
  <sortState xmlns:xlrd2="http://schemas.microsoft.com/office/spreadsheetml/2017/richdata2" ref="A4:E4">
    <sortCondition ref="A3:A4"/>
  </sortState>
  <tableColumns count="5">
    <tableColumn id="1" xr3:uid="{00000000-0010-0000-1200-000001000000}" name="Row Labels"/>
    <tableColumn id="2" xr3:uid="{00000000-0010-0000-1200-000002000000}" name="Sem1 Internal" dataDxfId="39"/>
    <tableColumn id="3" xr3:uid="{00000000-0010-0000-1200-000003000000}" name="Sem1 Online" dataDxfId="38"/>
    <tableColumn id="4" xr3:uid="{00000000-0010-0000-1200-000004000000}" name="Sem2 Internal" dataDxfId="37"/>
    <tableColumn id="5" xr3:uid="{00000000-0010-0000-1200-000005000000}" name="Sem2 Online" dataDxfId="36"/>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Specialisations" displayName="TableSpecialisations" ref="A10:G16" totalsRowShown="0" dataDxfId="120">
  <autoFilter ref="A10:G16" xr:uid="{00000000-0009-0000-0100-000005000000}"/>
  <tableColumns count="7">
    <tableColumn id="1" xr3:uid="{00000000-0010-0000-0100-000001000000}" name="Choose your Specialisation (drop-down list)" dataDxfId="119"/>
    <tableColumn id="2" xr3:uid="{00000000-0010-0000-0100-000002000000}" name="UDC" dataDxfId="118"/>
    <tableColumn id="3" xr3:uid="{00000000-0010-0000-0100-000003000000}" name="SM Version" dataDxfId="117"/>
    <tableColumn id="5" xr3:uid="{00000000-0010-0000-0100-000005000000}" name="SM Effective Date" dataDxfId="116"/>
    <tableColumn id="6" xr3:uid="{00000000-0010-0000-0100-000006000000}" name="Akari Iteration" dataDxfId="115"/>
    <tableColumn id="7" xr3:uid="{00000000-0010-0000-0100-000007000000}" name="Akari Effective Date" dataDxfId="114"/>
    <tableColumn id="4" xr3:uid="{00000000-0010-0000-0100-000004000000}" name="Credit Points" dataDxfId="11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 displayName="TableStudyPeriod" ref="A19:C21" totalsRowShown="0" dataDxfId="112">
  <autoFilter ref="A19:C21" xr:uid="{00000000-0009-0000-0100-000004000000}"/>
  <tableColumns count="3">
    <tableColumn id="1" xr3:uid="{00000000-0010-0000-0200-000001000000}" name="Choose your commencing study period (drop-down list)" dataDxfId="111"/>
    <tableColumn id="2" xr3:uid="{00000000-0010-0000-0200-000002000000}" name="START" dataDxfId="110"/>
    <tableColumn id="3" xr3:uid="{00000000-0010-0000-0200-000003000000}" name="Next" dataDxfId="10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Handbook" displayName="TableHandbook" ref="A2:R76" totalsRowShown="0" headerRowDxfId="108" dataDxfId="107">
  <autoFilter ref="A2:R76" xr:uid="{00000000-0009-0000-0100-000002000000}"/>
  <sortState xmlns:xlrd2="http://schemas.microsoft.com/office/spreadsheetml/2017/richdata2" ref="A3:R76">
    <sortCondition ref="A2:A76"/>
  </sortState>
  <tableColumns count="18">
    <tableColumn id="1" xr3:uid="{00000000-0010-0000-0300-000001000000}" name="UDC" dataDxfId="106"/>
    <tableColumn id="2" xr3:uid="{00000000-0010-0000-0300-000002000000}" name="Ver" dataDxfId="105"/>
    <tableColumn id="3" xr3:uid="{00000000-0010-0000-0300-000003000000}" name="OUA Cd" dataDxfId="104"/>
    <tableColumn id="4" xr3:uid="{00000000-0010-0000-0300-000004000000}" name="Title" dataDxfId="103"/>
    <tableColumn id="5" xr3:uid="{00000000-0010-0000-0300-000005000000}" name="Credits" dataDxfId="102"/>
    <tableColumn id="6" xr3:uid="{00000000-0010-0000-0300-000006000000}" name="Pre Requisites (1/11/2024)" dataDxfId="101"/>
    <tableColumn id="12" xr3:uid="{00000000-0010-0000-0300-00000C000000}" name="S1INT" dataDxfId="100">
      <calculatedColumnFormula>IFERROR(IF(VLOOKUP(TableHandbook[[#This Row],[UDC]],TableAvailabilities[],2,FALSE)&gt;0,"Y",""),"")</calculatedColumnFormula>
    </tableColumn>
    <tableColumn id="13" xr3:uid="{00000000-0010-0000-0300-00000D000000}" name="S1FO" dataDxfId="99">
      <calculatedColumnFormula>IFERROR(IF(VLOOKUP(TableHandbook[[#This Row],[UDC]],TableAvailabilities[],3,FALSE)&gt;0,"Y",""),"")</calculatedColumnFormula>
    </tableColumn>
    <tableColumn id="14" xr3:uid="{00000000-0010-0000-0300-00000E000000}" name="S2INT" dataDxfId="98">
      <calculatedColumnFormula>IFERROR(IF(VLOOKUP(TableHandbook[[#This Row],[UDC]],TableAvailabilities[],4,FALSE)&gt;0,"Y",""),"")</calculatedColumnFormula>
    </tableColumn>
    <tableColumn id="15" xr3:uid="{00000000-0010-0000-0300-00000F000000}" name="S2FO" dataDxfId="97">
      <calculatedColumnFormula>IFERROR(IF(VLOOKUP(TableHandbook[[#This Row],[UDC]],TableAvailabilities[],5,FALSE)&gt;0,"Y",""),"")</calculatedColumnFormula>
    </tableColumn>
    <tableColumn id="16" xr3:uid="{00000000-0010-0000-0300-000010000000}" name="Notes" dataDxfId="96"/>
    <tableColumn id="8" xr3:uid="{00000000-0010-0000-0300-000008000000}" name="B-ARCH" dataDxfId="95">
      <calculatedColumnFormula>IFERROR(VLOOKUP(TableHandbook[[#This Row],[UDC]],TableBARCH[],7,FALSE),"")</calculatedColumnFormula>
    </tableColumn>
    <tableColumn id="9" xr3:uid="{00000000-0010-0000-0300-000009000000}" name="SPUC-ANGAD" dataDxfId="94">
      <calculatedColumnFormula>IFERROR(VLOOKUP(TableHandbook[[#This Row],[UDC]],TableSPUCANGAD[],7,FALSE),"")</calculatedColumnFormula>
    </tableColumn>
    <tableColumn id="10" xr3:uid="{00000000-0010-0000-0300-00000A000000}" name="SPUC-CONMS" dataDxfId="93">
      <calculatedColumnFormula>IFERROR(VLOOKUP(TableHandbook[[#This Row],[UDC]],TableSPUCCONMS[],7,FALSE),"")</calculatedColumnFormula>
    </tableColumn>
    <tableColumn id="20" xr3:uid="{00000000-0010-0000-0300-000014000000}" name="SPUC-DSGNF" dataDxfId="92">
      <calculatedColumnFormula>IFERROR(VLOOKUP(TableHandbook[[#This Row],[UDC]],TableSPUCDSGNF[],7,FALSE),"")</calculatedColumnFormula>
    </tableColumn>
    <tableColumn id="21" xr3:uid="{00000000-0010-0000-0300-000015000000}" name="SPUC-DSGNV" dataDxfId="91">
      <calculatedColumnFormula>IFERROR(VLOOKUP(TableHandbook[[#This Row],[UDC]],TableSPUCDSGNV[],7,FALSE),"")</calculatedColumnFormula>
    </tableColumn>
    <tableColumn id="17" xr3:uid="{00000000-0010-0000-0300-000011000000}" name="SPUC-INARS" dataDxfId="90">
      <calculatedColumnFormula>IFERROR(VLOOKUP(TableHandbook[[#This Row],[UDC]],TableSPUCINARS[],7,FALSE),"")</calculatedColumnFormula>
    </tableColumn>
    <tableColumn id="11" xr3:uid="{00000000-0010-0000-0300-00000B000000}" name="SPUC-PRINP" dataDxfId="89">
      <calculatedColumnFormula>IFERROR(VLOOKUP(TableHandbook[[#This Row],[UDC]],TableSPUCPRINP[],7,FALSE),"")</calculatedColumnFormula>
    </tableColumn>
  </tableColumns>
  <tableStyleInfo name="TableStyleLight11"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BARCH" displayName="TableBARCH" ref="A2:O29" totalsRowShown="0">
  <autoFilter ref="A2:O29" xr:uid="{00000000-0009-0000-0100-000001000000}"/>
  <sortState xmlns:xlrd2="http://schemas.microsoft.com/office/spreadsheetml/2017/richdata2" ref="Z3:AQ6">
    <sortCondition ref="AN2:AN6"/>
  </sortState>
  <tableColumns count="15">
    <tableColumn id="1" xr3:uid="{00000000-0010-0000-0400-000001000000}" name="UDC" dataDxfId="88">
      <calculatedColumnFormula>TableBARCH[[#This Row],[Study Package Code]]</calculatedColumnFormula>
    </tableColumn>
    <tableColumn id="9" xr3:uid="{00000000-0010-0000-0400-000009000000}" name="V" dataDxfId="87">
      <calculatedColumnFormula>TableBARCH[[#This Row],[Ver]]</calculatedColumnFormula>
    </tableColumn>
    <tableColumn id="10" xr3:uid="{00000000-0010-0000-0400-00000A000000}" name="OUA Code" dataDxfId="86"/>
    <tableColumn id="11" xr3:uid="{00000000-0010-0000-0400-00000B000000}" name="Unit Title" dataDxfId="85">
      <calculatedColumnFormula>TableBARCH[[#This Row],[Structure Line]]</calculatedColumnFormula>
    </tableColumn>
    <tableColumn id="12" xr3:uid="{00000000-0010-0000-0400-00000C000000}" name="CPs" dataDxfId="84">
      <calculatedColumnFormula>TableBARCH[[#This Row],[Credit Points]]</calculatedColumnFormula>
    </tableColumn>
    <tableColumn id="13" xr3:uid="{00000000-0010-0000-0400-00000D000000}" name="No."/>
    <tableColumn id="2" xr3:uid="{00000000-0010-0000-0400-000002000000}" name="Component Type"/>
    <tableColumn id="3" xr3:uid="{00000000-0010-0000-0400-000003000000}" name="Year Level"/>
    <tableColumn id="4" xr3:uid="{00000000-0010-0000-0400-000004000000}" name="Study Period"/>
    <tableColumn id="5" xr3:uid="{00000000-0010-0000-0400-000005000000}" name="Study Package Code"/>
    <tableColumn id="6" xr3:uid="{00000000-0010-0000-0400-000006000000}" name="Ver"/>
    <tableColumn id="7" xr3:uid="{00000000-0010-0000-0400-000007000000}" name="Structure Line"/>
    <tableColumn id="8" xr3:uid="{00000000-0010-0000-0400-000008000000}" name="Credit Points"/>
    <tableColumn id="16" xr3:uid="{00000000-0010-0000-0400-000010000000}" name="Effective" dataDxfId="83"/>
    <tableColumn id="14" xr3:uid="{00000000-0010-0000-0400-00000E000000}" name="Discont." dataDxfId="8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SPUCANGAD" displayName="TableSPUCANGAD" ref="A32:O38" totalsRowShown="0">
  <autoFilter ref="A32:O38" xr:uid="{00000000-0009-0000-0100-000006000000}"/>
  <sortState xmlns:xlrd2="http://schemas.microsoft.com/office/spreadsheetml/2017/richdata2" ref="Z11:AQ18">
    <sortCondition ref="AM10:AM18"/>
  </sortState>
  <tableColumns count="15">
    <tableColumn id="1" xr3:uid="{00000000-0010-0000-0500-000001000000}" name="UDC" dataDxfId="81">
      <calculatedColumnFormula>TableSPUCANGAD[[#This Row],[Study Package Code]]</calculatedColumnFormula>
    </tableColumn>
    <tableColumn id="9" xr3:uid="{00000000-0010-0000-0500-000009000000}" name="V" dataDxfId="80">
      <calculatedColumnFormula>TableSPUCANGAD[[#This Row],[Ver]]</calculatedColumnFormula>
    </tableColumn>
    <tableColumn id="10" xr3:uid="{00000000-0010-0000-0500-00000A000000}" name="OUA Code" dataDxfId="79"/>
    <tableColumn id="11" xr3:uid="{00000000-0010-0000-0500-00000B000000}" name="Unit Title" dataDxfId="78">
      <calculatedColumnFormula>TableSPUCANGAD[[#This Row],[Structure Line]]</calculatedColumnFormula>
    </tableColumn>
    <tableColumn id="12" xr3:uid="{00000000-0010-0000-0500-00000C000000}" name="CPs" dataDxfId="77">
      <calculatedColumnFormula>TableSPUCANGAD[[#This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15" xr3:uid="{00000000-0010-0000-0500-00000F000000}" name="Effective" dataDxfId="76"/>
    <tableColumn id="14" xr3:uid="{00000000-0010-0000-0500-00000E000000}" name="Discont." dataDxfId="7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SPUCCONMS" displayName="TableSPUCCONMS" ref="A41:O45" totalsRowShown="0">
  <autoFilter ref="A41:O45" xr:uid="{00000000-0009-0000-0100-000007000000}"/>
  <sortState xmlns:xlrd2="http://schemas.microsoft.com/office/spreadsheetml/2017/richdata2" ref="A42:N45">
    <sortCondition ref="F41:F45"/>
  </sortState>
  <tableColumns count="15">
    <tableColumn id="1" xr3:uid="{00000000-0010-0000-0600-000001000000}" name="UDC" dataDxfId="74">
      <calculatedColumnFormula>TableSPUCCONMS[[#This Row],[Study Package Code]]</calculatedColumnFormula>
    </tableColumn>
    <tableColumn id="9" xr3:uid="{00000000-0010-0000-0600-000009000000}" name="V" dataDxfId="73">
      <calculatedColumnFormula>TableSPUCCONMS[[#This Row],[Ver]]</calculatedColumnFormula>
    </tableColumn>
    <tableColumn id="10" xr3:uid="{00000000-0010-0000-0600-00000A000000}" name="OUA Code" dataDxfId="72"/>
    <tableColumn id="11" xr3:uid="{00000000-0010-0000-0600-00000B000000}" name="Unit Title" dataDxfId="71">
      <calculatedColumnFormula>TableSPUCCONMS[[#This Row],[Structure Line]]</calculatedColumnFormula>
    </tableColumn>
    <tableColumn id="12" xr3:uid="{00000000-0010-0000-0600-00000C000000}" name="CPs" dataDxfId="70">
      <calculatedColumnFormula>TableSPUCCONMS[[#This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tableColumn id="7" xr3:uid="{00000000-0010-0000-0600-000007000000}" name="Structure Line"/>
    <tableColumn id="8" xr3:uid="{00000000-0010-0000-0600-000008000000}" name="Credit Points"/>
    <tableColumn id="15" xr3:uid="{00000000-0010-0000-0600-00000F000000}" name="Effective" dataDxfId="69"/>
    <tableColumn id="14" xr3:uid="{00000000-0010-0000-0600-00000E000000}" name="Discont." dataDxfId="68"/>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SPUCDSGNF" displayName="TableSPUCDSGNF" ref="A48:O54" totalsRowShown="0">
  <autoFilter ref="A48:O54" xr:uid="{00000000-0009-0000-0100-000008000000}"/>
  <sortState xmlns:xlrd2="http://schemas.microsoft.com/office/spreadsheetml/2017/richdata2" ref="A49:M54">
    <sortCondition descending="1" ref="G48:G54"/>
  </sortState>
  <tableColumns count="15">
    <tableColumn id="1" xr3:uid="{00000000-0010-0000-0700-000001000000}" name="UDC" dataDxfId="67">
      <calculatedColumnFormula>TableSPUCDSGNF[[#This Row],[Study Package Code]]</calculatedColumnFormula>
    </tableColumn>
    <tableColumn id="9" xr3:uid="{00000000-0010-0000-0700-000009000000}" name="V" dataDxfId="66">
      <calculatedColumnFormula>TableSPUCDSGNF[[#This Row],[Ver]]</calculatedColumnFormula>
    </tableColumn>
    <tableColumn id="10" xr3:uid="{00000000-0010-0000-0700-00000A000000}" name="OUA Code" dataDxfId="65"/>
    <tableColumn id="11" xr3:uid="{00000000-0010-0000-0700-00000B000000}" name="Unit Title" dataDxfId="64">
      <calculatedColumnFormula>TableSPUCDSGNF[[#This Row],[Structure Line]]</calculatedColumnFormula>
    </tableColumn>
    <tableColumn id="12" xr3:uid="{00000000-0010-0000-0700-00000C000000}" name="CPs" dataDxfId="63">
      <calculatedColumnFormula>TableSPUCDSGNF[[#This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15" xr3:uid="{00000000-0010-0000-0700-00000F000000}" name="Effective" dataDxfId="62"/>
    <tableColumn id="14" xr3:uid="{00000000-0010-0000-0700-00000E000000}" name="Discont." dataDxfId="61"/>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SPUCDSGNV" displayName="TableSPUCDSGNV" ref="A57:O61" totalsRowShown="0">
  <autoFilter ref="A57:O61" xr:uid="{00000000-0009-0000-0100-00000A000000}"/>
  <sortState xmlns:xlrd2="http://schemas.microsoft.com/office/spreadsheetml/2017/richdata2" ref="A58:M61">
    <sortCondition ref="F57:F61"/>
  </sortState>
  <tableColumns count="15">
    <tableColumn id="1" xr3:uid="{00000000-0010-0000-0800-000001000000}" name="UDC" dataDxfId="60">
      <calculatedColumnFormula>TableSPUCDSGNV[[#This Row],[Study Package Code]]</calculatedColumnFormula>
    </tableColumn>
    <tableColumn id="9" xr3:uid="{00000000-0010-0000-0800-000009000000}" name="V" dataDxfId="59">
      <calculatedColumnFormula>TableSPUCDSGNV[[#This Row],[Ver]]</calculatedColumnFormula>
    </tableColumn>
    <tableColumn id="10" xr3:uid="{00000000-0010-0000-0800-00000A000000}" name="OUA Code" dataDxfId="58"/>
    <tableColumn id="11" xr3:uid="{00000000-0010-0000-0800-00000B000000}" name="Unit Title" dataDxfId="57">
      <calculatedColumnFormula>TableSPUCDSGNV[[#This Row],[Structure Line]]</calculatedColumnFormula>
    </tableColumn>
    <tableColumn id="12" xr3:uid="{00000000-0010-0000-0800-00000C000000}" name="CPs" dataDxfId="56">
      <calculatedColumnFormula>TableSPUCDSGNV[[#This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tableColumn id="7" xr3:uid="{00000000-0010-0000-0800-000007000000}" name="Structure Line"/>
    <tableColumn id="8" xr3:uid="{00000000-0010-0000-0800-000008000000}" name="Credit Points"/>
    <tableColumn id="15" xr3:uid="{00000000-0010-0000-0800-00000F000000}" name="Effective" dataDxfId="55"/>
    <tableColumn id="14" xr3:uid="{00000000-0010-0000-0800-00000E000000}" name="Discont." dataDxfId="5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GridLines="0" tabSelected="1" topLeftCell="A3" zoomScaleNormal="100" workbookViewId="0">
      <selection activeCell="D6" sqref="D6"/>
    </sheetView>
  </sheetViews>
  <sheetFormatPr defaultRowHeight="15" x14ac:dyDescent="0.25"/>
  <cols>
    <col min="1" max="1" width="11.75" style="115" customWidth="1"/>
    <col min="2" max="2" width="3.25" style="115" customWidth="1"/>
    <col min="3" max="3" width="5.875" style="115" customWidth="1"/>
    <col min="4" max="4" width="49.25" style="105" customWidth="1"/>
    <col min="5" max="5" width="6" style="105" customWidth="1"/>
    <col min="6" max="6" width="34.5" style="105" customWidth="1"/>
    <col min="7" max="7" width="5.625" style="105" customWidth="1"/>
    <col min="8" max="11" width="4.625" style="105" customWidth="1"/>
    <col min="12" max="12" width="18.625" style="105" customWidth="1"/>
    <col min="13" max="13" width="2.5" style="105" hidden="1" customWidth="1"/>
    <col min="14" max="16384" width="9" style="105"/>
  </cols>
  <sheetData>
    <row r="1" spans="1:16" hidden="1" x14ac:dyDescent="0.25">
      <c r="A1" s="101" t="s">
        <v>0</v>
      </c>
      <c r="B1" s="102" t="s">
        <v>1</v>
      </c>
      <c r="C1" s="102" t="s">
        <v>2</v>
      </c>
      <c r="D1" s="103" t="s">
        <v>3</v>
      </c>
      <c r="E1" s="103"/>
      <c r="F1" s="103" t="s">
        <v>4</v>
      </c>
      <c r="G1" s="103" t="s">
        <v>5</v>
      </c>
      <c r="H1" s="104" t="s">
        <v>6</v>
      </c>
      <c r="I1" s="103"/>
      <c r="J1" s="103"/>
      <c r="K1" s="103"/>
      <c r="L1" s="103" t="s">
        <v>7</v>
      </c>
    </row>
    <row r="2" spans="1:16" hidden="1" x14ac:dyDescent="0.25">
      <c r="A2" s="106"/>
      <c r="B2" s="107">
        <v>2</v>
      </c>
      <c r="C2" s="107">
        <v>3</v>
      </c>
      <c r="D2" s="107">
        <v>4</v>
      </c>
      <c r="E2" s="107"/>
      <c r="F2" s="107">
        <v>6</v>
      </c>
      <c r="G2" s="107">
        <v>5</v>
      </c>
      <c r="H2" s="107">
        <v>7</v>
      </c>
      <c r="I2" s="107">
        <v>8</v>
      </c>
      <c r="J2" s="107">
        <v>9</v>
      </c>
      <c r="K2" s="107">
        <v>10</v>
      </c>
      <c r="L2" s="108"/>
    </row>
    <row r="3" spans="1:16" ht="39.950000000000003" customHeight="1" x14ac:dyDescent="0.25">
      <c r="A3" s="109" t="s">
        <v>8</v>
      </c>
      <c r="B3" s="109"/>
      <c r="C3" s="109"/>
      <c r="D3" s="109"/>
      <c r="E3" s="110"/>
      <c r="F3" s="110"/>
      <c r="G3" s="110"/>
      <c r="H3" s="110"/>
      <c r="I3" s="110"/>
      <c r="J3" s="110"/>
      <c r="K3" s="110"/>
      <c r="L3" s="110"/>
    </row>
    <row r="4" spans="1:16" ht="26.25" x14ac:dyDescent="0.25">
      <c r="A4" s="111"/>
      <c r="B4" s="112"/>
      <c r="C4" s="112"/>
      <c r="D4" s="112"/>
      <c r="E4" s="113" t="s">
        <v>9</v>
      </c>
      <c r="F4" s="112"/>
      <c r="G4" s="114"/>
      <c r="H4" s="114"/>
      <c r="I4" s="114"/>
      <c r="J4" s="114"/>
      <c r="K4" s="114"/>
      <c r="L4" s="114"/>
    </row>
    <row r="5" spans="1:16" ht="20.100000000000001" customHeight="1" x14ac:dyDescent="0.25">
      <c r="B5" s="116"/>
      <c r="C5" s="117" t="s">
        <v>10</v>
      </c>
      <c r="D5" s="118" t="s">
        <v>11</v>
      </c>
      <c r="E5" s="119"/>
      <c r="F5" s="117" t="s">
        <v>12</v>
      </c>
      <c r="G5" s="119" t="str">
        <f>IFERROR(CONCATENATE(VLOOKUP(D5,TableCourses[],2,FALSE)," ",VLOOKUP(D5,TableCourses[],3,FALSE)),"")</f>
        <v>B-ARCH v.3</v>
      </c>
      <c r="H5" s="119"/>
      <c r="I5" s="119"/>
      <c r="J5" s="119"/>
      <c r="K5" s="119"/>
      <c r="L5" s="120" t="e">
        <f>CONCATENATE(VLOOKUP(D5,TableCourses[],2,FALSE),VLOOKUP(D7,TableStudyPeriod[],2,FALSE))</f>
        <v>#N/A</v>
      </c>
    </row>
    <row r="6" spans="1:16" ht="20.100000000000001" customHeight="1" x14ac:dyDescent="0.25">
      <c r="B6" s="116"/>
      <c r="C6" s="117" t="s">
        <v>13</v>
      </c>
      <c r="D6" s="70" t="s">
        <v>64</v>
      </c>
      <c r="E6" s="119"/>
      <c r="F6" s="117" t="s">
        <v>15</v>
      </c>
      <c r="G6" s="119" t="str">
        <f>IFERROR(CONCATENATE(VLOOKUP(D6,TableSpecialisations[],2,FALSE)," ",VLOOKUP(D6,TableSpecialisations[],3,FALSE)),"")</f>
        <v/>
      </c>
      <c r="H6" s="119"/>
      <c r="I6" s="119"/>
      <c r="J6" s="119"/>
      <c r="K6" s="119"/>
      <c r="L6" s="120" t="e">
        <f>VLOOKUP($D$6,TableSpecialisations[],2,FALSE)</f>
        <v>#N/A</v>
      </c>
    </row>
    <row r="7" spans="1:16" ht="20.100000000000001" customHeight="1" x14ac:dyDescent="0.25">
      <c r="A7" s="121"/>
      <c r="B7" s="122"/>
      <c r="C7" s="117" t="s">
        <v>16</v>
      </c>
      <c r="D7" s="71" t="s">
        <v>88</v>
      </c>
      <c r="E7" s="123"/>
      <c r="F7" s="117" t="s">
        <v>18</v>
      </c>
      <c r="G7" s="119" t="str">
        <f>IFERROR(VLOOKUP($D$5,TableCourses[],7,FALSE),"")</f>
        <v>600 credit points required</v>
      </c>
      <c r="H7" s="124"/>
      <c r="I7" s="124"/>
      <c r="J7" s="124"/>
      <c r="K7" s="124"/>
      <c r="L7" s="125"/>
    </row>
    <row r="8" spans="1:16" s="133" customFormat="1" ht="14.1" customHeight="1" x14ac:dyDescent="0.25">
      <c r="A8" s="126"/>
      <c r="B8" s="126"/>
      <c r="C8" s="126"/>
      <c r="D8" s="127"/>
      <c r="E8" s="128"/>
      <c r="F8" s="126"/>
      <c r="G8" s="126"/>
      <c r="H8" s="129" t="s">
        <v>19</v>
      </c>
      <c r="I8" s="130"/>
      <c r="J8" s="130"/>
      <c r="K8" s="131"/>
      <c r="L8" s="128"/>
      <c r="M8" s="132"/>
      <c r="N8" s="132"/>
      <c r="O8" s="132"/>
    </row>
    <row r="9" spans="1:16" s="133" customFormat="1" ht="21" x14ac:dyDescent="0.25">
      <c r="A9" s="126" t="s">
        <v>20</v>
      </c>
      <c r="B9" s="126"/>
      <c r="C9" s="126"/>
      <c r="D9" s="134" t="s">
        <v>3</v>
      </c>
      <c r="E9" s="135" t="s">
        <v>21</v>
      </c>
      <c r="F9" s="126" t="s">
        <v>22</v>
      </c>
      <c r="G9" s="126" t="s">
        <v>23</v>
      </c>
      <c r="H9" s="136" t="s">
        <v>24</v>
      </c>
      <c r="I9" s="137" t="s">
        <v>25</v>
      </c>
      <c r="J9" s="135" t="s">
        <v>26</v>
      </c>
      <c r="K9" s="138" t="s">
        <v>27</v>
      </c>
      <c r="L9" s="126" t="s">
        <v>28</v>
      </c>
      <c r="M9" s="132"/>
      <c r="N9" s="132"/>
      <c r="O9" s="132"/>
    </row>
    <row r="10" spans="1:16" s="148" customFormat="1" ht="20.100000000000001" customHeight="1" x14ac:dyDescent="0.15">
      <c r="A10" s="139" t="str">
        <f>IFERROR(IF(HLOOKUP($L$5,RangeUnitsets,M10,FALSE)=0,"",HLOOKUP($L$5,RangeUnitsets,M10,FALSE)),"")</f>
        <v/>
      </c>
      <c r="B10" s="140" t="str">
        <f>IFERROR(IF(VLOOKUP($A10,TableHandbook[],2,FALSE)=0,"",VLOOKUP($A10,TableHandbook[],2,FALSE)),"")</f>
        <v/>
      </c>
      <c r="C10" s="140" t="str">
        <f>IFERROR(IF(VLOOKUP($A10,TableHandbook[],3,FALSE)=0,"",VLOOKUP($A10,TableHandbook[],3,FALSE)),"")</f>
        <v/>
      </c>
      <c r="D10" s="141" t="str">
        <f>IFERROR(IF(VLOOKUP($A10,TableHandbook[],4,FALSE)=0,"",VLOOKUP($A10,TableHandbook[],4,FALSE)),"")</f>
        <v/>
      </c>
      <c r="E10" s="140" t="str">
        <f>IF(A10="","",VLOOKUP($D$7,TableStudyPeriod[],2,FALSE))</f>
        <v/>
      </c>
      <c r="F10" s="142" t="str">
        <f>IFERROR(IF(VLOOKUP($A10,TableHandbook[],6,FALSE)=0,"",VLOOKUP($A10,TableHandbook[],6,FALSE)),"")</f>
        <v/>
      </c>
      <c r="G10" s="140" t="str">
        <f>IFERROR(IF(VLOOKUP($A10,TableHandbook[],5,FALSE)=0,"",VLOOKUP($A10,TableHandbook[],5,FALSE)),"")</f>
        <v/>
      </c>
      <c r="H10" s="143" t="str">
        <f>IFERROR(VLOOKUP($A10,TableHandbook[],H$2,FALSE),"")</f>
        <v/>
      </c>
      <c r="I10" s="144" t="str">
        <f>IFERROR(VLOOKUP($A10,TableHandbook[],I$2,FALSE),"")</f>
        <v/>
      </c>
      <c r="J10" s="140" t="str">
        <f>IFERROR(VLOOKUP($A10,TableHandbook[],J$2,FALSE),"")</f>
        <v/>
      </c>
      <c r="K10" s="145" t="str">
        <f>IFERROR(VLOOKUP($A10,TableHandbook[],K$2,FALSE),"")</f>
        <v/>
      </c>
      <c r="L10" s="22"/>
      <c r="M10" s="146">
        <v>2</v>
      </c>
      <c r="N10" s="147"/>
      <c r="O10" s="147"/>
    </row>
    <row r="11" spans="1:16" s="148" customFormat="1" ht="20.100000000000001" customHeight="1" x14ac:dyDescent="0.15">
      <c r="A11" s="139" t="str">
        <f>IFERROR(IF(HLOOKUP($L$5,RangeUnitsets,M11,FALSE)=0,"",HLOOKUP($L$5,RangeUnitsets,M11,FALSE)),"")</f>
        <v/>
      </c>
      <c r="B11" s="140" t="str">
        <f>IFERROR(IF(VLOOKUP($A11,TableHandbook[],2,FALSE)=0,"",VLOOKUP($A11,TableHandbook[],2,FALSE)),"")</f>
        <v/>
      </c>
      <c r="C11" s="140" t="str">
        <f>IFERROR(IF(VLOOKUP($A11,TableHandbook[],3,FALSE)=0,"",VLOOKUP($A11,TableHandbook[],3,FALSE)),"")</f>
        <v/>
      </c>
      <c r="D11" s="141" t="str">
        <f>IFERROR(IF(VLOOKUP($A11,TableHandbook[],4,FALSE)=0,"",VLOOKUP($A11,TableHandbook[],4,FALSE)),"")</f>
        <v/>
      </c>
      <c r="E11" s="140" t="str">
        <f>IF(A11="","",E10)</f>
        <v/>
      </c>
      <c r="F11" s="142" t="str">
        <f>IFERROR(IF(VLOOKUP($A11,TableHandbook[],6,FALSE)=0,"",VLOOKUP($A11,TableHandbook[],6,FALSE)),"")</f>
        <v/>
      </c>
      <c r="G11" s="140" t="str">
        <f>IFERROR(IF(VLOOKUP($A11,TableHandbook[],5,FALSE)=0,"",VLOOKUP($A11,TableHandbook[],5,FALSE)),"")</f>
        <v/>
      </c>
      <c r="H11" s="143" t="str">
        <f>IFERROR(VLOOKUP($A11,TableHandbook[],H$2,FALSE),"")</f>
        <v/>
      </c>
      <c r="I11" s="144" t="str">
        <f>IFERROR(VLOOKUP($A11,TableHandbook[],I$2,FALSE),"")</f>
        <v/>
      </c>
      <c r="J11" s="140" t="str">
        <f>IFERROR(VLOOKUP($A11,TableHandbook[],J$2,FALSE),"")</f>
        <v/>
      </c>
      <c r="K11" s="145" t="str">
        <f>IFERROR(VLOOKUP($A11,TableHandbook[],K$2,FALSE),"")</f>
        <v/>
      </c>
      <c r="L11" s="22"/>
      <c r="M11" s="146">
        <v>3</v>
      </c>
      <c r="N11" s="147"/>
      <c r="O11" s="147"/>
    </row>
    <row r="12" spans="1:16" s="148" customFormat="1" ht="20.100000000000001" customHeight="1" x14ac:dyDescent="0.15">
      <c r="A12" s="139" t="str">
        <f>IFERROR(IF(HLOOKUP($L$5,RangeUnitsets,M12,FALSE)=0,"",HLOOKUP($L$5,RangeUnitsets,M12,FALSE)),"")</f>
        <v/>
      </c>
      <c r="B12" s="140" t="str">
        <f>IFERROR(IF(VLOOKUP($A12,TableHandbook[],2,FALSE)=0,"",VLOOKUP($A12,TableHandbook[],2,FALSE)),"")</f>
        <v/>
      </c>
      <c r="C12" s="140" t="str">
        <f>IFERROR(IF(VLOOKUP($A12,TableHandbook[],3,FALSE)=0,"",VLOOKUP($A12,TableHandbook[],3,FALSE)),"")</f>
        <v/>
      </c>
      <c r="D12" s="141" t="str">
        <f>IFERROR(IF(VLOOKUP($A12,TableHandbook[],4,FALSE)=0,"",VLOOKUP($A12,TableHandbook[],4,FALSE)),"")</f>
        <v/>
      </c>
      <c r="E12" s="140" t="str">
        <f t="shared" ref="E12:E13" si="0">IF(A12="","",E11)</f>
        <v/>
      </c>
      <c r="F12" s="142" t="str">
        <f>IFERROR(IF(VLOOKUP($A12,TableHandbook[],6,FALSE)=0,"",VLOOKUP($A12,TableHandbook[],6,FALSE)),"")</f>
        <v/>
      </c>
      <c r="G12" s="140" t="str">
        <f>IFERROR(IF(VLOOKUP($A12,TableHandbook[],5,FALSE)=0,"",VLOOKUP($A12,TableHandbook[],5,FALSE)),"")</f>
        <v/>
      </c>
      <c r="H12" s="143" t="str">
        <f>IFERROR(VLOOKUP($A12,TableHandbook[],H$2,FALSE),"")</f>
        <v/>
      </c>
      <c r="I12" s="144" t="str">
        <f>IFERROR(VLOOKUP($A12,TableHandbook[],I$2,FALSE),"")</f>
        <v/>
      </c>
      <c r="J12" s="140" t="str">
        <f>IFERROR(VLOOKUP($A12,TableHandbook[],J$2,FALSE),"")</f>
        <v/>
      </c>
      <c r="K12" s="145" t="str">
        <f>IFERROR(VLOOKUP($A12,TableHandbook[],K$2,FALSE),"")</f>
        <v/>
      </c>
      <c r="L12" s="23"/>
      <c r="M12" s="146">
        <v>4</v>
      </c>
      <c r="N12" s="147"/>
      <c r="O12" s="147"/>
    </row>
    <row r="13" spans="1:16" s="148" customFormat="1" ht="20.100000000000001" customHeight="1" x14ac:dyDescent="0.15">
      <c r="A13" s="139" t="str">
        <f>IFERROR(IF(HLOOKUP($L$5,RangeUnitsets,M13,FALSE)=0,"",HLOOKUP($L$5,RangeUnitsets,M13,FALSE)),"")</f>
        <v/>
      </c>
      <c r="B13" s="140" t="str">
        <f>IFERROR(IF(VLOOKUP($A13,TableHandbook[],2,FALSE)=0,"",VLOOKUP($A13,TableHandbook[],2,FALSE)),"")</f>
        <v/>
      </c>
      <c r="C13" s="140" t="str">
        <f>IFERROR(IF(VLOOKUP($A13,TableHandbook[],3,FALSE)=0,"",VLOOKUP($A13,TableHandbook[],3,FALSE)),"")</f>
        <v/>
      </c>
      <c r="D13" s="141" t="str">
        <f>IFERROR(IF(VLOOKUP($A13,TableHandbook[],4,FALSE)=0,"",VLOOKUP($A13,TableHandbook[],4,FALSE)),"")</f>
        <v/>
      </c>
      <c r="E13" s="140" t="str">
        <f t="shared" si="0"/>
        <v/>
      </c>
      <c r="F13" s="142" t="str">
        <f>IFERROR(IF(VLOOKUP($A13,TableHandbook[],6,FALSE)=0,"",VLOOKUP($A13,TableHandbook[],6,FALSE)),"")</f>
        <v/>
      </c>
      <c r="G13" s="140" t="str">
        <f>IFERROR(IF(VLOOKUP($A13,TableHandbook[],5,FALSE)=0,"",VLOOKUP($A13,TableHandbook[],5,FALSE)),"")</f>
        <v/>
      </c>
      <c r="H13" s="143" t="str">
        <f>IFERROR(VLOOKUP($A13,TableHandbook[],H$2,FALSE),"")</f>
        <v/>
      </c>
      <c r="I13" s="144" t="str">
        <f>IFERROR(VLOOKUP($A13,TableHandbook[],I$2,FALSE),"")</f>
        <v/>
      </c>
      <c r="J13" s="140" t="str">
        <f>IFERROR(VLOOKUP($A13,TableHandbook[],J$2,FALSE),"")</f>
        <v/>
      </c>
      <c r="K13" s="145" t="str">
        <f>IFERROR(VLOOKUP($A13,TableHandbook[],K$2,FALSE),"")</f>
        <v/>
      </c>
      <c r="L13" s="22"/>
      <c r="M13" s="146">
        <v>5</v>
      </c>
      <c r="N13" s="147"/>
      <c r="O13" s="147"/>
    </row>
    <row r="14" spans="1:16" s="148" customFormat="1" ht="5.0999999999999996" customHeight="1" x14ac:dyDescent="0.15">
      <c r="A14" s="149"/>
      <c r="B14" s="150"/>
      <c r="C14" s="150"/>
      <c r="D14" s="151"/>
      <c r="E14" s="150"/>
      <c r="F14" s="152"/>
      <c r="G14" s="150"/>
      <c r="H14" s="153"/>
      <c r="I14" s="154"/>
      <c r="J14" s="150"/>
      <c r="K14" s="155"/>
      <c r="L14" s="68"/>
      <c r="M14" s="146"/>
      <c r="N14" s="147"/>
      <c r="O14" s="147"/>
      <c r="P14" s="147"/>
    </row>
    <row r="15" spans="1:16" s="148" customFormat="1" ht="20.100000000000001" customHeight="1" x14ac:dyDescent="0.15">
      <c r="A15" s="139" t="str">
        <f>IFERROR(IF(HLOOKUP($L$5,RangeUnitsets,M15,FALSE)=0,"",HLOOKUP($L$5,RangeUnitsets,M15,FALSE)),"")</f>
        <v/>
      </c>
      <c r="B15" s="156" t="str">
        <f>IFERROR(IF(VLOOKUP($A15,TableHandbook[],2,FALSE)=0,"",VLOOKUP($A15,TableHandbook[],2,FALSE)),"")</f>
        <v/>
      </c>
      <c r="C15" s="156" t="str">
        <f>IFERROR(IF(VLOOKUP($A15,TableHandbook[],3,FALSE)=0,"",VLOOKUP($A15,TableHandbook[],3,FALSE)),"")</f>
        <v/>
      </c>
      <c r="D15" s="141" t="str">
        <f>IFERROR(IF(VLOOKUP($A15,TableHandbook[],4,FALSE)=0,"",VLOOKUP($A15,TableHandbook[],4,FALSE)),"")</f>
        <v/>
      </c>
      <c r="E15" s="140" t="str">
        <f>IF(A15="","",VLOOKUP($D$7,TableStudyPeriod[],3,FALSE))</f>
        <v/>
      </c>
      <c r="F15" s="142" t="str">
        <f>IFERROR(IF(VLOOKUP($A15,TableHandbook[],6,FALSE)=0,"",VLOOKUP($A15,TableHandbook[],6,FALSE)),"")</f>
        <v/>
      </c>
      <c r="G15" s="156" t="str">
        <f>IFERROR(IF(VLOOKUP($A15,TableHandbook[],5,FALSE)=0,"",VLOOKUP($A15,TableHandbook[],5,FALSE)),"")</f>
        <v/>
      </c>
      <c r="H15" s="157" t="str">
        <f>IFERROR(VLOOKUP($A15,TableHandbook[],H$2,FALSE),"")</f>
        <v/>
      </c>
      <c r="I15" s="158" t="str">
        <f>IFERROR(VLOOKUP($A15,TableHandbook[],I$2,FALSE),"")</f>
        <v/>
      </c>
      <c r="J15" s="156" t="str">
        <f>IFERROR(VLOOKUP($A15,TableHandbook[],J$2,FALSE),"")</f>
        <v/>
      </c>
      <c r="K15" s="159" t="str">
        <f>IFERROR(VLOOKUP($A15,TableHandbook[],K$2,FALSE),"")</f>
        <v/>
      </c>
      <c r="L15" s="23"/>
      <c r="M15" s="146">
        <v>6</v>
      </c>
      <c r="N15" s="147"/>
      <c r="O15" s="147"/>
    </row>
    <row r="16" spans="1:16" s="161" customFormat="1" ht="20.100000000000001" customHeight="1" x14ac:dyDescent="0.15">
      <c r="A16" s="139" t="str">
        <f>IFERROR(IF(HLOOKUP($L$5,RangeUnitsets,M16,FALSE)=0,"",HLOOKUP($L$5,RangeUnitsets,M16,FALSE)),"")</f>
        <v/>
      </c>
      <c r="B16" s="156" t="str">
        <f>IFERROR(IF(VLOOKUP($A16,TableHandbook[],2,FALSE)=0,"",VLOOKUP($A16,TableHandbook[],2,FALSE)),"")</f>
        <v/>
      </c>
      <c r="C16" s="156" t="str">
        <f>IFERROR(IF(VLOOKUP($A16,TableHandbook[],3,FALSE)=0,"",VLOOKUP($A16,TableHandbook[],3,FALSE)),"")</f>
        <v/>
      </c>
      <c r="D16" s="141" t="str">
        <f>IFERROR(IF(VLOOKUP($A16,TableHandbook[],4,FALSE)=0,"",VLOOKUP($A16,TableHandbook[],4,FALSE)),"")</f>
        <v/>
      </c>
      <c r="E16" s="140" t="str">
        <f>IF(A16="","",E15)</f>
        <v/>
      </c>
      <c r="F16" s="142" t="str">
        <f>IFERROR(IF(VLOOKUP($A16,TableHandbook[],6,FALSE)=0,"",VLOOKUP($A16,TableHandbook[],6,FALSE)),"")</f>
        <v/>
      </c>
      <c r="G16" s="156" t="str">
        <f>IFERROR(IF(VLOOKUP($A16,TableHandbook[],5,FALSE)=0,"",VLOOKUP($A16,TableHandbook[],5,FALSE)),"")</f>
        <v/>
      </c>
      <c r="H16" s="157" t="str">
        <f>IFERROR(VLOOKUP($A16,TableHandbook[],H$2,FALSE),"")</f>
        <v/>
      </c>
      <c r="I16" s="158" t="str">
        <f>IFERROR(VLOOKUP($A16,TableHandbook[],I$2,FALSE),"")</f>
        <v/>
      </c>
      <c r="J16" s="156" t="str">
        <f>IFERROR(VLOOKUP($A16,TableHandbook[],J$2,FALSE),"")</f>
        <v/>
      </c>
      <c r="K16" s="159" t="str">
        <f>IFERROR(VLOOKUP($A16,TableHandbook[],K$2,FALSE),"")</f>
        <v/>
      </c>
      <c r="L16" s="23"/>
      <c r="M16" s="146">
        <v>7</v>
      </c>
      <c r="N16" s="160"/>
      <c r="O16" s="160"/>
    </row>
    <row r="17" spans="1:16" s="161" customFormat="1" ht="20.100000000000001" customHeight="1" x14ac:dyDescent="0.15">
      <c r="A17" s="139" t="str">
        <f>IFERROR(IF(HLOOKUP($L$5,RangeUnitsets,M17,FALSE)=0,"",HLOOKUP($L$5,RangeUnitsets,M17,FALSE)),"")</f>
        <v/>
      </c>
      <c r="B17" s="156" t="str">
        <f>IFERROR(IF(VLOOKUP($A17,TableHandbook[],2,FALSE)=0,"",VLOOKUP($A17,TableHandbook[],2,FALSE)),"")</f>
        <v/>
      </c>
      <c r="C17" s="156" t="str">
        <f>IFERROR(IF(VLOOKUP($A17,TableHandbook[],3,FALSE)=0,"",VLOOKUP($A17,TableHandbook[],3,FALSE)),"")</f>
        <v/>
      </c>
      <c r="D17" s="141" t="str">
        <f>IFERROR(IF(VLOOKUP($A17,TableHandbook[],4,FALSE)=0,"",VLOOKUP($A17,TableHandbook[],4,FALSE)),"")</f>
        <v/>
      </c>
      <c r="E17" s="140" t="str">
        <f t="shared" ref="E17:E18" si="1">IF(A17="","",E16)</f>
        <v/>
      </c>
      <c r="F17" s="142" t="str">
        <f>IFERROR(IF(VLOOKUP($A17,TableHandbook[],6,FALSE)=0,"",VLOOKUP($A17,TableHandbook[],6,FALSE)),"")</f>
        <v/>
      </c>
      <c r="G17" s="156" t="str">
        <f>IFERROR(IF(VLOOKUP($A17,TableHandbook[],5,FALSE)=0,"",VLOOKUP($A17,TableHandbook[],5,FALSE)),"")</f>
        <v/>
      </c>
      <c r="H17" s="157" t="str">
        <f>IFERROR(VLOOKUP($A17,TableHandbook[],H$2,FALSE),"")</f>
        <v/>
      </c>
      <c r="I17" s="158" t="str">
        <f>IFERROR(VLOOKUP($A17,TableHandbook[],I$2,FALSE),"")</f>
        <v/>
      </c>
      <c r="J17" s="156" t="str">
        <f>IFERROR(VLOOKUP($A17,TableHandbook[],J$2,FALSE),"")</f>
        <v/>
      </c>
      <c r="K17" s="159" t="str">
        <f>IFERROR(VLOOKUP($A17,TableHandbook[],K$2,FALSE),"")</f>
        <v/>
      </c>
      <c r="L17" s="23"/>
      <c r="M17" s="146">
        <v>8</v>
      </c>
      <c r="N17" s="160"/>
      <c r="O17" s="160"/>
    </row>
    <row r="18" spans="1:16" s="161" customFormat="1" ht="20.100000000000001" customHeight="1" x14ac:dyDescent="0.15">
      <c r="A18" s="139" t="str">
        <f>IFERROR(IF(HLOOKUP($L$5,RangeUnitsets,M18,FALSE)=0,"",HLOOKUP($L$5,RangeUnitsets,M18,FALSE)),"")</f>
        <v/>
      </c>
      <c r="B18" s="156" t="str">
        <f>IFERROR(IF(VLOOKUP($A18,TableHandbook[],2,FALSE)=0,"",VLOOKUP($A18,TableHandbook[],2,FALSE)),"")</f>
        <v/>
      </c>
      <c r="C18" s="156" t="str">
        <f>IFERROR(IF(VLOOKUP($A18,TableHandbook[],3,FALSE)=0,"",VLOOKUP($A18,TableHandbook[],3,FALSE)),"")</f>
        <v/>
      </c>
      <c r="D18" s="162" t="str">
        <f>IFERROR(IF(VLOOKUP($A18,TableHandbook[],4,FALSE)=0,"",VLOOKUP($A18,TableHandbook[],4,FALSE)),"")</f>
        <v/>
      </c>
      <c r="E18" s="156" t="str">
        <f t="shared" si="1"/>
        <v/>
      </c>
      <c r="F18" s="142" t="str">
        <f>IFERROR(IF(VLOOKUP($A18,TableHandbook[],6,FALSE)=0,"",VLOOKUP($A18,TableHandbook[],6,FALSE)),"")</f>
        <v/>
      </c>
      <c r="G18" s="156" t="str">
        <f>IFERROR(IF(VLOOKUP($A18,TableHandbook[],5,FALSE)=0,"",VLOOKUP($A18,TableHandbook[],5,FALSE)),"")</f>
        <v/>
      </c>
      <c r="H18" s="157" t="str">
        <f>IFERROR(VLOOKUP($A18,TableHandbook[],H$2,FALSE),"")</f>
        <v/>
      </c>
      <c r="I18" s="158" t="str">
        <f>IFERROR(VLOOKUP($A18,TableHandbook[],I$2,FALSE),"")</f>
        <v/>
      </c>
      <c r="J18" s="156" t="str">
        <f>IFERROR(VLOOKUP($A18,TableHandbook[],J$2,FALSE),"")</f>
        <v/>
      </c>
      <c r="K18" s="159" t="str">
        <f>IFERROR(VLOOKUP($A18,TableHandbook[],K$2,FALSE),"")</f>
        <v/>
      </c>
      <c r="L18" s="23"/>
      <c r="M18" s="146">
        <v>9</v>
      </c>
      <c r="N18" s="160"/>
      <c r="O18" s="160"/>
    </row>
    <row r="19" spans="1:16" s="133" customFormat="1" ht="21" x14ac:dyDescent="0.25">
      <c r="A19" s="126" t="s">
        <v>29</v>
      </c>
      <c r="B19" s="126"/>
      <c r="C19" s="126"/>
      <c r="D19" s="134" t="s">
        <v>3</v>
      </c>
      <c r="E19" s="135" t="s">
        <v>21</v>
      </c>
      <c r="F19" s="126" t="s">
        <v>22</v>
      </c>
      <c r="G19" s="126" t="s">
        <v>23</v>
      </c>
      <c r="H19" s="136" t="str">
        <f>H$9</f>
        <v>Sem1 BEN</v>
      </c>
      <c r="I19" s="137" t="str">
        <f t="shared" ref="I19:L19" si="2">I$9</f>
        <v>Sem1 FO</v>
      </c>
      <c r="J19" s="135" t="str">
        <f t="shared" si="2"/>
        <v>Sem2 BEN</v>
      </c>
      <c r="K19" s="138" t="str">
        <f t="shared" si="2"/>
        <v>Sem2 FO</v>
      </c>
      <c r="L19" s="210" t="str">
        <f t="shared" si="2"/>
        <v>Notes / Progress</v>
      </c>
      <c r="M19" s="163"/>
      <c r="N19" s="132"/>
      <c r="O19" s="132"/>
    </row>
    <row r="20" spans="1:16" s="148" customFormat="1" ht="20.100000000000001" customHeight="1" x14ac:dyDescent="0.15">
      <c r="A20" s="139" t="str">
        <f>IFERROR(IF(HLOOKUP($L$5,RangeUnitsets,M20,FALSE)=0,"",HLOOKUP($L$5,RangeUnitsets,M20,FALSE)),"")</f>
        <v/>
      </c>
      <c r="B20" s="156" t="str">
        <f>IFERROR(IF(VLOOKUP($A20,TableHandbook[],2,FALSE)=0,"",VLOOKUP($A20,TableHandbook[],2,FALSE)),"")</f>
        <v/>
      </c>
      <c r="C20" s="156" t="str">
        <f>IFERROR(IF(VLOOKUP($A20,TableHandbook[],3,FALSE)=0,"",VLOOKUP($A20,TableHandbook[],3,FALSE)),"")</f>
        <v/>
      </c>
      <c r="D20" s="164" t="str">
        <f>IFERROR(IF(VLOOKUP($A20,TableHandbook[],4,FALSE)=0,"",VLOOKUP($A20,TableHandbook[],4,FALSE)),"")</f>
        <v/>
      </c>
      <c r="E20" s="156" t="str">
        <f>IF(A20="","",VLOOKUP($D$7,TableStudyPeriod[],2,FALSE))</f>
        <v/>
      </c>
      <c r="F20" s="142" t="str">
        <f>IFERROR(IF(VLOOKUP($A20,TableHandbook[],6,FALSE)=0,"",VLOOKUP($A20,TableHandbook[],6,FALSE)),"")</f>
        <v/>
      </c>
      <c r="G20" s="140" t="str">
        <f>IFERROR(IF(VLOOKUP($A20,TableHandbook[],5,FALSE)=0,"",VLOOKUP($A20,TableHandbook[],5,FALSE)),"")</f>
        <v/>
      </c>
      <c r="H20" s="143" t="str">
        <f>IFERROR(VLOOKUP($A20,TableHandbook[],H$2,FALSE),"")</f>
        <v/>
      </c>
      <c r="I20" s="144" t="str">
        <f>IFERROR(VLOOKUP($A20,TableHandbook[],I$2,FALSE),"")</f>
        <v/>
      </c>
      <c r="J20" s="140" t="str">
        <f>IFERROR(VLOOKUP($A20,TableHandbook[],J$2,FALSE),"")</f>
        <v/>
      </c>
      <c r="K20" s="145" t="str">
        <f>IFERROR(VLOOKUP($A20,TableHandbook[],K$2,FALSE),"")</f>
        <v/>
      </c>
      <c r="L20" s="22"/>
      <c r="M20" s="146">
        <v>10</v>
      </c>
      <c r="N20" s="147"/>
      <c r="O20" s="147"/>
    </row>
    <row r="21" spans="1:16" s="148" customFormat="1" ht="20.100000000000001" customHeight="1" x14ac:dyDescent="0.15">
      <c r="A21" s="139" t="str">
        <f>IFERROR(IF(HLOOKUP($L$5,RangeUnitsets,M21,FALSE)=0,"",HLOOKUP($L$5,RangeUnitsets,M21,FALSE)),"")</f>
        <v/>
      </c>
      <c r="B21" s="156" t="str">
        <f>IFERROR(IF(VLOOKUP($A21,TableHandbook[],2,FALSE)=0,"",VLOOKUP($A21,TableHandbook[],2,FALSE)),"")</f>
        <v/>
      </c>
      <c r="C21" s="156" t="str">
        <f>IFERROR(IF(VLOOKUP($A21,TableHandbook[],3,FALSE)=0,"",VLOOKUP($A21,TableHandbook[],3,FALSE)),"")</f>
        <v/>
      </c>
      <c r="D21" s="162" t="str">
        <f>IFERROR(IF(VLOOKUP($A21,TableHandbook[],4,FALSE)=0,"",VLOOKUP($A21,TableHandbook[],4,FALSE)),"")</f>
        <v/>
      </c>
      <c r="E21" s="156" t="str">
        <f>IF(A21="","",E20)</f>
        <v/>
      </c>
      <c r="F21" s="142" t="str">
        <f>IFERROR(IF(VLOOKUP($A21,TableHandbook[],6,FALSE)=0,"",VLOOKUP($A21,TableHandbook[],6,FALSE)),"")</f>
        <v/>
      </c>
      <c r="G21" s="140" t="str">
        <f>IFERROR(IF(VLOOKUP($A21,TableHandbook[],5,FALSE)=0,"",VLOOKUP($A21,TableHandbook[],5,FALSE)),"")</f>
        <v/>
      </c>
      <c r="H21" s="143" t="str">
        <f>IFERROR(VLOOKUP($A21,TableHandbook[],H$2,FALSE),"")</f>
        <v/>
      </c>
      <c r="I21" s="144" t="str">
        <f>IFERROR(VLOOKUP($A21,TableHandbook[],I$2,FALSE),"")</f>
        <v/>
      </c>
      <c r="J21" s="140" t="str">
        <f>IFERROR(VLOOKUP($A21,TableHandbook[],J$2,FALSE),"")</f>
        <v/>
      </c>
      <c r="K21" s="145" t="str">
        <f>IFERROR(VLOOKUP($A21,TableHandbook[],K$2,FALSE),"")</f>
        <v/>
      </c>
      <c r="L21" s="22"/>
      <c r="M21" s="146">
        <v>11</v>
      </c>
      <c r="N21" s="147"/>
      <c r="O21" s="147"/>
    </row>
    <row r="22" spans="1:16" s="148" customFormat="1" ht="20.100000000000001" customHeight="1" x14ac:dyDescent="0.15">
      <c r="A22" s="139" t="str">
        <f>IFERROR(IF(HLOOKUP($L$5,RangeUnitsets,M22,FALSE)=0,"",HLOOKUP($L$5,RangeUnitsets,M22,FALSE)),"")</f>
        <v/>
      </c>
      <c r="B22" s="156" t="str">
        <f>IFERROR(IF(VLOOKUP($A22,TableHandbook[],2,FALSE)=0,"",VLOOKUP($A22,TableHandbook[],2,FALSE)),"")</f>
        <v/>
      </c>
      <c r="C22" s="156" t="str">
        <f>IFERROR(IF(VLOOKUP($A22,TableHandbook[],3,FALSE)=0,"",VLOOKUP($A22,TableHandbook[],3,FALSE)),"")</f>
        <v/>
      </c>
      <c r="D22" s="162" t="str">
        <f>IFERROR(IF(VLOOKUP($A22,TableHandbook[],4,FALSE)=0,"",VLOOKUP($A22,TableHandbook[],4,FALSE)),"")</f>
        <v/>
      </c>
      <c r="E22" s="156" t="str">
        <f t="shared" ref="E22:E23" si="3">IF(A22="","",E21)</f>
        <v/>
      </c>
      <c r="F22" s="142" t="str">
        <f>IFERROR(IF(VLOOKUP($A22,TableHandbook[],6,FALSE)=0,"",VLOOKUP($A22,TableHandbook[],6,FALSE)),"")</f>
        <v/>
      </c>
      <c r="G22" s="140" t="str">
        <f>IFERROR(IF(VLOOKUP($A22,TableHandbook[],5,FALSE)=0,"",VLOOKUP($A22,TableHandbook[],5,FALSE)),"")</f>
        <v/>
      </c>
      <c r="H22" s="143" t="str">
        <f>IFERROR(VLOOKUP($A22,TableHandbook[],H$2,FALSE),"")</f>
        <v/>
      </c>
      <c r="I22" s="144" t="str">
        <f>IFERROR(VLOOKUP($A22,TableHandbook[],I$2,FALSE),"")</f>
        <v/>
      </c>
      <c r="J22" s="140" t="str">
        <f>IFERROR(VLOOKUP($A22,TableHandbook[],J$2,FALSE),"")</f>
        <v/>
      </c>
      <c r="K22" s="145" t="str">
        <f>IFERROR(VLOOKUP($A22,TableHandbook[],K$2,FALSE),"")</f>
        <v/>
      </c>
      <c r="L22" s="22"/>
      <c r="M22" s="146">
        <v>12</v>
      </c>
      <c r="N22" s="147"/>
      <c r="O22" s="147"/>
    </row>
    <row r="23" spans="1:16" s="148" customFormat="1" ht="20.100000000000001" customHeight="1" x14ac:dyDescent="0.15">
      <c r="A23" s="139" t="str">
        <f>IFERROR(IF(HLOOKUP($L$5,RangeUnitsets,M23,FALSE)=0,"",HLOOKUP($L$5,RangeUnitsets,M23,FALSE)),"")</f>
        <v/>
      </c>
      <c r="B23" s="156" t="str">
        <f>IFERROR(IF(VLOOKUP($A23,TableHandbook[],2,FALSE)=0,"",VLOOKUP($A23,TableHandbook[],2,FALSE)),"")</f>
        <v/>
      </c>
      <c r="C23" s="156" t="str">
        <f>IFERROR(IF(VLOOKUP($A23,TableHandbook[],3,FALSE)=0,"",VLOOKUP($A23,TableHandbook[],3,FALSE)),"")</f>
        <v/>
      </c>
      <c r="D23" s="162" t="str">
        <f>IFERROR(IF(VLOOKUP($A23,TableHandbook[],4,FALSE)=0,"",VLOOKUP($A23,TableHandbook[],4,FALSE)),"")</f>
        <v/>
      </c>
      <c r="E23" s="156" t="str">
        <f t="shared" si="3"/>
        <v/>
      </c>
      <c r="F23" s="142" t="str">
        <f>IFERROR(IF(VLOOKUP($A23,TableHandbook[],6,FALSE)=0,"",VLOOKUP($A23,TableHandbook[],6,FALSE)),"")</f>
        <v/>
      </c>
      <c r="G23" s="140" t="str">
        <f>IFERROR(IF(VLOOKUP($A23,TableHandbook[],5,FALSE)=0,"",VLOOKUP($A23,TableHandbook[],5,FALSE)),"")</f>
        <v/>
      </c>
      <c r="H23" s="143" t="str">
        <f>IFERROR(VLOOKUP($A23,TableHandbook[],H$2,FALSE),"")</f>
        <v/>
      </c>
      <c r="I23" s="144" t="str">
        <f>IFERROR(VLOOKUP($A23,TableHandbook[],I$2,FALSE),"")</f>
        <v/>
      </c>
      <c r="J23" s="140" t="str">
        <f>IFERROR(VLOOKUP($A23,TableHandbook[],J$2,FALSE),"")</f>
        <v/>
      </c>
      <c r="K23" s="145" t="str">
        <f>IFERROR(VLOOKUP($A23,TableHandbook[],K$2,FALSE),"")</f>
        <v/>
      </c>
      <c r="L23" s="22"/>
      <c r="M23" s="146">
        <v>13</v>
      </c>
      <c r="N23" s="147"/>
      <c r="O23" s="147"/>
    </row>
    <row r="24" spans="1:16" s="148" customFormat="1" ht="5.0999999999999996" customHeight="1" x14ac:dyDescent="0.15">
      <c r="A24" s="149"/>
      <c r="B24" s="150"/>
      <c r="C24" s="150"/>
      <c r="D24" s="151"/>
      <c r="E24" s="150"/>
      <c r="F24" s="152"/>
      <c r="G24" s="150"/>
      <c r="H24" s="153"/>
      <c r="I24" s="154"/>
      <c r="J24" s="150"/>
      <c r="K24" s="155"/>
      <c r="L24" s="68"/>
      <c r="M24" s="146"/>
      <c r="N24" s="147"/>
      <c r="O24" s="147"/>
      <c r="P24" s="147"/>
    </row>
    <row r="25" spans="1:16" s="148" customFormat="1" ht="20.100000000000001" customHeight="1" x14ac:dyDescent="0.15">
      <c r="A25" s="139" t="str">
        <f>IFERROR(IF(HLOOKUP($L$5,RangeUnitsets,M25,FALSE)=0,"",HLOOKUP($L$5,RangeUnitsets,M25,FALSE)),"")</f>
        <v/>
      </c>
      <c r="B25" s="156" t="str">
        <f>IFERROR(IF(VLOOKUP($A25,TableHandbook[],2,FALSE)=0,"",VLOOKUP($A25,TableHandbook[],2,FALSE)),"")</f>
        <v/>
      </c>
      <c r="C25" s="156" t="str">
        <f>IFERROR(IF(VLOOKUP($A25,TableHandbook[],3,FALSE)=0,"",VLOOKUP($A25,TableHandbook[],3,FALSE)),"")</f>
        <v/>
      </c>
      <c r="D25" s="162" t="str">
        <f>IFERROR(IF(VLOOKUP($A25,TableHandbook[],4,FALSE)=0,"",VLOOKUP($A25,TableHandbook[],4,FALSE)),"")</f>
        <v/>
      </c>
      <c r="E25" s="156" t="str">
        <f>IF(A25="","",VLOOKUP($D$7,TableStudyPeriod[],3,FALSE))</f>
        <v/>
      </c>
      <c r="F25" s="142" t="str">
        <f>IFERROR(IF(VLOOKUP($A25,TableHandbook[],6,FALSE)=0,"",VLOOKUP($A25,TableHandbook[],6,FALSE)),"")</f>
        <v/>
      </c>
      <c r="G25" s="140" t="str">
        <f>IFERROR(IF(VLOOKUP($A25,TableHandbook[],5,FALSE)=0,"",VLOOKUP($A25,TableHandbook[],5,FALSE)),"")</f>
        <v/>
      </c>
      <c r="H25" s="143" t="str">
        <f>IFERROR(VLOOKUP($A25,TableHandbook[],H$2,FALSE),"")</f>
        <v/>
      </c>
      <c r="I25" s="144" t="str">
        <f>IFERROR(VLOOKUP($A25,TableHandbook[],I$2,FALSE),"")</f>
        <v/>
      </c>
      <c r="J25" s="140" t="str">
        <f>IFERROR(VLOOKUP($A25,TableHandbook[],J$2,FALSE),"")</f>
        <v/>
      </c>
      <c r="K25" s="145" t="str">
        <f>IFERROR(VLOOKUP($A25,TableHandbook[],K$2,FALSE),"")</f>
        <v/>
      </c>
      <c r="L25" s="22"/>
      <c r="M25" s="146">
        <v>14</v>
      </c>
      <c r="N25" s="147"/>
      <c r="O25" s="147"/>
    </row>
    <row r="26" spans="1:16" s="148" customFormat="1" ht="20.100000000000001" customHeight="1" x14ac:dyDescent="0.15">
      <c r="A26" s="139" t="str">
        <f>IFERROR(IF(HLOOKUP($L$5,RangeUnitsets,M26,FALSE)=0,"",HLOOKUP($L$5,RangeUnitsets,M26,FALSE)),"")</f>
        <v/>
      </c>
      <c r="B26" s="156" t="str">
        <f>IFERROR(IF(VLOOKUP($A26,TableHandbook[],2,FALSE)=0,"",VLOOKUP($A26,TableHandbook[],2,FALSE)),"")</f>
        <v/>
      </c>
      <c r="C26" s="156" t="str">
        <f>IFERROR(IF(VLOOKUP($A26,TableHandbook[],3,FALSE)=0,"",VLOOKUP($A26,TableHandbook[],3,FALSE)),"")</f>
        <v/>
      </c>
      <c r="D26" s="162" t="str">
        <f>IFERROR(IF(VLOOKUP($A26,TableHandbook[],4,FALSE)=0,"",VLOOKUP($A26,TableHandbook[],4,FALSE)),"")</f>
        <v/>
      </c>
      <c r="E26" s="156" t="str">
        <f>IF(A26="","",E25)</f>
        <v/>
      </c>
      <c r="F26" s="142" t="str">
        <f>IFERROR(IF(VLOOKUP($A26,TableHandbook[],6,FALSE)=0,"",VLOOKUP($A26,TableHandbook[],6,FALSE)),"")</f>
        <v/>
      </c>
      <c r="G26" s="140" t="str">
        <f>IFERROR(IF(VLOOKUP($A26,TableHandbook[],5,FALSE)=0,"",VLOOKUP($A26,TableHandbook[],5,FALSE)),"")</f>
        <v/>
      </c>
      <c r="H26" s="143" t="str">
        <f>IFERROR(VLOOKUP($A26,TableHandbook[],H$2,FALSE),"")</f>
        <v/>
      </c>
      <c r="I26" s="144" t="str">
        <f>IFERROR(VLOOKUP($A26,TableHandbook[],I$2,FALSE),"")</f>
        <v/>
      </c>
      <c r="J26" s="140" t="str">
        <f>IFERROR(VLOOKUP($A26,TableHandbook[],J$2,FALSE),"")</f>
        <v/>
      </c>
      <c r="K26" s="145" t="str">
        <f>IFERROR(VLOOKUP($A26,TableHandbook[],K$2,FALSE),"")</f>
        <v/>
      </c>
      <c r="L26" s="22"/>
      <c r="M26" s="146">
        <v>15</v>
      </c>
      <c r="N26" s="147"/>
      <c r="O26" s="147"/>
    </row>
    <row r="27" spans="1:16" s="161" customFormat="1" ht="20.100000000000001" customHeight="1" x14ac:dyDescent="0.15">
      <c r="A27" s="139" t="str">
        <f>IFERROR(IF(HLOOKUP($L$5,RangeUnitsets,M27,FALSE)=0,"",HLOOKUP($L$5,RangeUnitsets,M27,FALSE)),"")</f>
        <v/>
      </c>
      <c r="B27" s="156" t="str">
        <f>IFERROR(IF(VLOOKUP($A27,TableHandbook[],2,FALSE)=0,"",VLOOKUP($A27,TableHandbook[],2,FALSE)),"")</f>
        <v/>
      </c>
      <c r="C27" s="156" t="str">
        <f>IFERROR(IF(VLOOKUP($A27,TableHandbook[],3,FALSE)=0,"",VLOOKUP($A27,TableHandbook[],3,FALSE)),"")</f>
        <v/>
      </c>
      <c r="D27" s="162" t="str">
        <f>IFERROR(IF(VLOOKUP($A27,TableHandbook[],4,FALSE)=0,"",VLOOKUP($A27,TableHandbook[],4,FALSE)),"")</f>
        <v/>
      </c>
      <c r="E27" s="156" t="str">
        <f t="shared" ref="E27:E28" si="4">IF(A27="","",E26)</f>
        <v/>
      </c>
      <c r="F27" s="142" t="str">
        <f>IFERROR(IF(VLOOKUP($A27,TableHandbook[],6,FALSE)=0,"",VLOOKUP($A27,TableHandbook[],6,FALSE)),"")</f>
        <v/>
      </c>
      <c r="G27" s="140" t="str">
        <f>IFERROR(IF(VLOOKUP($A27,TableHandbook[],5,FALSE)=0,"",VLOOKUP($A27,TableHandbook[],5,FALSE)),"")</f>
        <v/>
      </c>
      <c r="H27" s="143" t="str">
        <f>IFERROR(VLOOKUP($A27,TableHandbook[],H$2,FALSE),"")</f>
        <v/>
      </c>
      <c r="I27" s="144" t="str">
        <f>IFERROR(VLOOKUP($A27,TableHandbook[],I$2,FALSE),"")</f>
        <v/>
      </c>
      <c r="J27" s="140" t="str">
        <f>IFERROR(VLOOKUP($A27,TableHandbook[],J$2,FALSE),"")</f>
        <v/>
      </c>
      <c r="K27" s="145" t="str">
        <f>IFERROR(VLOOKUP($A27,TableHandbook[],K$2,FALSE),"")</f>
        <v/>
      </c>
      <c r="L27" s="22"/>
      <c r="M27" s="146">
        <v>16</v>
      </c>
      <c r="N27" s="160"/>
      <c r="O27" s="160"/>
    </row>
    <row r="28" spans="1:16" s="161" customFormat="1" ht="20.100000000000001" customHeight="1" x14ac:dyDescent="0.15">
      <c r="A28" s="139" t="str">
        <f>IFERROR(IF(HLOOKUP($L$5,RangeUnitsets,M28,FALSE)=0,"",HLOOKUP($L$5,RangeUnitsets,M28,FALSE)),"")</f>
        <v/>
      </c>
      <c r="B28" s="156" t="str">
        <f>IFERROR(IF(VLOOKUP($A28,TableHandbook[],2,FALSE)=0,"",VLOOKUP($A28,TableHandbook[],2,FALSE)),"")</f>
        <v/>
      </c>
      <c r="C28" s="156" t="str">
        <f>IFERROR(IF(VLOOKUP($A28,TableHandbook[],3,FALSE)=0,"",VLOOKUP($A28,TableHandbook[],3,FALSE)),"")</f>
        <v/>
      </c>
      <c r="D28" s="162" t="str">
        <f>IFERROR(IF(VLOOKUP($A28,TableHandbook[],4,FALSE)=0,"",VLOOKUP($A28,TableHandbook[],4,FALSE)),"")</f>
        <v/>
      </c>
      <c r="E28" s="140" t="str">
        <f t="shared" si="4"/>
        <v/>
      </c>
      <c r="F28" s="142" t="str">
        <f>IFERROR(IF(VLOOKUP($A28,TableHandbook[],6,FALSE)=0,"",VLOOKUP($A28,TableHandbook[],6,FALSE)),"")</f>
        <v/>
      </c>
      <c r="G28" s="140" t="str">
        <f>IFERROR(IF(VLOOKUP($A28,TableHandbook[],5,FALSE)=0,"",VLOOKUP($A28,TableHandbook[],5,FALSE)),"")</f>
        <v/>
      </c>
      <c r="H28" s="143" t="str">
        <f>IFERROR(VLOOKUP($A28,TableHandbook[],H$2,FALSE),"")</f>
        <v/>
      </c>
      <c r="I28" s="144" t="str">
        <f>IFERROR(VLOOKUP($A28,TableHandbook[],I$2,FALSE),"")</f>
        <v/>
      </c>
      <c r="J28" s="140" t="str">
        <f>IFERROR(VLOOKUP($A28,TableHandbook[],J$2,FALSE),"")</f>
        <v/>
      </c>
      <c r="K28" s="145" t="str">
        <f>IFERROR(VLOOKUP($A28,TableHandbook[],K$2,FALSE),"")</f>
        <v/>
      </c>
      <c r="L28" s="22"/>
      <c r="M28" s="146">
        <v>17</v>
      </c>
      <c r="N28" s="160"/>
      <c r="O28" s="160"/>
    </row>
    <row r="29" spans="1:16" s="133" customFormat="1" ht="21" x14ac:dyDescent="0.25">
      <c r="A29" s="126" t="s">
        <v>30</v>
      </c>
      <c r="B29" s="126"/>
      <c r="C29" s="126"/>
      <c r="D29" s="134" t="s">
        <v>3</v>
      </c>
      <c r="E29" s="135" t="s">
        <v>21</v>
      </c>
      <c r="F29" s="126" t="s">
        <v>22</v>
      </c>
      <c r="G29" s="126" t="s">
        <v>23</v>
      </c>
      <c r="H29" s="136" t="str">
        <f>H$9</f>
        <v>Sem1 BEN</v>
      </c>
      <c r="I29" s="137" t="str">
        <f t="shared" ref="I29:L29" si="5">I$9</f>
        <v>Sem1 FO</v>
      </c>
      <c r="J29" s="135" t="str">
        <f t="shared" si="5"/>
        <v>Sem2 BEN</v>
      </c>
      <c r="K29" s="138" t="str">
        <f t="shared" si="5"/>
        <v>Sem2 FO</v>
      </c>
      <c r="L29" s="210" t="str">
        <f t="shared" si="5"/>
        <v>Notes / Progress</v>
      </c>
      <c r="M29" s="163"/>
      <c r="N29" s="132"/>
      <c r="O29" s="132"/>
    </row>
    <row r="30" spans="1:16" s="148" customFormat="1" ht="19.5" customHeight="1" x14ac:dyDescent="0.15">
      <c r="A30" s="139" t="str">
        <f>IFERROR(IF(HLOOKUP($L$5,RangeUnitsets,M30,FALSE)=0,"",HLOOKUP($L$5,RangeUnitsets,M30,FALSE)),"")</f>
        <v/>
      </c>
      <c r="B30" s="156" t="str">
        <f>IFERROR(IF(VLOOKUP($A30,TableHandbook[],2,FALSE)=0,"",VLOOKUP($A30,TableHandbook[],2,FALSE)),"")</f>
        <v/>
      </c>
      <c r="C30" s="156" t="str">
        <f>IFERROR(IF(VLOOKUP($A30,TableHandbook[],3,FALSE)=0,"",VLOOKUP($A30,TableHandbook[],3,FALSE)),"")</f>
        <v/>
      </c>
      <c r="D30" s="164" t="str">
        <f>IFERROR(IF(VLOOKUP($A30,TableHandbook[],4,FALSE)=0,"",VLOOKUP($A30,TableHandbook[],4,FALSE)),"")</f>
        <v/>
      </c>
      <c r="E30" s="156" t="str">
        <f>IF(A30="","",VLOOKUP($D$7,TableStudyPeriod[],2,FALSE))</f>
        <v/>
      </c>
      <c r="F30" s="142" t="str">
        <f>IFERROR(IF(VLOOKUP($A30,TableHandbook[],6,FALSE)=0,"",VLOOKUP($A30,TableHandbook[],6,FALSE)),"")</f>
        <v/>
      </c>
      <c r="G30" s="140" t="str">
        <f>IFERROR(IF(VLOOKUP($A30,TableHandbook[],5,FALSE)=0,"",VLOOKUP($A30,TableHandbook[],5,FALSE)),"")</f>
        <v/>
      </c>
      <c r="H30" s="143" t="str">
        <f>IFERROR(VLOOKUP($A30,TableHandbook[],H$2,FALSE),"")</f>
        <v/>
      </c>
      <c r="I30" s="144" t="str">
        <f>IFERROR(VLOOKUP($A30,TableHandbook[],I$2,FALSE),"")</f>
        <v/>
      </c>
      <c r="J30" s="140" t="str">
        <f>IFERROR(VLOOKUP($A30,TableHandbook[],J$2,FALSE),"")</f>
        <v/>
      </c>
      <c r="K30" s="145" t="str">
        <f>IFERROR(VLOOKUP($A30,TableHandbook[],K$2,FALSE),"")</f>
        <v/>
      </c>
      <c r="L30" s="22"/>
      <c r="M30" s="146">
        <v>18</v>
      </c>
      <c r="N30" s="147"/>
      <c r="O30" s="147"/>
    </row>
    <row r="31" spans="1:16" s="148" customFormat="1" ht="19.5" customHeight="1" x14ac:dyDescent="0.15">
      <c r="A31" s="139" t="str">
        <f>IFERROR(IF(HLOOKUP($L$5,RangeUnitsets,M31,FALSE)=0,"",HLOOKUP($L$5,RangeUnitsets,M31,FALSE)),"")</f>
        <v/>
      </c>
      <c r="B31" s="156" t="str">
        <f>IFERROR(IF(VLOOKUP($A31,TableHandbook[],2,FALSE)=0,"",VLOOKUP($A31,TableHandbook[],2,FALSE)),"")</f>
        <v/>
      </c>
      <c r="C31" s="156" t="str">
        <f>IFERROR(IF(VLOOKUP($A31,TableHandbook[],3,FALSE)=0,"",VLOOKUP($A31,TableHandbook[],3,FALSE)),"")</f>
        <v/>
      </c>
      <c r="D31" s="162" t="str">
        <f>IFERROR(IF(VLOOKUP($A31,TableHandbook[],4,FALSE)=0,"",VLOOKUP($A31,TableHandbook[],4,FALSE)),"")</f>
        <v/>
      </c>
      <c r="E31" s="156" t="str">
        <f>IF(A31="","",E30)</f>
        <v/>
      </c>
      <c r="F31" s="142" t="str">
        <f>IFERROR(IF(VLOOKUP($A31,TableHandbook[],6,FALSE)=0,"",VLOOKUP($A31,TableHandbook[],6,FALSE)),"")</f>
        <v/>
      </c>
      <c r="G31" s="140" t="str">
        <f>IFERROR(IF(VLOOKUP($A31,TableHandbook[],5,FALSE)=0,"",VLOOKUP($A31,TableHandbook[],5,FALSE)),"")</f>
        <v/>
      </c>
      <c r="H31" s="143" t="str">
        <f>IFERROR(VLOOKUP($A31,TableHandbook[],H$2,FALSE),"")</f>
        <v/>
      </c>
      <c r="I31" s="144" t="str">
        <f>IFERROR(VLOOKUP($A31,TableHandbook[],I$2,FALSE),"")</f>
        <v/>
      </c>
      <c r="J31" s="140" t="str">
        <f>IFERROR(VLOOKUP($A31,TableHandbook[],J$2,FALSE),"")</f>
        <v/>
      </c>
      <c r="K31" s="145" t="str">
        <f>IFERROR(VLOOKUP($A31,TableHandbook[],K$2,FALSE),"")</f>
        <v/>
      </c>
      <c r="L31" s="22"/>
      <c r="M31" s="146">
        <v>19</v>
      </c>
      <c r="N31" s="147"/>
      <c r="O31" s="147"/>
    </row>
    <row r="32" spans="1:16" s="148" customFormat="1" ht="19.5" customHeight="1" x14ac:dyDescent="0.15">
      <c r="A32" s="139" t="str">
        <f>IFERROR(IF(HLOOKUP($L$5,RangeUnitsets,M32,FALSE)=0,"",HLOOKUP($L$5,RangeUnitsets,M32,FALSE)),"")</f>
        <v/>
      </c>
      <c r="B32" s="156" t="str">
        <f>IFERROR(IF(VLOOKUP($A32,TableHandbook[],2,FALSE)=0,"",VLOOKUP($A32,TableHandbook[],2,FALSE)),"")</f>
        <v/>
      </c>
      <c r="C32" s="156" t="str">
        <f>IFERROR(IF(VLOOKUP($A32,TableHandbook[],3,FALSE)=0,"",VLOOKUP($A32,TableHandbook[],3,FALSE)),"")</f>
        <v/>
      </c>
      <c r="D32" s="162" t="str">
        <f>IFERROR(IF(VLOOKUP($A32,TableHandbook[],4,FALSE)=0,"",VLOOKUP($A32,TableHandbook[],4,FALSE)),"")</f>
        <v/>
      </c>
      <c r="E32" s="156" t="str">
        <f t="shared" ref="E32:E33" si="6">IF(A32="","",E31)</f>
        <v/>
      </c>
      <c r="F32" s="142" t="str">
        <f>IFERROR(IF(VLOOKUP($A32,TableHandbook[],6,FALSE)=0,"",VLOOKUP($A32,TableHandbook[],6,FALSE)),"")</f>
        <v/>
      </c>
      <c r="G32" s="140" t="str">
        <f>IFERROR(IF(VLOOKUP($A32,TableHandbook[],5,FALSE)=0,"",VLOOKUP($A32,TableHandbook[],5,FALSE)),"")</f>
        <v/>
      </c>
      <c r="H32" s="143" t="str">
        <f>IFERROR(VLOOKUP($A32,TableHandbook[],H$2,FALSE),"")</f>
        <v/>
      </c>
      <c r="I32" s="144" t="str">
        <f>IFERROR(VLOOKUP($A32,TableHandbook[],I$2,FALSE),"")</f>
        <v/>
      </c>
      <c r="J32" s="140" t="str">
        <f>IFERROR(VLOOKUP($A32,TableHandbook[],J$2,FALSE),"")</f>
        <v/>
      </c>
      <c r="K32" s="145" t="str">
        <f>IFERROR(VLOOKUP($A32,TableHandbook[],K$2,FALSE),"")</f>
        <v/>
      </c>
      <c r="L32" s="22"/>
      <c r="M32" s="146">
        <v>20</v>
      </c>
      <c r="N32" s="147"/>
      <c r="O32" s="147"/>
    </row>
    <row r="33" spans="1:16" s="148" customFormat="1" ht="19.5" customHeight="1" x14ac:dyDescent="0.15">
      <c r="A33" s="139" t="str">
        <f>IFERROR(IF(HLOOKUP($L$5,RangeUnitsets,M33,FALSE)=0,"",HLOOKUP($L$5,RangeUnitsets,M33,FALSE)),"")</f>
        <v/>
      </c>
      <c r="B33" s="156" t="str">
        <f>IFERROR(IF(VLOOKUP($A33,TableHandbook[],2,FALSE)=0,"",VLOOKUP($A33,TableHandbook[],2,FALSE)),"")</f>
        <v/>
      </c>
      <c r="C33" s="156" t="str">
        <f>IFERROR(IF(VLOOKUP($A33,TableHandbook[],3,FALSE)=0,"",VLOOKUP($A33,TableHandbook[],3,FALSE)),"")</f>
        <v/>
      </c>
      <c r="D33" s="162" t="str">
        <f>IFERROR(IF(VLOOKUP($A33,TableHandbook[],4,FALSE)=0,"",VLOOKUP($A33,TableHandbook[],4,FALSE)),"")</f>
        <v/>
      </c>
      <c r="E33" s="156" t="str">
        <f t="shared" si="6"/>
        <v/>
      </c>
      <c r="F33" s="142" t="str">
        <f>IFERROR(IF(VLOOKUP($A33,TableHandbook[],6,FALSE)=0,"",VLOOKUP($A33,TableHandbook[],6,FALSE)),"")</f>
        <v/>
      </c>
      <c r="G33" s="140" t="str">
        <f>IFERROR(IF(VLOOKUP($A33,TableHandbook[],5,FALSE)=0,"",VLOOKUP($A33,TableHandbook[],5,FALSE)),"")</f>
        <v/>
      </c>
      <c r="H33" s="143" t="str">
        <f>IFERROR(VLOOKUP($A33,TableHandbook[],H$2,FALSE),"")</f>
        <v/>
      </c>
      <c r="I33" s="144" t="str">
        <f>IFERROR(VLOOKUP($A33,TableHandbook[],I$2,FALSE),"")</f>
        <v/>
      </c>
      <c r="J33" s="140" t="str">
        <f>IFERROR(VLOOKUP($A33,TableHandbook[],J$2,FALSE),"")</f>
        <v/>
      </c>
      <c r="K33" s="145" t="str">
        <f>IFERROR(VLOOKUP($A33,TableHandbook[],K$2,FALSE),"")</f>
        <v/>
      </c>
      <c r="L33" s="22"/>
      <c r="M33" s="146">
        <v>21</v>
      </c>
      <c r="N33" s="147"/>
      <c r="O33" s="147"/>
    </row>
    <row r="34" spans="1:16" s="148" customFormat="1" ht="5.0999999999999996" customHeight="1" x14ac:dyDescent="0.15">
      <c r="A34" s="149"/>
      <c r="B34" s="150"/>
      <c r="C34" s="150"/>
      <c r="D34" s="151"/>
      <c r="E34" s="150"/>
      <c r="F34" s="152"/>
      <c r="G34" s="150"/>
      <c r="H34" s="153"/>
      <c r="I34" s="154"/>
      <c r="J34" s="150"/>
      <c r="K34" s="155"/>
      <c r="L34" s="68"/>
      <c r="M34" s="146"/>
      <c r="N34" s="147"/>
      <c r="O34" s="147"/>
      <c r="P34" s="147"/>
    </row>
    <row r="35" spans="1:16" s="148" customFormat="1" ht="19.5" customHeight="1" x14ac:dyDescent="0.15">
      <c r="A35" s="139" t="str">
        <f>IFERROR(IF(HLOOKUP($L$5,RangeUnitsets,M35,FALSE)=0,"",HLOOKUP($L$5,RangeUnitsets,M35,FALSE)),"")</f>
        <v/>
      </c>
      <c r="B35" s="156" t="str">
        <f>IFERROR(IF(VLOOKUP($A35,TableHandbook[],2,FALSE)=0,"",VLOOKUP($A35,TableHandbook[],2,FALSE)),"")</f>
        <v/>
      </c>
      <c r="C35" s="156" t="str">
        <f>IFERROR(IF(VLOOKUP($A35,TableHandbook[],3,FALSE)=0,"",VLOOKUP($A35,TableHandbook[],3,FALSE)),"")</f>
        <v/>
      </c>
      <c r="D35" s="162" t="str">
        <f>IFERROR(IF(VLOOKUP($A35,TableHandbook[],4,FALSE)=0,"",VLOOKUP($A35,TableHandbook[],4,FALSE)),"")</f>
        <v/>
      </c>
      <c r="E35" s="156" t="str">
        <f>IF(A35="","",VLOOKUP($D$7,TableStudyPeriod[],3,FALSE))</f>
        <v/>
      </c>
      <c r="F35" s="142" t="str">
        <f>IFERROR(IF(VLOOKUP($A35,TableHandbook[],6,FALSE)=0,"",VLOOKUP($A35,TableHandbook[],6,FALSE)),"")</f>
        <v/>
      </c>
      <c r="G35" s="140" t="str">
        <f>IFERROR(IF(VLOOKUP($A35,TableHandbook[],5,FALSE)=0,"",VLOOKUP($A35,TableHandbook[],5,FALSE)),"")</f>
        <v/>
      </c>
      <c r="H35" s="143" t="str">
        <f>IFERROR(VLOOKUP($A35,TableHandbook[],H$2,FALSE),"")</f>
        <v/>
      </c>
      <c r="I35" s="144" t="str">
        <f>IFERROR(VLOOKUP($A35,TableHandbook[],I$2,FALSE),"")</f>
        <v/>
      </c>
      <c r="J35" s="140" t="str">
        <f>IFERROR(VLOOKUP($A35,TableHandbook[],J$2,FALSE),"")</f>
        <v/>
      </c>
      <c r="K35" s="145" t="str">
        <f>IFERROR(VLOOKUP($A35,TableHandbook[],K$2,FALSE),"")</f>
        <v/>
      </c>
      <c r="L35" s="22"/>
      <c r="M35" s="146">
        <v>22</v>
      </c>
      <c r="N35" s="147"/>
      <c r="O35" s="147"/>
    </row>
    <row r="36" spans="1:16" s="148" customFormat="1" ht="19.5" customHeight="1" x14ac:dyDescent="0.15">
      <c r="A36" s="139" t="str">
        <f>IFERROR(IF(HLOOKUP($L$5,RangeUnitsets,M36,FALSE)=0,"",HLOOKUP($L$5,RangeUnitsets,M36,FALSE)),"")</f>
        <v/>
      </c>
      <c r="B36" s="156" t="str">
        <f>IFERROR(IF(VLOOKUP($A36,TableHandbook[],2,FALSE)=0,"",VLOOKUP($A36,TableHandbook[],2,FALSE)),"")</f>
        <v/>
      </c>
      <c r="C36" s="156" t="str">
        <f>IFERROR(IF(VLOOKUP($A36,TableHandbook[],3,FALSE)=0,"",VLOOKUP($A36,TableHandbook[],3,FALSE)),"")</f>
        <v/>
      </c>
      <c r="D36" s="162" t="str">
        <f>IFERROR(IF(VLOOKUP($A36,TableHandbook[],4,FALSE)=0,"",VLOOKUP($A36,TableHandbook[],4,FALSE)),"")</f>
        <v/>
      </c>
      <c r="E36" s="156" t="str">
        <f>IF(A36="","",E35)</f>
        <v/>
      </c>
      <c r="F36" s="142" t="str">
        <f>IFERROR(IF(VLOOKUP($A36,TableHandbook[],6,FALSE)=0,"",VLOOKUP($A36,TableHandbook[],6,FALSE)),"")</f>
        <v/>
      </c>
      <c r="G36" s="140" t="str">
        <f>IFERROR(IF(VLOOKUP($A36,TableHandbook[],5,FALSE)=0,"",VLOOKUP($A36,TableHandbook[],5,FALSE)),"")</f>
        <v/>
      </c>
      <c r="H36" s="143" t="str">
        <f>IFERROR(VLOOKUP($A36,TableHandbook[],H$2,FALSE),"")</f>
        <v/>
      </c>
      <c r="I36" s="144" t="str">
        <f>IFERROR(VLOOKUP($A36,TableHandbook[],I$2,FALSE),"")</f>
        <v/>
      </c>
      <c r="J36" s="140" t="str">
        <f>IFERROR(VLOOKUP($A36,TableHandbook[],J$2,FALSE),"")</f>
        <v/>
      </c>
      <c r="K36" s="145" t="str">
        <f>IFERROR(VLOOKUP($A36,TableHandbook[],K$2,FALSE),"")</f>
        <v/>
      </c>
      <c r="L36" s="22"/>
      <c r="M36" s="146">
        <v>23</v>
      </c>
      <c r="N36" s="147"/>
      <c r="O36" s="147"/>
    </row>
    <row r="37" spans="1:16" s="161" customFormat="1" ht="19.5" customHeight="1" x14ac:dyDescent="0.15">
      <c r="A37" s="139" t="str">
        <f>IFERROR(IF(HLOOKUP($L$5,RangeUnitsets,M37,FALSE)=0,"",HLOOKUP($L$5,RangeUnitsets,M37,FALSE)),"")</f>
        <v/>
      </c>
      <c r="B37" s="156" t="str">
        <f>IFERROR(IF(VLOOKUP($A37,TableHandbook[],2,FALSE)=0,"",VLOOKUP($A37,TableHandbook[],2,FALSE)),"")</f>
        <v/>
      </c>
      <c r="C37" s="156" t="str">
        <f>IFERROR(IF(VLOOKUP($A37,TableHandbook[],3,FALSE)=0,"",VLOOKUP($A37,TableHandbook[],3,FALSE)),"")</f>
        <v/>
      </c>
      <c r="D37" s="162" t="str">
        <f>IFERROR(IF(VLOOKUP($A37,TableHandbook[],4,FALSE)=0,"",VLOOKUP($A37,TableHandbook[],4,FALSE)),"")</f>
        <v/>
      </c>
      <c r="E37" s="156" t="str">
        <f t="shared" ref="E37:E38" si="7">IF(A37="","",E36)</f>
        <v/>
      </c>
      <c r="F37" s="142" t="str">
        <f>IFERROR(IF(VLOOKUP($A37,TableHandbook[],6,FALSE)=0,"",VLOOKUP($A37,TableHandbook[],6,FALSE)),"")</f>
        <v/>
      </c>
      <c r="G37" s="140" t="str">
        <f>IFERROR(IF(VLOOKUP($A37,TableHandbook[],5,FALSE)=0,"",VLOOKUP($A37,TableHandbook[],5,FALSE)),"")</f>
        <v/>
      </c>
      <c r="H37" s="143" t="str">
        <f>IFERROR(VLOOKUP($A37,TableHandbook[],H$2,FALSE),"")</f>
        <v/>
      </c>
      <c r="I37" s="144" t="str">
        <f>IFERROR(VLOOKUP($A37,TableHandbook[],I$2,FALSE),"")</f>
        <v/>
      </c>
      <c r="J37" s="140" t="str">
        <f>IFERROR(VLOOKUP($A37,TableHandbook[],J$2,FALSE),"")</f>
        <v/>
      </c>
      <c r="K37" s="145" t="str">
        <f>IFERROR(VLOOKUP($A37,TableHandbook[],K$2,FALSE),"")</f>
        <v/>
      </c>
      <c r="L37" s="22"/>
      <c r="M37" s="146">
        <v>24</v>
      </c>
      <c r="N37" s="160"/>
      <c r="O37" s="160"/>
    </row>
    <row r="38" spans="1:16" s="161" customFormat="1" ht="19.5" customHeight="1" x14ac:dyDescent="0.15">
      <c r="A38" s="139" t="str">
        <f>IFERROR(IF(HLOOKUP($L$5,RangeUnitsets,M38,FALSE)=0,"",HLOOKUP($L$5,RangeUnitsets,M38,FALSE)),"")</f>
        <v/>
      </c>
      <c r="B38" s="156" t="str">
        <f>IFERROR(IF(VLOOKUP($A38,TableHandbook[],2,FALSE)=0,"",VLOOKUP($A38,TableHandbook[],2,FALSE)),"")</f>
        <v/>
      </c>
      <c r="C38" s="156" t="str">
        <f>IFERROR(IF(VLOOKUP($A38,TableHandbook[],3,FALSE)=0,"",VLOOKUP($A38,TableHandbook[],3,FALSE)),"")</f>
        <v/>
      </c>
      <c r="D38" s="162" t="str">
        <f>IFERROR(IF(VLOOKUP($A38,TableHandbook[],4,FALSE)=0,"",VLOOKUP($A38,TableHandbook[],4,FALSE)),"")</f>
        <v/>
      </c>
      <c r="E38" s="140" t="str">
        <f t="shared" si="7"/>
        <v/>
      </c>
      <c r="F38" s="142" t="str">
        <f>IFERROR(IF(VLOOKUP($A38,TableHandbook[],6,FALSE)=0,"",VLOOKUP($A38,TableHandbook[],6,FALSE)),"")</f>
        <v/>
      </c>
      <c r="G38" s="140" t="str">
        <f>IFERROR(IF(VLOOKUP($A38,TableHandbook[],5,FALSE)=0,"",VLOOKUP($A38,TableHandbook[],5,FALSE)),"")</f>
        <v/>
      </c>
      <c r="H38" s="143" t="str">
        <f>IFERROR(VLOOKUP($A38,TableHandbook[],H$2,FALSE),"")</f>
        <v/>
      </c>
      <c r="I38" s="144" t="str">
        <f>IFERROR(VLOOKUP($A38,TableHandbook[],I$2,FALSE),"")</f>
        <v/>
      </c>
      <c r="J38" s="140" t="str">
        <f>IFERROR(VLOOKUP($A38,TableHandbook[],J$2,FALSE),"")</f>
        <v/>
      </c>
      <c r="K38" s="145" t="str">
        <f>IFERROR(VLOOKUP($A38,TableHandbook[],K$2,FALSE),"")</f>
        <v/>
      </c>
      <c r="L38" s="22"/>
      <c r="M38" s="146">
        <v>25</v>
      </c>
      <c r="N38" s="160"/>
      <c r="O38" s="160"/>
    </row>
    <row r="39" spans="1:16" s="170" customFormat="1" ht="13.9" customHeight="1" x14ac:dyDescent="0.2">
      <c r="A39" s="165"/>
      <c r="B39" s="165"/>
      <c r="C39" s="165"/>
      <c r="D39" s="166"/>
      <c r="E39" s="166"/>
      <c r="F39" s="167"/>
      <c r="G39" s="167"/>
      <c r="H39" s="167"/>
      <c r="I39" s="167"/>
      <c r="J39" s="167"/>
      <c r="K39" s="167"/>
      <c r="L39" s="167"/>
      <c r="M39" s="168"/>
      <c r="N39" s="169"/>
      <c r="O39" s="169"/>
    </row>
    <row r="40" spans="1:16" ht="25.5" x14ac:dyDescent="0.25">
      <c r="A40" s="171" t="s">
        <v>31</v>
      </c>
      <c r="B40" s="172"/>
      <c r="C40" s="172"/>
      <c r="D40" s="173"/>
      <c r="E40" s="174"/>
      <c r="F40" s="174"/>
      <c r="G40" s="174"/>
      <c r="H40" s="175" t="str">
        <f>H8</f>
        <v>2025 Availabilities</v>
      </c>
      <c r="I40" s="176"/>
      <c r="J40" s="177"/>
      <c r="K40" s="178"/>
      <c r="L40" s="179"/>
      <c r="M40" s="180"/>
    </row>
    <row r="41" spans="1:16" s="185" customFormat="1" ht="21" x14ac:dyDescent="0.25">
      <c r="A41" s="181" t="str">
        <f>D6</f>
        <v>Choose your Specialisation (drop-down list)</v>
      </c>
      <c r="B41" s="182"/>
      <c r="C41" s="182"/>
      <c r="D41" s="183"/>
      <c r="E41" s="184"/>
      <c r="F41" s="184" t="s">
        <v>22</v>
      </c>
      <c r="G41" s="184" t="s">
        <v>23</v>
      </c>
      <c r="H41" s="136" t="str">
        <f>H$9</f>
        <v>Sem1 BEN</v>
      </c>
      <c r="I41" s="137" t="str">
        <f t="shared" ref="I41:L41" si="8">I$9</f>
        <v>Sem1 FO</v>
      </c>
      <c r="J41" s="135" t="str">
        <f t="shared" si="8"/>
        <v>Sem2 BEN</v>
      </c>
      <c r="K41" s="138" t="str">
        <f t="shared" si="8"/>
        <v>Sem2 FO</v>
      </c>
      <c r="L41" s="126" t="str">
        <f t="shared" si="8"/>
        <v>Notes / Progress</v>
      </c>
      <c r="M41" s="180"/>
    </row>
    <row r="42" spans="1:16" s="185" customFormat="1" ht="30" customHeight="1" x14ac:dyDescent="0.25">
      <c r="A42" s="186" t="s">
        <v>32</v>
      </c>
      <c r="B42" s="187"/>
      <c r="C42" s="187"/>
      <c r="D42" s="188"/>
      <c r="E42" s="189"/>
      <c r="F42" s="189"/>
      <c r="G42" s="189"/>
      <c r="H42" s="190"/>
      <c r="I42" s="191"/>
      <c r="J42" s="192"/>
      <c r="K42" s="193"/>
      <c r="L42" s="211"/>
      <c r="M42" s="180"/>
    </row>
    <row r="43" spans="1:16" x14ac:dyDescent="0.25">
      <c r="A43" s="194" t="str">
        <f t="shared" ref="A43:A63" si="9">IFERROR(IF(HLOOKUP($L$6,RangeSpecSets,M43,FALSE)=0,"",HLOOKUP($L$6,RangeSpecSets,M43,FALSE)),"")</f>
        <v/>
      </c>
      <c r="B43" s="195" t="str">
        <f>IFERROR(IF(VLOOKUP($A43,TableHandbook[],2,FALSE)=0,"",VLOOKUP($A43,TableHandbook[],2,FALSE)),"")</f>
        <v/>
      </c>
      <c r="C43" s="195" t="str">
        <f>IFERROR(IF(VLOOKUP($A43,TableHandbook[],3,FALSE)=0,"",VLOOKUP($A43,TableHandbook[],3,FALSE)),"")</f>
        <v/>
      </c>
      <c r="D43" s="196" t="str">
        <f>IFERROR(IF(VLOOKUP($A43,TableHandbook[],4,FALSE)=0,"",VLOOKUP($A43,TableHandbook[],4,FALSE)),"")</f>
        <v/>
      </c>
      <c r="E43" s="197"/>
      <c r="F43" s="142" t="str">
        <f>IFERROR(IF(VLOOKUP($A43,TableHandbook[],6,FALSE)=0,"",VLOOKUP($A43,TableHandbook[],6,FALSE)),"")</f>
        <v/>
      </c>
      <c r="G43" s="198" t="str">
        <f>IFERROR(IF(VLOOKUP($A43,TableHandbook[],5,FALSE)=0,"",VLOOKUP($A43,TableHandbook[],5,FALSE)),"")</f>
        <v/>
      </c>
      <c r="H43" s="199" t="str">
        <f>IFERROR(VLOOKUP($A43,TableHandbook[],H$2,FALSE),"")</f>
        <v/>
      </c>
      <c r="I43" s="200" t="str">
        <f>IFERROR(VLOOKUP($A43,TableHandbook[],I$2,FALSE),"")</f>
        <v/>
      </c>
      <c r="J43" s="201" t="str">
        <f>IFERROR(VLOOKUP($A43,TableHandbook[],J$2,FALSE),"")</f>
        <v/>
      </c>
      <c r="K43" s="202" t="str">
        <f>IFERROR(VLOOKUP($A43,TableHandbook[],K$2,FALSE),"")</f>
        <v/>
      </c>
      <c r="L43" s="23"/>
      <c r="M43" s="146">
        <v>2</v>
      </c>
    </row>
    <row r="44" spans="1:16" x14ac:dyDescent="0.25">
      <c r="A44" s="194" t="str">
        <f t="shared" si="9"/>
        <v/>
      </c>
      <c r="B44" s="195" t="str">
        <f>IFERROR(IF(VLOOKUP($A44,TableHandbook[],2,FALSE)=0,"",VLOOKUP($A44,TableHandbook[],2,FALSE)),"")</f>
        <v/>
      </c>
      <c r="C44" s="195" t="str">
        <f>IFERROR(IF(VLOOKUP($A44,TableHandbook[],3,FALSE)=0,"",VLOOKUP($A44,TableHandbook[],3,FALSE)),"")</f>
        <v/>
      </c>
      <c r="D44" s="196" t="str">
        <f>IFERROR(IF(VLOOKUP($A44,TableHandbook[],4,FALSE)=0,"",VLOOKUP($A44,TableHandbook[],4,FALSE)),"")</f>
        <v/>
      </c>
      <c r="E44" s="197"/>
      <c r="F44" s="142" t="str">
        <f>IFERROR(IF(VLOOKUP($A44,TableHandbook[],6,FALSE)=0,"",VLOOKUP($A44,TableHandbook[],6,FALSE)),"")</f>
        <v/>
      </c>
      <c r="G44" s="198" t="str">
        <f>IFERROR(IF(VLOOKUP($A44,TableHandbook[],5,FALSE)=0,"",VLOOKUP($A44,TableHandbook[],5,FALSE)),"")</f>
        <v/>
      </c>
      <c r="H44" s="199" t="str">
        <f>IFERROR(VLOOKUP($A44,TableHandbook[],H$2,FALSE),"")</f>
        <v/>
      </c>
      <c r="I44" s="200" t="str">
        <f>IFERROR(VLOOKUP($A44,TableHandbook[],I$2,FALSE),"")</f>
        <v/>
      </c>
      <c r="J44" s="201" t="str">
        <f>IFERROR(VLOOKUP($A44,TableHandbook[],J$2,FALSE),"")</f>
        <v/>
      </c>
      <c r="K44" s="202" t="str">
        <f>IFERROR(VLOOKUP($A44,TableHandbook[],K$2,FALSE),"")</f>
        <v/>
      </c>
      <c r="L44" s="23"/>
      <c r="M44" s="146">
        <v>3</v>
      </c>
    </row>
    <row r="45" spans="1:16" x14ac:dyDescent="0.25">
      <c r="A45" s="194" t="str">
        <f t="shared" si="9"/>
        <v/>
      </c>
      <c r="B45" s="195" t="str">
        <f>IFERROR(IF(VLOOKUP($A45,TableHandbook[],2,FALSE)=0,"",VLOOKUP($A45,TableHandbook[],2,FALSE)),"")</f>
        <v/>
      </c>
      <c r="C45" s="195" t="str">
        <f>IFERROR(IF(VLOOKUP($A45,TableHandbook[],3,FALSE)=0,"",VLOOKUP($A45,TableHandbook[],3,FALSE)),"")</f>
        <v/>
      </c>
      <c r="D45" s="196" t="str">
        <f>IFERROR(IF(VLOOKUP($A45,TableHandbook[],4,FALSE)=0,"",VLOOKUP($A45,TableHandbook[],4,FALSE)),"")</f>
        <v/>
      </c>
      <c r="E45" s="197"/>
      <c r="F45" s="142" t="str">
        <f>IFERROR(IF(VLOOKUP($A45,TableHandbook[],6,FALSE)=0,"",VLOOKUP($A45,TableHandbook[],6,FALSE)),"")</f>
        <v/>
      </c>
      <c r="G45" s="198" t="str">
        <f>IFERROR(IF(VLOOKUP($A45,TableHandbook[],5,FALSE)=0,"",VLOOKUP($A45,TableHandbook[],5,FALSE)),"")</f>
        <v/>
      </c>
      <c r="H45" s="199" t="str">
        <f>IFERROR(VLOOKUP($A45,TableHandbook[],H$2,FALSE),"")</f>
        <v/>
      </c>
      <c r="I45" s="200" t="str">
        <f>IFERROR(VLOOKUP($A45,TableHandbook[],I$2,FALSE),"")</f>
        <v/>
      </c>
      <c r="J45" s="201" t="str">
        <f>IFERROR(VLOOKUP($A45,TableHandbook[],J$2,FALSE),"")</f>
        <v/>
      </c>
      <c r="K45" s="202" t="str">
        <f>IFERROR(VLOOKUP($A45,TableHandbook[],K$2,FALSE),"")</f>
        <v/>
      </c>
      <c r="L45" s="23"/>
      <c r="M45" s="146">
        <v>4</v>
      </c>
    </row>
    <row r="46" spans="1:16" x14ac:dyDescent="0.25">
      <c r="A46" s="194" t="str">
        <f t="shared" si="9"/>
        <v/>
      </c>
      <c r="B46" s="195" t="str">
        <f>IFERROR(IF(VLOOKUP($A46,TableHandbook[],2,FALSE)=0,"",VLOOKUP($A46,TableHandbook[],2,FALSE)),"")</f>
        <v/>
      </c>
      <c r="C46" s="195" t="str">
        <f>IFERROR(IF(VLOOKUP($A46,TableHandbook[],3,FALSE)=0,"",VLOOKUP($A46,TableHandbook[],3,FALSE)),"")</f>
        <v/>
      </c>
      <c r="D46" s="196" t="str">
        <f>IFERROR(IF(VLOOKUP($A46,TableHandbook[],4,FALSE)=0,"",VLOOKUP($A46,TableHandbook[],4,FALSE)),"")</f>
        <v/>
      </c>
      <c r="E46" s="197"/>
      <c r="F46" s="142" t="str">
        <f>IFERROR(IF(VLOOKUP($A46,TableHandbook[],6,FALSE)=0,"",VLOOKUP($A46,TableHandbook[],6,FALSE)),"")</f>
        <v/>
      </c>
      <c r="G46" s="198" t="str">
        <f>IFERROR(IF(VLOOKUP($A46,TableHandbook[],5,FALSE)=0,"",VLOOKUP($A46,TableHandbook[],5,FALSE)),"")</f>
        <v/>
      </c>
      <c r="H46" s="199" t="str">
        <f>IFERROR(VLOOKUP($A46,TableHandbook[],H$2,FALSE),"")</f>
        <v/>
      </c>
      <c r="I46" s="200" t="str">
        <f>IFERROR(VLOOKUP($A46,TableHandbook[],I$2,FALSE),"")</f>
        <v/>
      </c>
      <c r="J46" s="201" t="str">
        <f>IFERROR(VLOOKUP($A46,TableHandbook[],J$2,FALSE),"")</f>
        <v/>
      </c>
      <c r="K46" s="202" t="str">
        <f>IFERROR(VLOOKUP($A46,TableHandbook[],K$2,FALSE),"")</f>
        <v/>
      </c>
      <c r="L46" s="23"/>
      <c r="M46" s="146">
        <v>5</v>
      </c>
    </row>
    <row r="47" spans="1:16" x14ac:dyDescent="0.25">
      <c r="A47" s="194" t="str">
        <f t="shared" si="9"/>
        <v/>
      </c>
      <c r="B47" s="195" t="str">
        <f>IFERROR(IF(VLOOKUP($A47,TableHandbook[],2,FALSE)=0,"",VLOOKUP($A47,TableHandbook[],2,FALSE)),"")</f>
        <v/>
      </c>
      <c r="C47" s="195" t="str">
        <f>IFERROR(IF(VLOOKUP($A47,TableHandbook[],3,FALSE)=0,"",VLOOKUP($A47,TableHandbook[],3,FALSE)),"")</f>
        <v/>
      </c>
      <c r="D47" s="196" t="str">
        <f>IFERROR(IF(VLOOKUP($A47,TableHandbook[],4,FALSE)=0,"",VLOOKUP($A47,TableHandbook[],4,FALSE)),"")</f>
        <v/>
      </c>
      <c r="E47" s="197"/>
      <c r="F47" s="142" t="str">
        <f>IFERROR(IF(VLOOKUP($A47,TableHandbook[],6,FALSE)=0,"",VLOOKUP($A47,TableHandbook[],6,FALSE)),"")</f>
        <v/>
      </c>
      <c r="G47" s="198" t="str">
        <f>IFERROR(IF(VLOOKUP($A47,TableHandbook[],5,FALSE)=0,"",VLOOKUP($A47,TableHandbook[],5,FALSE)),"")</f>
        <v/>
      </c>
      <c r="H47" s="199" t="str">
        <f>IFERROR(VLOOKUP($A47,TableHandbook[],H$2,FALSE),"")</f>
        <v/>
      </c>
      <c r="I47" s="200" t="str">
        <f>IFERROR(VLOOKUP($A47,TableHandbook[],I$2,FALSE),"")</f>
        <v/>
      </c>
      <c r="J47" s="201" t="str">
        <f>IFERROR(VLOOKUP($A47,TableHandbook[],J$2,FALSE),"")</f>
        <v/>
      </c>
      <c r="K47" s="202" t="str">
        <f>IFERROR(VLOOKUP($A47,TableHandbook[],K$2,FALSE),"")</f>
        <v/>
      </c>
      <c r="L47" s="23"/>
      <c r="M47" s="146">
        <v>6</v>
      </c>
    </row>
    <row r="48" spans="1:16" x14ac:dyDescent="0.25">
      <c r="A48" s="194" t="str">
        <f t="shared" si="9"/>
        <v/>
      </c>
      <c r="B48" s="195" t="str">
        <f>IFERROR(IF(VLOOKUP($A48,TableHandbook[],2,FALSE)=0,"",VLOOKUP($A48,TableHandbook[],2,FALSE)),"")</f>
        <v/>
      </c>
      <c r="C48" s="195" t="str">
        <f>IFERROR(IF(VLOOKUP($A48,TableHandbook[],3,FALSE)=0,"",VLOOKUP($A48,TableHandbook[],3,FALSE)),"")</f>
        <v/>
      </c>
      <c r="D48" s="196" t="str">
        <f>IFERROR(IF(VLOOKUP($A48,TableHandbook[],4,FALSE)=0,"",VLOOKUP($A48,TableHandbook[],4,FALSE)),"")</f>
        <v/>
      </c>
      <c r="E48" s="197"/>
      <c r="F48" s="142" t="str">
        <f>IFERROR(IF(VLOOKUP($A48,TableHandbook[],6,FALSE)=0,"",VLOOKUP($A48,TableHandbook[],6,FALSE)),"")</f>
        <v/>
      </c>
      <c r="G48" s="198" t="str">
        <f>IFERROR(IF(VLOOKUP($A48,TableHandbook[],5,FALSE)=0,"",VLOOKUP($A48,TableHandbook[],5,FALSE)),"")</f>
        <v/>
      </c>
      <c r="H48" s="199" t="str">
        <f>IFERROR(VLOOKUP($A48,TableHandbook[],H$2,FALSE),"")</f>
        <v/>
      </c>
      <c r="I48" s="200" t="str">
        <f>IFERROR(VLOOKUP($A48,TableHandbook[],I$2,FALSE),"")</f>
        <v/>
      </c>
      <c r="J48" s="201" t="str">
        <f>IFERROR(VLOOKUP($A48,TableHandbook[],J$2,FALSE),"")</f>
        <v/>
      </c>
      <c r="K48" s="202" t="str">
        <f>IFERROR(VLOOKUP($A48,TableHandbook[],K$2,FALSE),"")</f>
        <v/>
      </c>
      <c r="L48" s="23"/>
      <c r="M48" s="146">
        <v>7</v>
      </c>
    </row>
    <row r="49" spans="1:13" x14ac:dyDescent="0.25">
      <c r="A49" s="194" t="str">
        <f t="shared" si="9"/>
        <v/>
      </c>
      <c r="B49" s="195" t="str">
        <f>IFERROR(IF(VLOOKUP($A49,TableHandbook[],2,FALSE)=0,"",VLOOKUP($A49,TableHandbook[],2,FALSE)),"")</f>
        <v/>
      </c>
      <c r="C49" s="195" t="str">
        <f>IFERROR(IF(VLOOKUP($A49,TableHandbook[],3,FALSE)=0,"",VLOOKUP($A49,TableHandbook[],3,FALSE)),"")</f>
        <v/>
      </c>
      <c r="D49" s="196" t="str">
        <f>IFERROR(IF(VLOOKUP($A49,TableHandbook[],4,FALSE)=0,"",VLOOKUP($A49,TableHandbook[],4,FALSE)),"")</f>
        <v/>
      </c>
      <c r="E49" s="197"/>
      <c r="F49" s="142" t="str">
        <f>IFERROR(IF(VLOOKUP($A49,TableHandbook[],6,FALSE)=0,"",VLOOKUP($A49,TableHandbook[],6,FALSE)),"")</f>
        <v/>
      </c>
      <c r="G49" s="198" t="str">
        <f>IFERROR(IF(VLOOKUP($A49,TableHandbook[],5,FALSE)=0,"",VLOOKUP($A49,TableHandbook[],5,FALSE)),"")</f>
        <v/>
      </c>
      <c r="H49" s="199" t="str">
        <f>IFERROR(VLOOKUP($A49,TableHandbook[],H$2,FALSE),"")</f>
        <v/>
      </c>
      <c r="I49" s="200" t="str">
        <f>IFERROR(VLOOKUP($A49,TableHandbook[],I$2,FALSE),"")</f>
        <v/>
      </c>
      <c r="J49" s="201" t="str">
        <f>IFERROR(VLOOKUP($A49,TableHandbook[],J$2,FALSE),"")</f>
        <v/>
      </c>
      <c r="K49" s="202" t="str">
        <f>IFERROR(VLOOKUP($A49,TableHandbook[],K$2,FALSE),"")</f>
        <v/>
      </c>
      <c r="L49" s="23"/>
      <c r="M49" s="146">
        <v>8</v>
      </c>
    </row>
    <row r="50" spans="1:13" x14ac:dyDescent="0.25">
      <c r="A50" s="194" t="str">
        <f t="shared" si="9"/>
        <v/>
      </c>
      <c r="B50" s="195" t="str">
        <f>IFERROR(IF(VLOOKUP($A50,TableHandbook[],2,FALSE)=0,"",VLOOKUP($A50,TableHandbook[],2,FALSE)),"")</f>
        <v/>
      </c>
      <c r="C50" s="195" t="str">
        <f>IFERROR(IF(VLOOKUP($A50,TableHandbook[],3,FALSE)=0,"",VLOOKUP($A50,TableHandbook[],3,FALSE)),"")</f>
        <v/>
      </c>
      <c r="D50" s="196" t="str">
        <f>IFERROR(IF(VLOOKUP($A50,TableHandbook[],4,FALSE)=0,"",VLOOKUP($A50,TableHandbook[],4,FALSE)),"")</f>
        <v/>
      </c>
      <c r="E50" s="197"/>
      <c r="F50" s="142" t="str">
        <f>IFERROR(IF(VLOOKUP($A50,TableHandbook[],6,FALSE)=0,"",VLOOKUP($A50,TableHandbook[],6,FALSE)),"")</f>
        <v/>
      </c>
      <c r="G50" s="198" t="str">
        <f>IFERROR(IF(VLOOKUP($A50,TableHandbook[],5,FALSE)=0,"",VLOOKUP($A50,TableHandbook[],5,FALSE)),"")</f>
        <v/>
      </c>
      <c r="H50" s="199" t="str">
        <f>IFERROR(VLOOKUP($A50,TableHandbook[],H$2,FALSE),"")</f>
        <v/>
      </c>
      <c r="I50" s="200" t="str">
        <f>IFERROR(VLOOKUP($A50,TableHandbook[],I$2,FALSE),"")</f>
        <v/>
      </c>
      <c r="J50" s="201" t="str">
        <f>IFERROR(VLOOKUP($A50,TableHandbook[],J$2,FALSE),"")</f>
        <v/>
      </c>
      <c r="K50" s="202" t="str">
        <f>IFERROR(VLOOKUP($A50,TableHandbook[],K$2,FALSE),"")</f>
        <v/>
      </c>
      <c r="L50" s="23"/>
      <c r="M50" s="146">
        <v>9</v>
      </c>
    </row>
    <row r="51" spans="1:13" x14ac:dyDescent="0.25">
      <c r="A51" s="194" t="str">
        <f t="shared" si="9"/>
        <v/>
      </c>
      <c r="B51" s="195" t="str">
        <f>IFERROR(IF(VLOOKUP($A51,TableHandbook[],2,FALSE)=0,"",VLOOKUP($A51,TableHandbook[],2,FALSE)),"")</f>
        <v/>
      </c>
      <c r="C51" s="195" t="str">
        <f>IFERROR(IF(VLOOKUP($A51,TableHandbook[],3,FALSE)=0,"",VLOOKUP($A51,TableHandbook[],3,FALSE)),"")</f>
        <v/>
      </c>
      <c r="D51" s="196" t="str">
        <f>IFERROR(IF(VLOOKUP($A51,TableHandbook[],4,FALSE)=0,"",VLOOKUP($A51,TableHandbook[],4,FALSE)),"")</f>
        <v/>
      </c>
      <c r="E51" s="197"/>
      <c r="F51" s="142" t="str">
        <f>IFERROR(IF(VLOOKUP($A51,TableHandbook[],6,FALSE)=0,"",VLOOKUP($A51,TableHandbook[],6,FALSE)),"")</f>
        <v/>
      </c>
      <c r="G51" s="198" t="str">
        <f>IFERROR(IF(VLOOKUP($A51,TableHandbook[],5,FALSE)=0,"",VLOOKUP($A51,TableHandbook[],5,FALSE)),"")</f>
        <v/>
      </c>
      <c r="H51" s="199" t="str">
        <f>IFERROR(VLOOKUP($A51,TableHandbook[],H$2,FALSE),"")</f>
        <v/>
      </c>
      <c r="I51" s="200" t="str">
        <f>IFERROR(VLOOKUP($A51,TableHandbook[],I$2,FALSE),"")</f>
        <v/>
      </c>
      <c r="J51" s="201" t="str">
        <f>IFERROR(VLOOKUP($A51,TableHandbook[],J$2,FALSE),"")</f>
        <v/>
      </c>
      <c r="K51" s="202" t="str">
        <f>IFERROR(VLOOKUP($A51,TableHandbook[],K$2,FALSE),"")</f>
        <v/>
      </c>
      <c r="L51" s="23"/>
      <c r="M51" s="146">
        <v>10</v>
      </c>
    </row>
    <row r="52" spans="1:13" x14ac:dyDescent="0.25">
      <c r="A52" s="194" t="str">
        <f t="shared" si="9"/>
        <v/>
      </c>
      <c r="B52" s="195" t="str">
        <f>IFERROR(IF(VLOOKUP($A52,TableHandbook[],2,FALSE)=0,"",VLOOKUP($A52,TableHandbook[],2,FALSE)),"")</f>
        <v/>
      </c>
      <c r="C52" s="195" t="str">
        <f>IFERROR(IF(VLOOKUP($A52,TableHandbook[],3,FALSE)=0,"",VLOOKUP($A52,TableHandbook[],3,FALSE)),"")</f>
        <v/>
      </c>
      <c r="D52" s="196" t="str">
        <f>IFERROR(IF(VLOOKUP($A52,TableHandbook[],4,FALSE)=0,"",VLOOKUP($A52,TableHandbook[],4,FALSE)),"")</f>
        <v/>
      </c>
      <c r="E52" s="197"/>
      <c r="F52" s="142" t="str">
        <f>IFERROR(IF(VLOOKUP($A52,TableHandbook[],6,FALSE)=0,"",VLOOKUP($A52,TableHandbook[],6,FALSE)),"")</f>
        <v/>
      </c>
      <c r="G52" s="198" t="str">
        <f>IFERROR(IF(VLOOKUP($A52,TableHandbook[],5,FALSE)=0,"",VLOOKUP($A52,TableHandbook[],5,FALSE)),"")</f>
        <v/>
      </c>
      <c r="H52" s="199" t="str">
        <f>IFERROR(VLOOKUP($A52,TableHandbook[],H$2,FALSE),"")</f>
        <v/>
      </c>
      <c r="I52" s="200" t="str">
        <f>IFERROR(VLOOKUP($A52,TableHandbook[],I$2,FALSE),"")</f>
        <v/>
      </c>
      <c r="J52" s="201" t="str">
        <f>IFERROR(VLOOKUP($A52,TableHandbook[],J$2,FALSE),"")</f>
        <v/>
      </c>
      <c r="K52" s="202" t="str">
        <f>IFERROR(VLOOKUP($A52,TableHandbook[],K$2,FALSE),"")</f>
        <v/>
      </c>
      <c r="L52" s="23"/>
      <c r="M52" s="146">
        <v>11</v>
      </c>
    </row>
    <row r="53" spans="1:13" x14ac:dyDescent="0.25">
      <c r="A53" s="194" t="str">
        <f t="shared" si="9"/>
        <v/>
      </c>
      <c r="B53" s="195" t="str">
        <f>IFERROR(IF(VLOOKUP($A53,TableHandbook[],2,FALSE)=0,"",VLOOKUP($A53,TableHandbook[],2,FALSE)),"")</f>
        <v/>
      </c>
      <c r="C53" s="195" t="str">
        <f>IFERROR(IF(VLOOKUP($A53,TableHandbook[],3,FALSE)=0,"",VLOOKUP($A53,TableHandbook[],3,FALSE)),"")</f>
        <v/>
      </c>
      <c r="D53" s="196" t="str">
        <f>IFERROR(IF(VLOOKUP($A53,TableHandbook[],4,FALSE)=0,"",VLOOKUP($A53,TableHandbook[],4,FALSE)),"")</f>
        <v/>
      </c>
      <c r="E53" s="197"/>
      <c r="F53" s="142" t="str">
        <f>IFERROR(IF(VLOOKUP($A53,TableHandbook[],6,FALSE)=0,"",VLOOKUP($A53,TableHandbook[],6,FALSE)),"")</f>
        <v/>
      </c>
      <c r="G53" s="198" t="str">
        <f>IFERROR(IF(VLOOKUP($A53,TableHandbook[],5,FALSE)=0,"",VLOOKUP($A53,TableHandbook[],5,FALSE)),"")</f>
        <v/>
      </c>
      <c r="H53" s="199" t="str">
        <f>IFERROR(VLOOKUP($A53,TableHandbook[],H$2,FALSE),"")</f>
        <v/>
      </c>
      <c r="I53" s="200" t="str">
        <f>IFERROR(VLOOKUP($A53,TableHandbook[],I$2,FALSE),"")</f>
        <v/>
      </c>
      <c r="J53" s="201" t="str">
        <f>IFERROR(VLOOKUP($A53,TableHandbook[],J$2,FALSE),"")</f>
        <v/>
      </c>
      <c r="K53" s="202" t="str">
        <f>IFERROR(VLOOKUP($A53,TableHandbook[],K$2,FALSE),"")</f>
        <v/>
      </c>
      <c r="L53" s="23"/>
      <c r="M53" s="146">
        <v>12</v>
      </c>
    </row>
    <row r="54" spans="1:13" x14ac:dyDescent="0.25">
      <c r="A54" s="194" t="str">
        <f t="shared" si="9"/>
        <v/>
      </c>
      <c r="B54" s="195" t="str">
        <f>IFERROR(IF(VLOOKUP($A54,TableHandbook[],2,FALSE)=0,"",VLOOKUP($A54,TableHandbook[],2,FALSE)),"")</f>
        <v/>
      </c>
      <c r="C54" s="195" t="str">
        <f>IFERROR(IF(VLOOKUP($A54,TableHandbook[],3,FALSE)=0,"",VLOOKUP($A54,TableHandbook[],3,FALSE)),"")</f>
        <v/>
      </c>
      <c r="D54" s="196" t="str">
        <f>IFERROR(IF(VLOOKUP($A54,TableHandbook[],4,FALSE)=0,"",VLOOKUP($A54,TableHandbook[],4,FALSE)),"")</f>
        <v/>
      </c>
      <c r="E54" s="197"/>
      <c r="F54" s="142" t="str">
        <f>IFERROR(IF(VLOOKUP($A54,TableHandbook[],6,FALSE)=0,"",VLOOKUP($A54,TableHandbook[],6,FALSE)),"")</f>
        <v/>
      </c>
      <c r="G54" s="198" t="str">
        <f>IFERROR(IF(VLOOKUP($A54,TableHandbook[],5,FALSE)=0,"",VLOOKUP($A54,TableHandbook[],5,FALSE)),"")</f>
        <v/>
      </c>
      <c r="H54" s="199" t="str">
        <f>IFERROR(VLOOKUP($A54,TableHandbook[],H$2,FALSE),"")</f>
        <v/>
      </c>
      <c r="I54" s="200" t="str">
        <f>IFERROR(VLOOKUP($A54,TableHandbook[],I$2,FALSE),"")</f>
        <v/>
      </c>
      <c r="J54" s="201" t="str">
        <f>IFERROR(VLOOKUP($A54,TableHandbook[],J$2,FALSE),"")</f>
        <v/>
      </c>
      <c r="K54" s="202" t="str">
        <f>IFERROR(VLOOKUP($A54,TableHandbook[],K$2,FALSE),"")</f>
        <v/>
      </c>
      <c r="L54" s="23"/>
      <c r="M54" s="146">
        <v>13</v>
      </c>
    </row>
    <row r="55" spans="1:13" x14ac:dyDescent="0.25">
      <c r="A55" s="194" t="str">
        <f t="shared" si="9"/>
        <v/>
      </c>
      <c r="B55" s="195" t="str">
        <f>IFERROR(IF(VLOOKUP($A55,TableHandbook[],2,FALSE)=0,"",VLOOKUP($A55,TableHandbook[],2,FALSE)),"")</f>
        <v/>
      </c>
      <c r="C55" s="195" t="str">
        <f>IFERROR(IF(VLOOKUP($A55,TableHandbook[],3,FALSE)=0,"",VLOOKUP($A55,TableHandbook[],3,FALSE)),"")</f>
        <v/>
      </c>
      <c r="D55" s="196" t="str">
        <f>IFERROR(IF(VLOOKUP($A55,TableHandbook[],4,FALSE)=0,"",VLOOKUP($A55,TableHandbook[],4,FALSE)),"")</f>
        <v/>
      </c>
      <c r="E55" s="197"/>
      <c r="F55" s="142" t="str">
        <f>IFERROR(IF(VLOOKUP($A55,TableHandbook[],6,FALSE)=0,"",VLOOKUP($A55,TableHandbook[],6,FALSE)),"")</f>
        <v/>
      </c>
      <c r="G55" s="198" t="str">
        <f>IFERROR(IF(VLOOKUP($A55,TableHandbook[],5,FALSE)=0,"",VLOOKUP($A55,TableHandbook[],5,FALSE)),"")</f>
        <v/>
      </c>
      <c r="H55" s="199" t="str">
        <f>IFERROR(VLOOKUP($A55,TableHandbook[],H$2,FALSE),"")</f>
        <v/>
      </c>
      <c r="I55" s="200" t="str">
        <f>IFERROR(VLOOKUP($A55,TableHandbook[],I$2,FALSE),"")</f>
        <v/>
      </c>
      <c r="J55" s="201" t="str">
        <f>IFERROR(VLOOKUP($A55,TableHandbook[],J$2,FALSE),"")</f>
        <v/>
      </c>
      <c r="K55" s="202" t="str">
        <f>IFERROR(VLOOKUP($A55,TableHandbook[],K$2,FALSE),"")</f>
        <v/>
      </c>
      <c r="L55" s="23"/>
      <c r="M55" s="146">
        <v>14</v>
      </c>
    </row>
    <row r="56" spans="1:13" x14ac:dyDescent="0.25">
      <c r="A56" s="194" t="str">
        <f t="shared" si="9"/>
        <v/>
      </c>
      <c r="B56" s="195" t="str">
        <f>IFERROR(IF(VLOOKUP($A56,TableHandbook[],2,FALSE)=0,"",VLOOKUP($A56,TableHandbook[],2,FALSE)),"")</f>
        <v/>
      </c>
      <c r="C56" s="195" t="str">
        <f>IFERROR(IF(VLOOKUP($A56,TableHandbook[],3,FALSE)=0,"",VLOOKUP($A56,TableHandbook[],3,FALSE)),"")</f>
        <v/>
      </c>
      <c r="D56" s="196" t="str">
        <f>IFERROR(IF(VLOOKUP($A56,TableHandbook[],4,FALSE)=0,"",VLOOKUP($A56,TableHandbook[],4,FALSE)),"")</f>
        <v/>
      </c>
      <c r="E56" s="197"/>
      <c r="F56" s="142" t="str">
        <f>IFERROR(IF(VLOOKUP($A56,TableHandbook[],6,FALSE)=0,"",VLOOKUP($A56,TableHandbook[],6,FALSE)),"")</f>
        <v/>
      </c>
      <c r="G56" s="198" t="str">
        <f>IFERROR(IF(VLOOKUP($A56,TableHandbook[],5,FALSE)=0,"",VLOOKUP($A56,TableHandbook[],5,FALSE)),"")</f>
        <v/>
      </c>
      <c r="H56" s="199" t="str">
        <f>IFERROR(VLOOKUP($A56,TableHandbook[],H$2,FALSE),"")</f>
        <v/>
      </c>
      <c r="I56" s="200" t="str">
        <f>IFERROR(VLOOKUP($A56,TableHandbook[],I$2,FALSE),"")</f>
        <v/>
      </c>
      <c r="J56" s="201" t="str">
        <f>IFERROR(VLOOKUP($A56,TableHandbook[],J$2,FALSE),"")</f>
        <v/>
      </c>
      <c r="K56" s="202" t="str">
        <f>IFERROR(VLOOKUP($A56,TableHandbook[],K$2,FALSE),"")</f>
        <v/>
      </c>
      <c r="L56" s="23"/>
      <c r="M56" s="146">
        <v>15</v>
      </c>
    </row>
    <row r="57" spans="1:13" x14ac:dyDescent="0.25">
      <c r="A57" s="194" t="str">
        <f t="shared" si="9"/>
        <v/>
      </c>
      <c r="B57" s="195" t="str">
        <f>IFERROR(IF(VLOOKUP($A57,TableHandbook[],2,FALSE)=0,"",VLOOKUP($A57,TableHandbook[],2,FALSE)),"")</f>
        <v/>
      </c>
      <c r="C57" s="195" t="str">
        <f>IFERROR(IF(VLOOKUP($A57,TableHandbook[],3,FALSE)=0,"",VLOOKUP($A57,TableHandbook[],3,FALSE)),"")</f>
        <v/>
      </c>
      <c r="D57" s="196" t="str">
        <f>IFERROR(IF(VLOOKUP($A57,TableHandbook[],4,FALSE)=0,"",VLOOKUP($A57,TableHandbook[],4,FALSE)),"")</f>
        <v/>
      </c>
      <c r="E57" s="197"/>
      <c r="F57" s="142" t="str">
        <f>IFERROR(IF(VLOOKUP($A57,TableHandbook[],6,FALSE)=0,"",VLOOKUP($A57,TableHandbook[],6,FALSE)),"")</f>
        <v/>
      </c>
      <c r="G57" s="198" t="str">
        <f>IFERROR(IF(VLOOKUP($A57,TableHandbook[],5,FALSE)=0,"",VLOOKUP($A57,TableHandbook[],5,FALSE)),"")</f>
        <v/>
      </c>
      <c r="H57" s="199" t="str">
        <f>IFERROR(VLOOKUP($A57,TableHandbook[],H$2,FALSE),"")</f>
        <v/>
      </c>
      <c r="I57" s="200" t="str">
        <f>IFERROR(VLOOKUP($A57,TableHandbook[],I$2,FALSE),"")</f>
        <v/>
      </c>
      <c r="J57" s="201" t="str">
        <f>IFERROR(VLOOKUP($A57,TableHandbook[],J$2,FALSE),"")</f>
        <v/>
      </c>
      <c r="K57" s="202" t="str">
        <f>IFERROR(VLOOKUP($A57,TableHandbook[],K$2,FALSE),"")</f>
        <v/>
      </c>
      <c r="L57" s="23"/>
      <c r="M57" s="146">
        <v>16</v>
      </c>
    </row>
    <row r="58" spans="1:13" x14ac:dyDescent="0.25">
      <c r="A58" s="194" t="str">
        <f t="shared" si="9"/>
        <v/>
      </c>
      <c r="B58" s="195" t="str">
        <f>IFERROR(IF(VLOOKUP($A58,TableHandbook[],2,FALSE)=0,"",VLOOKUP($A58,TableHandbook[],2,FALSE)),"")</f>
        <v/>
      </c>
      <c r="C58" s="195" t="str">
        <f>IFERROR(IF(VLOOKUP($A58,TableHandbook[],3,FALSE)=0,"",VLOOKUP($A58,TableHandbook[],3,FALSE)),"")</f>
        <v/>
      </c>
      <c r="D58" s="196" t="str">
        <f>IFERROR(IF(VLOOKUP($A58,TableHandbook[],4,FALSE)=0,"",VLOOKUP($A58,TableHandbook[],4,FALSE)),"")</f>
        <v/>
      </c>
      <c r="E58" s="197"/>
      <c r="F58" s="142" t="str">
        <f>IFERROR(IF(VLOOKUP($A58,TableHandbook[],6,FALSE)=0,"",VLOOKUP($A58,TableHandbook[],6,FALSE)),"")</f>
        <v/>
      </c>
      <c r="G58" s="198" t="str">
        <f>IFERROR(IF(VLOOKUP($A58,TableHandbook[],5,FALSE)=0,"",VLOOKUP($A58,TableHandbook[],5,FALSE)),"")</f>
        <v/>
      </c>
      <c r="H58" s="199" t="str">
        <f>IFERROR(VLOOKUP($A58,TableHandbook[],H$2,FALSE),"")</f>
        <v/>
      </c>
      <c r="I58" s="200" t="str">
        <f>IFERROR(VLOOKUP($A58,TableHandbook[],I$2,FALSE),"")</f>
        <v/>
      </c>
      <c r="J58" s="201" t="str">
        <f>IFERROR(VLOOKUP($A58,TableHandbook[],J$2,FALSE),"")</f>
        <v/>
      </c>
      <c r="K58" s="202" t="str">
        <f>IFERROR(VLOOKUP($A58,TableHandbook[],K$2,FALSE),"")</f>
        <v/>
      </c>
      <c r="L58" s="23"/>
      <c r="M58" s="146">
        <v>17</v>
      </c>
    </row>
    <row r="59" spans="1:13" x14ac:dyDescent="0.25">
      <c r="A59" s="194" t="str">
        <f t="shared" si="9"/>
        <v/>
      </c>
      <c r="B59" s="195" t="str">
        <f>IFERROR(IF(VLOOKUP($A59,TableHandbook[],2,FALSE)=0,"",VLOOKUP($A59,TableHandbook[],2,FALSE)),"")</f>
        <v/>
      </c>
      <c r="C59" s="195" t="str">
        <f>IFERROR(IF(VLOOKUP($A59,TableHandbook[],3,FALSE)=0,"",VLOOKUP($A59,TableHandbook[],3,FALSE)),"")</f>
        <v/>
      </c>
      <c r="D59" s="196" t="str">
        <f>IFERROR(IF(VLOOKUP($A59,TableHandbook[],4,FALSE)=0,"",VLOOKUP($A59,TableHandbook[],4,FALSE)),"")</f>
        <v/>
      </c>
      <c r="E59" s="197"/>
      <c r="F59" s="142" t="str">
        <f>IFERROR(IF(VLOOKUP($A59,TableHandbook[],6,FALSE)=0,"",VLOOKUP($A59,TableHandbook[],6,FALSE)),"")</f>
        <v/>
      </c>
      <c r="G59" s="198" t="str">
        <f>IFERROR(IF(VLOOKUP($A59,TableHandbook[],5,FALSE)=0,"",VLOOKUP($A59,TableHandbook[],5,FALSE)),"")</f>
        <v/>
      </c>
      <c r="H59" s="199" t="str">
        <f>IFERROR(VLOOKUP($A59,TableHandbook[],H$2,FALSE),"")</f>
        <v/>
      </c>
      <c r="I59" s="200" t="str">
        <f>IFERROR(VLOOKUP($A59,TableHandbook[],I$2,FALSE),"")</f>
        <v/>
      </c>
      <c r="J59" s="201" t="str">
        <f>IFERROR(VLOOKUP($A59,TableHandbook[],J$2,FALSE),"")</f>
        <v/>
      </c>
      <c r="K59" s="202" t="str">
        <f>IFERROR(VLOOKUP($A59,TableHandbook[],K$2,FALSE),"")</f>
        <v/>
      </c>
      <c r="L59" s="23"/>
      <c r="M59" s="146">
        <v>18</v>
      </c>
    </row>
    <row r="60" spans="1:13" x14ac:dyDescent="0.25">
      <c r="A60" s="194" t="str">
        <f t="shared" si="9"/>
        <v/>
      </c>
      <c r="B60" s="195" t="str">
        <f>IFERROR(IF(VLOOKUP($A60,TableHandbook[],2,FALSE)=0,"",VLOOKUP($A60,TableHandbook[],2,FALSE)),"")</f>
        <v/>
      </c>
      <c r="C60" s="195" t="str">
        <f>IFERROR(IF(VLOOKUP($A60,TableHandbook[],3,FALSE)=0,"",VLOOKUP($A60,TableHandbook[],3,FALSE)),"")</f>
        <v/>
      </c>
      <c r="D60" s="196" t="str">
        <f>IFERROR(IF(VLOOKUP($A60,TableHandbook[],4,FALSE)=0,"",VLOOKUP($A60,TableHandbook[],4,FALSE)),"")</f>
        <v/>
      </c>
      <c r="E60" s="197"/>
      <c r="F60" s="142" t="str">
        <f>IFERROR(IF(VLOOKUP($A60,TableHandbook[],6,FALSE)=0,"",VLOOKUP($A60,TableHandbook[],6,FALSE)),"")</f>
        <v/>
      </c>
      <c r="G60" s="198" t="str">
        <f>IFERROR(IF(VLOOKUP($A60,TableHandbook[],5,FALSE)=0,"",VLOOKUP($A60,TableHandbook[],5,FALSE)),"")</f>
        <v/>
      </c>
      <c r="H60" s="199" t="str">
        <f>IFERROR(VLOOKUP($A60,TableHandbook[],H$2,FALSE),"")</f>
        <v/>
      </c>
      <c r="I60" s="200" t="str">
        <f>IFERROR(VLOOKUP($A60,TableHandbook[],I$2,FALSE),"")</f>
        <v/>
      </c>
      <c r="J60" s="201" t="str">
        <f>IFERROR(VLOOKUP($A60,TableHandbook[],J$2,FALSE),"")</f>
        <v/>
      </c>
      <c r="K60" s="202" t="str">
        <f>IFERROR(VLOOKUP($A60,TableHandbook[],K$2,FALSE),"")</f>
        <v/>
      </c>
      <c r="L60" s="23"/>
      <c r="M60" s="146">
        <v>19</v>
      </c>
    </row>
    <row r="61" spans="1:13" x14ac:dyDescent="0.25">
      <c r="A61" s="194" t="str">
        <f t="shared" si="9"/>
        <v/>
      </c>
      <c r="B61" s="195" t="str">
        <f>IFERROR(IF(VLOOKUP($A61,TableHandbook[],2,FALSE)=0,"",VLOOKUP($A61,TableHandbook[],2,FALSE)),"")</f>
        <v/>
      </c>
      <c r="C61" s="195" t="str">
        <f>IFERROR(IF(VLOOKUP($A61,TableHandbook[],3,FALSE)=0,"",VLOOKUP($A61,TableHandbook[],3,FALSE)),"")</f>
        <v/>
      </c>
      <c r="D61" s="196" t="str">
        <f>IFERROR(IF(VLOOKUP($A61,TableHandbook[],4,FALSE)=0,"",VLOOKUP($A61,TableHandbook[],4,FALSE)),"")</f>
        <v/>
      </c>
      <c r="E61" s="197"/>
      <c r="F61" s="142" t="str">
        <f>IFERROR(IF(VLOOKUP($A61,TableHandbook[],6,FALSE)=0,"",VLOOKUP($A61,TableHandbook[],6,FALSE)),"")</f>
        <v/>
      </c>
      <c r="G61" s="198" t="str">
        <f>IFERROR(IF(VLOOKUP($A61,TableHandbook[],5,FALSE)=0,"",VLOOKUP($A61,TableHandbook[],5,FALSE)),"")</f>
        <v/>
      </c>
      <c r="H61" s="199" t="str">
        <f>IFERROR(VLOOKUP($A61,TableHandbook[],H$2,FALSE),"")</f>
        <v/>
      </c>
      <c r="I61" s="200" t="str">
        <f>IFERROR(VLOOKUP($A61,TableHandbook[],I$2,FALSE),"")</f>
        <v/>
      </c>
      <c r="J61" s="201" t="str">
        <f>IFERROR(VLOOKUP($A61,TableHandbook[],J$2,FALSE),"")</f>
        <v/>
      </c>
      <c r="K61" s="202" t="str">
        <f>IFERROR(VLOOKUP($A61,TableHandbook[],K$2,FALSE),"")</f>
        <v/>
      </c>
      <c r="L61" s="23"/>
      <c r="M61" s="146">
        <v>20</v>
      </c>
    </row>
    <row r="62" spans="1:13" x14ac:dyDescent="0.25">
      <c r="A62" s="194" t="str">
        <f t="shared" si="9"/>
        <v/>
      </c>
      <c r="B62" s="195" t="str">
        <f>IFERROR(IF(VLOOKUP($A62,TableHandbook[],2,FALSE)=0,"",VLOOKUP($A62,TableHandbook[],2,FALSE)),"")</f>
        <v/>
      </c>
      <c r="C62" s="195" t="str">
        <f>IFERROR(IF(VLOOKUP($A62,TableHandbook[],3,FALSE)=0,"",VLOOKUP($A62,TableHandbook[],3,FALSE)),"")</f>
        <v/>
      </c>
      <c r="D62" s="196" t="str">
        <f>IFERROR(IF(VLOOKUP($A62,TableHandbook[],4,FALSE)=0,"",VLOOKUP($A62,TableHandbook[],4,FALSE)),"")</f>
        <v/>
      </c>
      <c r="E62" s="197"/>
      <c r="F62" s="142" t="str">
        <f>IFERROR(IF(VLOOKUP($A62,TableHandbook[],6,FALSE)=0,"",VLOOKUP($A62,TableHandbook[],6,FALSE)),"")</f>
        <v/>
      </c>
      <c r="G62" s="198" t="str">
        <f>IFERROR(IF(VLOOKUP($A62,TableHandbook[],5,FALSE)=0,"",VLOOKUP($A62,TableHandbook[],5,FALSE)),"")</f>
        <v/>
      </c>
      <c r="H62" s="199" t="str">
        <f>IFERROR(VLOOKUP($A62,TableHandbook[],H$2,FALSE),"")</f>
        <v/>
      </c>
      <c r="I62" s="200" t="str">
        <f>IFERROR(VLOOKUP($A62,TableHandbook[],I$2,FALSE),"")</f>
        <v/>
      </c>
      <c r="J62" s="201" t="str">
        <f>IFERROR(VLOOKUP($A62,TableHandbook[],J$2,FALSE),"")</f>
        <v/>
      </c>
      <c r="K62" s="202" t="str">
        <f>IFERROR(VLOOKUP($A62,TableHandbook[],K$2,FALSE),"")</f>
        <v/>
      </c>
      <c r="L62" s="23"/>
      <c r="M62" s="146">
        <v>21</v>
      </c>
    </row>
    <row r="63" spans="1:13" x14ac:dyDescent="0.25">
      <c r="A63" s="194" t="str">
        <f t="shared" si="9"/>
        <v/>
      </c>
      <c r="B63" s="195" t="str">
        <f>IFERROR(IF(VLOOKUP($A63,TableHandbook[],2,FALSE)=0,"",VLOOKUP($A63,TableHandbook[],2,FALSE)),"")</f>
        <v/>
      </c>
      <c r="C63" s="195" t="str">
        <f>IFERROR(IF(VLOOKUP($A63,TableHandbook[],3,FALSE)=0,"",VLOOKUP($A63,TableHandbook[],3,FALSE)),"")</f>
        <v/>
      </c>
      <c r="D63" s="196" t="str">
        <f>IFERROR(IF(VLOOKUP($A63,TableHandbook[],4,FALSE)=0,"",VLOOKUP($A63,TableHandbook[],4,FALSE)),"")</f>
        <v/>
      </c>
      <c r="E63" s="196"/>
      <c r="F63" s="142" t="str">
        <f>IFERROR(IF(VLOOKUP($A63,TableHandbook[],6,FALSE)=0,"",VLOOKUP($A63,TableHandbook[],6,FALSE)),"")</f>
        <v/>
      </c>
      <c r="G63" s="195" t="str">
        <f>IFERROR(IF(VLOOKUP($A63,TableHandbook[],5,FALSE)=0,"",VLOOKUP($A63,TableHandbook[],5,FALSE)),"")</f>
        <v/>
      </c>
      <c r="H63" s="199" t="str">
        <f>IFERROR(VLOOKUP($A63,TableHandbook[],H$2,FALSE),"")</f>
        <v/>
      </c>
      <c r="I63" s="200" t="str">
        <f>IFERROR(VLOOKUP($A63,TableHandbook[],I$2,FALSE),"")</f>
        <v/>
      </c>
      <c r="J63" s="201" t="str">
        <f>IFERROR(VLOOKUP($A63,TableHandbook[],J$2,FALSE),"")</f>
        <v/>
      </c>
      <c r="K63" s="202" t="str">
        <f>IFERROR(VLOOKUP($A63,TableHandbook[],K$2,FALSE),"")</f>
        <v/>
      </c>
      <c r="L63" s="22"/>
      <c r="M63" s="146">
        <v>22</v>
      </c>
    </row>
    <row r="64" spans="1:13" ht="15.75" x14ac:dyDescent="0.25">
      <c r="A64" s="203"/>
      <c r="B64" s="203"/>
      <c r="C64" s="203"/>
      <c r="D64" s="203"/>
      <c r="E64" s="203"/>
      <c r="F64" s="203"/>
      <c r="G64" s="203"/>
      <c r="H64" s="203"/>
      <c r="I64" s="203"/>
      <c r="J64" s="203"/>
      <c r="K64" s="203"/>
      <c r="L64" s="203"/>
      <c r="M64" s="146"/>
    </row>
    <row r="65" spans="1:15" ht="32.25" customHeight="1" x14ac:dyDescent="0.25">
      <c r="A65" s="204" t="s">
        <v>33</v>
      </c>
      <c r="B65" s="204"/>
      <c r="C65" s="204"/>
      <c r="D65" s="204"/>
      <c r="E65" s="204"/>
      <c r="F65" s="204"/>
      <c r="G65" s="204"/>
      <c r="H65" s="204"/>
      <c r="I65" s="204"/>
      <c r="J65" s="204"/>
      <c r="K65" s="204"/>
      <c r="L65" s="204"/>
    </row>
    <row r="66" spans="1:15" s="206" customFormat="1" ht="24.95" customHeight="1" x14ac:dyDescent="0.3">
      <c r="A66" s="42" t="s">
        <v>34</v>
      </c>
      <c r="B66" s="42"/>
      <c r="C66" s="42"/>
      <c r="D66" s="43"/>
      <c r="E66" s="43"/>
      <c r="F66" s="43"/>
      <c r="G66" s="43"/>
      <c r="H66" s="43"/>
      <c r="I66" s="43"/>
      <c r="J66" s="43"/>
      <c r="K66" s="43"/>
      <c r="L66" s="43"/>
      <c r="M66" s="205"/>
      <c r="N66" s="205"/>
      <c r="O66" s="205"/>
    </row>
    <row r="67" spans="1:15" ht="15" customHeight="1" x14ac:dyDescent="0.25">
      <c r="A67" s="207" t="s">
        <v>35</v>
      </c>
      <c r="B67" s="207"/>
      <c r="C67" s="207"/>
      <c r="D67" s="207"/>
      <c r="E67" s="208"/>
      <c r="F67" s="167"/>
      <c r="G67" s="209"/>
      <c r="H67" s="209"/>
      <c r="I67" s="209"/>
      <c r="J67" s="209"/>
      <c r="K67" s="209"/>
      <c r="L67" s="209" t="s">
        <v>36</v>
      </c>
    </row>
  </sheetData>
  <sheetProtection algorithmName="SHA-512" hashValue="P0FgttZt2KHiDgeg91M+bUWOEwEhGTFaYZlN3N5QyLGz7vKHIMVaeXzDs8cFyzJmJa24X7F/9TZiEnoujhaBQg==" saltValue="MMxQa7EZjmk7eLn6X3mu4g==" spinCount="100000" sheet="1" objects="1" scenarios="1" formatCells="0"/>
  <mergeCells count="2">
    <mergeCell ref="A3:D3"/>
    <mergeCell ref="A65:L65"/>
  </mergeCells>
  <conditionalFormatting sqref="A10:L18 A20:L28 A30:L38 A19:G19 L19 A29:G29 L29">
    <cfRule type="expression" dxfId="35" priority="3">
      <formula>LEFT($D10,5)="Study"</formula>
    </cfRule>
  </conditionalFormatting>
  <conditionalFormatting sqref="A43:L63">
    <cfRule type="expression" dxfId="34" priority="4">
      <formula>$A43=""</formula>
    </cfRule>
    <cfRule type="expression" dxfId="33" priority="7">
      <formula>OR(LEFT($D43,3)="AND",LEFT($D43,5)="Study")</formula>
    </cfRule>
  </conditionalFormatting>
  <conditionalFormatting sqref="D5:D7">
    <cfRule type="containsText" dxfId="32" priority="1" operator="containsText" text="Choose">
      <formula>NOT(ISERROR(SEARCH("Choose",D5)))</formula>
    </cfRule>
  </conditionalFormatting>
  <conditionalFormatting sqref="H10:K38">
    <cfRule type="expression" dxfId="31" priority="2">
      <formula>$E10=LEFT(H$9,4)</formula>
    </cfRule>
  </conditionalFormatting>
  <dataValidations count="1">
    <dataValidation type="list" allowBlank="1" showInputMessage="1" showErrorMessage="1" sqref="L24 L14 L34" xr:uid="{00000000-0002-0000-0000-000000000000}"/>
  </dataValidations>
  <hyperlinks>
    <hyperlink ref="A66:L66"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38" max="10" man="1"/>
  </rowBreaks>
  <ignoredErrors>
    <ignoredError sqref="M34" unlockedFormula="1"/>
  </ignoredError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000-000001000000}">
          <x14:formula1>
            <xm:f>Unitsets!$A$10:$A$16</xm:f>
          </x14:formula1>
          <xm:sqref>D6</xm:sqref>
        </x14:dataValidation>
        <x14:dataValidation type="list" allowBlank="1" showInputMessage="1" showErrorMessage="1" xr:uid="{00000000-0002-0000-0000-000002000000}">
          <x14:formula1>
            <xm:f>Unitsets!$A$19:$A$21</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5"/>
  <sheetViews>
    <sheetView zoomScale="85" zoomScaleNormal="85" workbookViewId="0">
      <selection activeCell="B34" sqref="B34"/>
    </sheetView>
  </sheetViews>
  <sheetFormatPr defaultRowHeight="15.75" x14ac:dyDescent="0.25"/>
  <cols>
    <col min="1" max="1" width="65.875" style="10" bestFit="1" customWidth="1"/>
    <col min="2" max="2" width="12.25" style="6" bestFit="1" customWidth="1"/>
    <col min="3" max="3" width="11.875" style="6" bestFit="1" customWidth="1"/>
    <col min="4" max="4" width="16.75" style="6" bestFit="1" customWidth="1"/>
    <col min="5" max="5" width="14" style="6" bestFit="1" customWidth="1"/>
    <col min="6" max="6" width="18.5" style="6" bestFit="1" customWidth="1"/>
    <col min="7" max="7" width="19.75" style="6" bestFit="1" customWidth="1"/>
    <col min="8" max="8" width="16" style="6" bestFit="1" customWidth="1"/>
    <col min="9" max="9" width="13.5" style="6" customWidth="1"/>
    <col min="10" max="10" width="13.25" style="6" bestFit="1" customWidth="1"/>
    <col min="11" max="11" width="2.5" bestFit="1" customWidth="1"/>
    <col min="12" max="12" width="6.125" bestFit="1" customWidth="1"/>
    <col min="13" max="13" width="12.125" bestFit="1" customWidth="1"/>
    <col min="14" max="14" width="6.125" bestFit="1" customWidth="1"/>
    <col min="15" max="15" width="12.375" bestFit="1" customWidth="1"/>
    <col min="16" max="16" width="4.875" bestFit="1" customWidth="1"/>
    <col min="17" max="17" width="11.875" bestFit="1" customWidth="1"/>
    <col min="18" max="18" width="4.875" bestFit="1" customWidth="1"/>
    <col min="19" max="19" width="11.875" bestFit="1" customWidth="1"/>
    <col min="20" max="20" width="5.625" bestFit="1" customWidth="1"/>
    <col min="21" max="21" width="11.25" bestFit="1" customWidth="1"/>
    <col min="22" max="22" width="4.875" bestFit="1" customWidth="1"/>
    <col min="23" max="23" width="11.5" bestFit="1" customWidth="1"/>
    <col min="24" max="24" width="6" bestFit="1" customWidth="1"/>
    <col min="25" max="25" width="5.375" bestFit="1" customWidth="1"/>
  </cols>
  <sheetData>
    <row r="1" spans="1:25" x14ac:dyDescent="0.25">
      <c r="A1" s="12" t="s">
        <v>11</v>
      </c>
      <c r="B1" s="13"/>
      <c r="C1" s="13"/>
      <c r="D1" s="13"/>
    </row>
    <row r="2" spans="1:25" x14ac:dyDescent="0.25">
      <c r="L2" s="19"/>
      <c r="M2" s="8"/>
      <c r="N2" s="9"/>
      <c r="O2" s="8"/>
      <c r="P2" s="8"/>
      <c r="Q2" s="8"/>
      <c r="R2" s="8"/>
      <c r="S2" s="8"/>
      <c r="T2" s="8"/>
      <c r="U2" s="8"/>
      <c r="V2" s="8"/>
      <c r="W2" s="8"/>
      <c r="X2" s="9"/>
      <c r="Y2" s="16"/>
    </row>
    <row r="3" spans="1:25" x14ac:dyDescent="0.25">
      <c r="J3" s="78" t="s">
        <v>37</v>
      </c>
      <c r="K3" s="1">
        <v>1</v>
      </c>
      <c r="L3" s="46"/>
      <c r="M3" s="47" t="s">
        <v>38</v>
      </c>
      <c r="N3" s="46"/>
      <c r="O3" s="48" t="s">
        <v>39</v>
      </c>
      <c r="Y3" s="16"/>
    </row>
    <row r="4" spans="1:25" x14ac:dyDescent="0.25">
      <c r="K4" s="15">
        <v>2</v>
      </c>
      <c r="L4" s="49" t="s">
        <v>40</v>
      </c>
      <c r="M4" s="50" t="s">
        <v>41</v>
      </c>
      <c r="N4" s="49" t="s">
        <v>42</v>
      </c>
      <c r="O4" s="50" t="s">
        <v>43</v>
      </c>
      <c r="Y4" s="16"/>
    </row>
    <row r="5" spans="1:25" x14ac:dyDescent="0.25">
      <c r="A5" s="77" t="s">
        <v>44</v>
      </c>
      <c r="K5" s="15">
        <v>3</v>
      </c>
      <c r="L5" s="24" t="s">
        <v>40</v>
      </c>
      <c r="M5" s="18" t="s">
        <v>45</v>
      </c>
      <c r="N5" s="24" t="s">
        <v>42</v>
      </c>
      <c r="O5" s="18" t="s">
        <v>46</v>
      </c>
      <c r="Y5" s="16"/>
    </row>
    <row r="6" spans="1:25" x14ac:dyDescent="0.25">
      <c r="A6" s="6" t="s">
        <v>47</v>
      </c>
      <c r="B6" s="10" t="s">
        <v>0</v>
      </c>
      <c r="C6" s="10" t="s">
        <v>48</v>
      </c>
      <c r="D6" s="10" t="s">
        <v>49</v>
      </c>
      <c r="E6" s="10" t="s">
        <v>50</v>
      </c>
      <c r="F6" s="10" t="s">
        <v>51</v>
      </c>
      <c r="G6" s="10" t="s">
        <v>52</v>
      </c>
      <c r="H6" s="10" t="s">
        <v>53</v>
      </c>
      <c r="I6" s="10"/>
      <c r="K6" s="15">
        <v>4</v>
      </c>
      <c r="L6" s="24" t="s">
        <v>40</v>
      </c>
      <c r="M6" s="18" t="s">
        <v>54</v>
      </c>
      <c r="N6" s="24" t="s">
        <v>42</v>
      </c>
      <c r="O6" s="18" t="s">
        <v>55</v>
      </c>
      <c r="Y6" s="5"/>
    </row>
    <row r="7" spans="1:25" x14ac:dyDescent="0.25">
      <c r="A7" s="6" t="s">
        <v>11</v>
      </c>
      <c r="B7" s="89" t="s">
        <v>56</v>
      </c>
      <c r="C7" s="89" t="s">
        <v>57</v>
      </c>
      <c r="D7" s="90">
        <v>44197</v>
      </c>
      <c r="E7" s="87">
        <v>8</v>
      </c>
      <c r="F7" s="88">
        <v>45658</v>
      </c>
      <c r="G7" s="7" t="s">
        <v>58</v>
      </c>
      <c r="H7" s="89" t="s">
        <v>59</v>
      </c>
      <c r="I7" s="7" t="s">
        <v>60</v>
      </c>
      <c r="K7" s="15">
        <v>5</v>
      </c>
      <c r="L7" s="24" t="s">
        <v>40</v>
      </c>
      <c r="M7" s="33" t="s">
        <v>61</v>
      </c>
      <c r="N7" s="24" t="s">
        <v>42</v>
      </c>
      <c r="O7" s="18" t="s">
        <v>62</v>
      </c>
      <c r="Y7" s="5"/>
    </row>
    <row r="8" spans="1:25" x14ac:dyDescent="0.25">
      <c r="A8" s="6"/>
      <c r="B8" s="7"/>
      <c r="C8" s="7"/>
      <c r="D8" s="7"/>
      <c r="E8" s="59"/>
      <c r="F8" s="59"/>
      <c r="G8" s="59"/>
      <c r="H8" s="7"/>
      <c r="I8" s="7"/>
      <c r="K8" s="15">
        <v>6</v>
      </c>
      <c r="L8" s="24" t="s">
        <v>42</v>
      </c>
      <c r="M8" s="18" t="s">
        <v>43</v>
      </c>
      <c r="N8" s="24" t="s">
        <v>40</v>
      </c>
      <c r="O8" s="18" t="s">
        <v>41</v>
      </c>
      <c r="Y8" s="20"/>
    </row>
    <row r="9" spans="1:25" x14ac:dyDescent="0.25">
      <c r="A9" s="77" t="s">
        <v>63</v>
      </c>
      <c r="K9" s="15">
        <v>7</v>
      </c>
      <c r="L9" s="24" t="s">
        <v>42</v>
      </c>
      <c r="M9" s="18" t="s">
        <v>46</v>
      </c>
      <c r="N9" s="24" t="s">
        <v>40</v>
      </c>
      <c r="O9" s="18" t="s">
        <v>45</v>
      </c>
    </row>
    <row r="10" spans="1:25" x14ac:dyDescent="0.25">
      <c r="A10" s="6" t="s">
        <v>64</v>
      </c>
      <c r="B10" s="10" t="s">
        <v>0</v>
      </c>
      <c r="C10" s="10" t="s">
        <v>48</v>
      </c>
      <c r="D10" s="10" t="s">
        <v>49</v>
      </c>
      <c r="E10" s="10" t="s">
        <v>50</v>
      </c>
      <c r="F10" s="10" t="s">
        <v>51</v>
      </c>
      <c r="G10" s="10" t="s">
        <v>52</v>
      </c>
      <c r="H10"/>
      <c r="I10"/>
      <c r="K10" s="15">
        <v>8</v>
      </c>
      <c r="L10" s="24" t="s">
        <v>42</v>
      </c>
      <c r="M10" s="18" t="s">
        <v>55</v>
      </c>
      <c r="N10" s="24" t="s">
        <v>40</v>
      </c>
      <c r="O10" s="18" t="s">
        <v>54</v>
      </c>
      <c r="Y10" s="20"/>
    </row>
    <row r="11" spans="1:25" x14ac:dyDescent="0.25">
      <c r="A11" s="6" t="s">
        <v>65</v>
      </c>
      <c r="B11" s="89" t="s">
        <v>66</v>
      </c>
      <c r="C11" s="89" t="s">
        <v>67</v>
      </c>
      <c r="D11" s="90">
        <v>44562</v>
      </c>
      <c r="E11" s="89">
        <v>1</v>
      </c>
      <c r="F11" s="90">
        <v>44562</v>
      </c>
      <c r="G11" s="5" t="s">
        <v>68</v>
      </c>
      <c r="H11"/>
      <c r="I11"/>
      <c r="K11" s="15">
        <v>9</v>
      </c>
      <c r="L11" s="24" t="s">
        <v>42</v>
      </c>
      <c r="M11" s="18" t="s">
        <v>62</v>
      </c>
      <c r="N11" s="27" t="s">
        <v>40</v>
      </c>
      <c r="O11" s="34" t="s">
        <v>61</v>
      </c>
      <c r="Y11" s="21"/>
    </row>
    <row r="12" spans="1:25" x14ac:dyDescent="0.25">
      <c r="A12" s="4" t="s">
        <v>69</v>
      </c>
      <c r="B12" s="89" t="s">
        <v>70</v>
      </c>
      <c r="C12" s="89" t="s">
        <v>67</v>
      </c>
      <c r="D12" s="90">
        <v>44197</v>
      </c>
      <c r="E12" s="89">
        <v>1</v>
      </c>
      <c r="F12" s="90">
        <v>44197</v>
      </c>
      <c r="G12" s="5" t="s">
        <v>68</v>
      </c>
      <c r="H12"/>
      <c r="I12"/>
      <c r="K12" s="15">
        <v>10</v>
      </c>
      <c r="L12" s="51" t="s">
        <v>71</v>
      </c>
      <c r="M12" s="50" t="s">
        <v>72</v>
      </c>
      <c r="N12" s="51" t="s">
        <v>73</v>
      </c>
      <c r="O12" s="50" t="s">
        <v>74</v>
      </c>
    </row>
    <row r="13" spans="1:25" x14ac:dyDescent="0.25">
      <c r="A13" s="4" t="s">
        <v>75</v>
      </c>
      <c r="B13" s="89" t="s">
        <v>76</v>
      </c>
      <c r="C13" s="89" t="s">
        <v>77</v>
      </c>
      <c r="D13" s="90">
        <v>44927</v>
      </c>
      <c r="E13" s="89">
        <v>2</v>
      </c>
      <c r="F13" s="90">
        <v>44927</v>
      </c>
      <c r="G13" s="5" t="s">
        <v>68</v>
      </c>
      <c r="H13"/>
      <c r="I13"/>
      <c r="K13" s="15">
        <v>11</v>
      </c>
      <c r="L13" s="25" t="s">
        <v>71</v>
      </c>
      <c r="M13" s="18" t="s">
        <v>78</v>
      </c>
      <c r="N13" s="25" t="s">
        <v>73</v>
      </c>
      <c r="O13" s="18" t="s">
        <v>79</v>
      </c>
    </row>
    <row r="14" spans="1:25" x14ac:dyDescent="0.25">
      <c r="A14" s="4" t="s">
        <v>80</v>
      </c>
      <c r="B14" s="89" t="s">
        <v>81</v>
      </c>
      <c r="C14" s="89" t="s">
        <v>67</v>
      </c>
      <c r="D14" s="90">
        <v>44197</v>
      </c>
      <c r="E14" s="89">
        <v>2</v>
      </c>
      <c r="F14" s="90">
        <v>44197</v>
      </c>
      <c r="G14" s="5" t="s">
        <v>68</v>
      </c>
      <c r="H14"/>
      <c r="I14"/>
      <c r="K14" s="15">
        <v>12</v>
      </c>
      <c r="L14" s="25" t="s">
        <v>71</v>
      </c>
      <c r="M14" s="18" t="s">
        <v>82</v>
      </c>
      <c r="N14" s="25" t="s">
        <v>73</v>
      </c>
      <c r="O14" s="18" t="s">
        <v>83</v>
      </c>
    </row>
    <row r="15" spans="1:25" x14ac:dyDescent="0.25">
      <c r="A15" s="4" t="s">
        <v>14</v>
      </c>
      <c r="B15" s="89" t="s">
        <v>84</v>
      </c>
      <c r="C15" s="89" t="s">
        <v>57</v>
      </c>
      <c r="D15" s="90">
        <v>45292</v>
      </c>
      <c r="E15" s="89">
        <v>4</v>
      </c>
      <c r="F15" s="90">
        <v>45292</v>
      </c>
      <c r="G15" s="5" t="s">
        <v>68</v>
      </c>
      <c r="H15"/>
      <c r="I15"/>
      <c r="K15" s="15">
        <v>13</v>
      </c>
      <c r="L15" s="25" t="s">
        <v>71</v>
      </c>
      <c r="M15" s="33" t="s">
        <v>61</v>
      </c>
      <c r="N15" s="25" t="s">
        <v>73</v>
      </c>
      <c r="O15" s="33" t="s">
        <v>61</v>
      </c>
      <c r="Y15" s="5"/>
    </row>
    <row r="16" spans="1:25" x14ac:dyDescent="0.25">
      <c r="A16" s="4" t="s">
        <v>85</v>
      </c>
      <c r="B16" s="89" t="s">
        <v>86</v>
      </c>
      <c r="C16" s="89" t="s">
        <v>67</v>
      </c>
      <c r="D16" s="90">
        <v>44197</v>
      </c>
      <c r="E16" s="89">
        <v>1</v>
      </c>
      <c r="F16" s="90">
        <v>44197</v>
      </c>
      <c r="G16" s="5" t="s">
        <v>68</v>
      </c>
      <c r="H16"/>
      <c r="I16"/>
      <c r="K16" s="15">
        <v>14</v>
      </c>
      <c r="L16" s="25" t="s">
        <v>73</v>
      </c>
      <c r="M16" s="18" t="s">
        <v>74</v>
      </c>
      <c r="N16" s="25" t="s">
        <v>71</v>
      </c>
      <c r="O16" s="18" t="s">
        <v>72</v>
      </c>
      <c r="Y16" s="5"/>
    </row>
    <row r="17" spans="1:25" x14ac:dyDescent="0.25">
      <c r="A17" s="4"/>
      <c r="B17" s="5"/>
      <c r="C17" s="5"/>
      <c r="D17" s="5"/>
      <c r="E17" s="75"/>
      <c r="F17" s="75"/>
      <c r="G17" s="75"/>
      <c r="H17"/>
      <c r="I17"/>
      <c r="K17" s="15">
        <v>15</v>
      </c>
      <c r="L17" s="25" t="s">
        <v>73</v>
      </c>
      <c r="M17" s="18" t="s">
        <v>79</v>
      </c>
      <c r="N17" s="25" t="s">
        <v>71</v>
      </c>
      <c r="O17" s="18" t="s">
        <v>78</v>
      </c>
      <c r="Y17" s="5"/>
    </row>
    <row r="18" spans="1:25" x14ac:dyDescent="0.25">
      <c r="A18" s="77" t="s">
        <v>87</v>
      </c>
      <c r="H18"/>
      <c r="I18"/>
      <c r="K18" s="15">
        <v>16</v>
      </c>
      <c r="L18" s="25" t="s">
        <v>73</v>
      </c>
      <c r="M18" s="18" t="s">
        <v>83</v>
      </c>
      <c r="N18" s="25" t="s">
        <v>71</v>
      </c>
      <c r="O18" s="18" t="s">
        <v>82</v>
      </c>
      <c r="Y18" s="5"/>
    </row>
    <row r="19" spans="1:25" x14ac:dyDescent="0.25">
      <c r="A19" s="11" t="s">
        <v>88</v>
      </c>
      <c r="B19" s="76" t="s">
        <v>89</v>
      </c>
      <c r="C19" s="7" t="s">
        <v>90</v>
      </c>
      <c r="K19" s="15">
        <v>17</v>
      </c>
      <c r="L19" s="26" t="s">
        <v>73</v>
      </c>
      <c r="M19" s="35" t="s">
        <v>61</v>
      </c>
      <c r="N19" s="26" t="s">
        <v>71</v>
      </c>
      <c r="O19" s="35" t="s">
        <v>61</v>
      </c>
    </row>
    <row r="20" spans="1:25" x14ac:dyDescent="0.25">
      <c r="A20" s="6" t="s">
        <v>91</v>
      </c>
      <c r="B20" s="7" t="s">
        <v>92</v>
      </c>
      <c r="C20" s="7" t="s">
        <v>93</v>
      </c>
      <c r="K20" s="15">
        <v>18</v>
      </c>
      <c r="L20" s="51" t="s">
        <v>94</v>
      </c>
      <c r="M20" s="50" t="s">
        <v>95</v>
      </c>
      <c r="N20" s="51" t="s">
        <v>96</v>
      </c>
      <c r="O20" s="50" t="s">
        <v>97</v>
      </c>
    </row>
    <row r="21" spans="1:25" x14ac:dyDescent="0.25">
      <c r="A21" s="6" t="s">
        <v>17</v>
      </c>
      <c r="B21" s="7" t="s">
        <v>93</v>
      </c>
      <c r="C21" s="7" t="s">
        <v>92</v>
      </c>
      <c r="K21" s="15">
        <v>19</v>
      </c>
      <c r="L21" s="25" t="s">
        <v>94</v>
      </c>
      <c r="M21" s="18" t="s">
        <v>98</v>
      </c>
      <c r="N21" s="25" t="s">
        <v>96</v>
      </c>
      <c r="O21" s="18" t="s">
        <v>99</v>
      </c>
    </row>
    <row r="22" spans="1:25" x14ac:dyDescent="0.25">
      <c r="E22" s="14"/>
      <c r="F22" s="14"/>
      <c r="G22" s="14"/>
      <c r="K22" s="15">
        <v>20</v>
      </c>
      <c r="L22" s="25" t="s">
        <v>94</v>
      </c>
      <c r="M22" s="18" t="s">
        <v>100</v>
      </c>
      <c r="N22" s="25" t="s">
        <v>96</v>
      </c>
      <c r="O22" s="18" t="s">
        <v>101</v>
      </c>
    </row>
    <row r="23" spans="1:25" x14ac:dyDescent="0.25">
      <c r="A23" s="4"/>
      <c r="B23" s="4"/>
      <c r="K23" s="15">
        <v>21</v>
      </c>
      <c r="L23" s="25" t="s">
        <v>94</v>
      </c>
      <c r="M23" s="18" t="s">
        <v>102</v>
      </c>
      <c r="N23" s="25" t="s">
        <v>96</v>
      </c>
      <c r="O23" s="33" t="s">
        <v>61</v>
      </c>
    </row>
    <row r="24" spans="1:25" x14ac:dyDescent="0.25">
      <c r="A24"/>
      <c r="K24" s="15">
        <v>22</v>
      </c>
      <c r="L24" s="25" t="s">
        <v>96</v>
      </c>
      <c r="M24" s="18" t="s">
        <v>97</v>
      </c>
      <c r="N24" s="25" t="s">
        <v>94</v>
      </c>
      <c r="O24" s="18" t="s">
        <v>95</v>
      </c>
    </row>
    <row r="25" spans="1:25" x14ac:dyDescent="0.25">
      <c r="A25" s="10" t="s">
        <v>103</v>
      </c>
      <c r="B25" s="93">
        <v>45533</v>
      </c>
      <c r="D25" s="93"/>
      <c r="K25" s="15">
        <v>23</v>
      </c>
      <c r="L25" s="25" t="s">
        <v>96</v>
      </c>
      <c r="M25" s="18" t="s">
        <v>99</v>
      </c>
      <c r="N25" s="25" t="s">
        <v>94</v>
      </c>
      <c r="O25" s="18" t="s">
        <v>98</v>
      </c>
    </row>
    <row r="26" spans="1:25" x14ac:dyDescent="0.25">
      <c r="A26" s="10" t="s">
        <v>104</v>
      </c>
      <c r="B26" s="93">
        <v>45533</v>
      </c>
      <c r="D26" s="93"/>
      <c r="H26" s="28"/>
      <c r="I26" s="28"/>
      <c r="K26" s="15">
        <v>24</v>
      </c>
      <c r="L26" s="25" t="s">
        <v>96</v>
      </c>
      <c r="M26" s="18" t="s">
        <v>101</v>
      </c>
      <c r="N26" s="25" t="s">
        <v>94</v>
      </c>
      <c r="O26" s="18" t="s">
        <v>100</v>
      </c>
    </row>
    <row r="27" spans="1:25" x14ac:dyDescent="0.25">
      <c r="A27" s="10" t="s">
        <v>105</v>
      </c>
      <c r="B27" s="93">
        <v>45597</v>
      </c>
      <c r="C27"/>
      <c r="D27" s="93"/>
      <c r="E27"/>
      <c r="F27"/>
      <c r="G27"/>
      <c r="H27"/>
      <c r="I27"/>
      <c r="K27" s="15">
        <v>25</v>
      </c>
      <c r="L27" s="26" t="s">
        <v>96</v>
      </c>
      <c r="M27" s="35" t="s">
        <v>61</v>
      </c>
      <c r="N27" s="26" t="s">
        <v>94</v>
      </c>
      <c r="O27" s="30" t="s">
        <v>102</v>
      </c>
    </row>
    <row r="28" spans="1:25" x14ac:dyDescent="0.25">
      <c r="A28" s="10" t="s">
        <v>106</v>
      </c>
      <c r="B28" s="93">
        <v>45597</v>
      </c>
      <c r="C28"/>
      <c r="D28" s="93"/>
      <c r="E28"/>
      <c r="F28"/>
      <c r="G28"/>
      <c r="H28"/>
      <c r="I28"/>
      <c r="L28" s="45"/>
      <c r="M28" s="52" t="s">
        <v>107</v>
      </c>
      <c r="N28" s="45"/>
      <c r="O28" s="52" t="s">
        <v>107</v>
      </c>
    </row>
    <row r="29" spans="1:25" x14ac:dyDescent="0.25">
      <c r="A29" s="10" t="s">
        <v>108</v>
      </c>
      <c r="B29" s="93">
        <v>45597</v>
      </c>
      <c r="C29"/>
      <c r="D29" s="93"/>
      <c r="E29"/>
      <c r="F29"/>
      <c r="G29"/>
      <c r="H29"/>
      <c r="I29"/>
      <c r="J29"/>
      <c r="M29" s="69" t="s">
        <v>109</v>
      </c>
      <c r="O29" s="69" t="s">
        <v>109</v>
      </c>
    </row>
    <row r="30" spans="1:25" x14ac:dyDescent="0.25">
      <c r="A30" s="10" t="s">
        <v>110</v>
      </c>
      <c r="B30" s="93">
        <v>45597</v>
      </c>
      <c r="C30"/>
      <c r="D30" s="93"/>
      <c r="E30"/>
      <c r="F30"/>
      <c r="G30"/>
      <c r="H30"/>
      <c r="I30"/>
      <c r="J30"/>
    </row>
    <row r="31" spans="1:25" x14ac:dyDescent="0.25">
      <c r="A31" s="10" t="s">
        <v>111</v>
      </c>
      <c r="B31" s="93">
        <v>45597</v>
      </c>
      <c r="C31"/>
      <c r="D31" s="93"/>
      <c r="E31"/>
      <c r="F31"/>
      <c r="G31"/>
      <c r="H31"/>
      <c r="I31"/>
      <c r="J31" s="78" t="s">
        <v>112</v>
      </c>
      <c r="K31" s="1">
        <v>1</v>
      </c>
      <c r="L31" s="53"/>
      <c r="M31" s="54" t="s">
        <v>66</v>
      </c>
      <c r="N31" s="53"/>
      <c r="O31" s="55" t="s">
        <v>70</v>
      </c>
      <c r="P31" s="53"/>
      <c r="Q31" s="54" t="s">
        <v>76</v>
      </c>
      <c r="R31" s="53"/>
      <c r="S31" s="55" t="s">
        <v>81</v>
      </c>
      <c r="T31" s="53"/>
      <c r="U31" s="55" t="s">
        <v>84</v>
      </c>
      <c r="V31" s="53"/>
      <c r="W31" s="55" t="s">
        <v>86</v>
      </c>
    </row>
    <row r="32" spans="1:25" x14ac:dyDescent="0.25">
      <c r="A32" s="10" t="s">
        <v>113</v>
      </c>
      <c r="B32" s="93">
        <v>45597</v>
      </c>
      <c r="C32"/>
      <c r="D32" s="93"/>
      <c r="E32"/>
      <c r="F32"/>
      <c r="G32"/>
      <c r="H32"/>
      <c r="I32"/>
      <c r="J32"/>
      <c r="K32" s="15">
        <v>2</v>
      </c>
      <c r="L32" s="49" t="s">
        <v>114</v>
      </c>
      <c r="M32" s="72" t="s">
        <v>115</v>
      </c>
      <c r="N32" s="49" t="s">
        <v>114</v>
      </c>
      <c r="O32" s="72" t="s">
        <v>116</v>
      </c>
      <c r="P32" s="49" t="s">
        <v>114</v>
      </c>
      <c r="Q32" s="72" t="s">
        <v>115</v>
      </c>
      <c r="R32" s="49" t="s">
        <v>114</v>
      </c>
      <c r="S32" s="72" t="s">
        <v>116</v>
      </c>
      <c r="T32" s="49" t="s">
        <v>114</v>
      </c>
      <c r="U32" s="56" t="s">
        <v>117</v>
      </c>
      <c r="V32" s="49" t="s">
        <v>114</v>
      </c>
      <c r="W32" s="72" t="s">
        <v>116</v>
      </c>
    </row>
    <row r="33" spans="1:23" x14ac:dyDescent="0.25">
      <c r="A33" s="10" t="s">
        <v>118</v>
      </c>
      <c r="B33" s="93">
        <v>45597</v>
      </c>
      <c r="C33"/>
      <c r="D33" s="93"/>
      <c r="E33"/>
      <c r="F33"/>
      <c r="G33"/>
      <c r="H33"/>
      <c r="I33"/>
      <c r="J33"/>
      <c r="K33" s="15">
        <v>3</v>
      </c>
      <c r="L33" s="24" t="s">
        <v>119</v>
      </c>
      <c r="M33" s="18" t="s">
        <v>120</v>
      </c>
      <c r="N33" s="24" t="s">
        <v>119</v>
      </c>
      <c r="O33" s="18" t="s">
        <v>121</v>
      </c>
      <c r="P33" s="24" t="s">
        <v>119</v>
      </c>
      <c r="Q33" s="18" t="s">
        <v>122</v>
      </c>
      <c r="R33" s="24" t="s">
        <v>119</v>
      </c>
      <c r="S33" s="18" t="s">
        <v>123</v>
      </c>
      <c r="T33" s="24" t="s">
        <v>119</v>
      </c>
      <c r="U33" s="32" t="s">
        <v>124</v>
      </c>
      <c r="V33" s="24" t="s">
        <v>119</v>
      </c>
      <c r="W33" s="32" t="s">
        <v>125</v>
      </c>
    </row>
    <row r="34" spans="1:23" ht="15.75" customHeight="1" x14ac:dyDescent="0.25">
      <c r="J34"/>
      <c r="K34" s="15">
        <v>4</v>
      </c>
      <c r="L34" s="24" t="s">
        <v>126</v>
      </c>
      <c r="M34" s="18" t="s">
        <v>127</v>
      </c>
      <c r="N34" s="24" t="s">
        <v>126</v>
      </c>
      <c r="O34" s="18" t="s">
        <v>128</v>
      </c>
      <c r="P34" s="24" t="s">
        <v>126</v>
      </c>
      <c r="Q34" s="18" t="s">
        <v>129</v>
      </c>
      <c r="R34" s="24" t="s">
        <v>126</v>
      </c>
      <c r="S34" s="18" t="s">
        <v>130</v>
      </c>
      <c r="T34" s="24" t="s">
        <v>126</v>
      </c>
      <c r="U34" s="32" t="s">
        <v>131</v>
      </c>
      <c r="V34" s="24" t="s">
        <v>126</v>
      </c>
      <c r="W34" s="32" t="s">
        <v>132</v>
      </c>
    </row>
    <row r="35" spans="1:23" x14ac:dyDescent="0.25">
      <c r="J35"/>
      <c r="K35" s="15">
        <v>5</v>
      </c>
      <c r="L35" s="24" t="s">
        <v>133</v>
      </c>
      <c r="M35" s="18" t="s">
        <v>134</v>
      </c>
      <c r="N35" s="24" t="s">
        <v>133</v>
      </c>
      <c r="O35" s="18" t="s">
        <v>135</v>
      </c>
      <c r="P35" s="24" t="s">
        <v>133</v>
      </c>
      <c r="Q35" s="18" t="s">
        <v>136</v>
      </c>
      <c r="R35" s="24" t="s">
        <v>133</v>
      </c>
      <c r="S35" s="18" t="s">
        <v>137</v>
      </c>
      <c r="T35" s="24" t="s">
        <v>133</v>
      </c>
      <c r="U35" s="73" t="s">
        <v>138</v>
      </c>
      <c r="V35" s="24" t="s">
        <v>133</v>
      </c>
      <c r="W35" s="32" t="s">
        <v>139</v>
      </c>
    </row>
    <row r="36" spans="1:23" ht="15.75" customHeight="1" x14ac:dyDescent="0.25">
      <c r="J36"/>
      <c r="K36" s="15">
        <v>6</v>
      </c>
      <c r="L36" s="24" t="s">
        <v>140</v>
      </c>
      <c r="M36" s="32" t="s">
        <v>138</v>
      </c>
      <c r="N36" s="24" t="s">
        <v>140</v>
      </c>
      <c r="O36" s="41" t="s">
        <v>314</v>
      </c>
      <c r="P36" s="24" t="s">
        <v>140</v>
      </c>
      <c r="Q36" s="18" t="s">
        <v>138</v>
      </c>
      <c r="R36" s="24" t="s">
        <v>140</v>
      </c>
      <c r="S36" s="18" t="s">
        <v>142</v>
      </c>
      <c r="T36" s="24" t="s">
        <v>140</v>
      </c>
      <c r="U36" s="73" t="s">
        <v>143</v>
      </c>
      <c r="V36" s="24" t="s">
        <v>140</v>
      </c>
      <c r="W36" s="18" t="s">
        <v>144</v>
      </c>
    </row>
    <row r="37" spans="1:23" ht="15.75" customHeight="1" x14ac:dyDescent="0.25">
      <c r="J37"/>
      <c r="K37" s="15">
        <v>7</v>
      </c>
      <c r="L37" s="24" t="s">
        <v>145</v>
      </c>
      <c r="M37" s="32" t="s">
        <v>146</v>
      </c>
      <c r="N37" s="24"/>
      <c r="O37" s="18"/>
      <c r="P37" s="24" t="s">
        <v>145</v>
      </c>
      <c r="Q37" s="18" t="s">
        <v>147</v>
      </c>
      <c r="R37" s="24"/>
      <c r="S37" s="18"/>
      <c r="T37" s="24" t="s">
        <v>145</v>
      </c>
      <c r="U37" s="32" t="s">
        <v>148</v>
      </c>
      <c r="V37" s="24"/>
      <c r="W37" s="18"/>
    </row>
    <row r="38" spans="1:23" x14ac:dyDescent="0.25">
      <c r="J38"/>
      <c r="K38" s="15">
        <v>8</v>
      </c>
      <c r="L38" s="24" t="s">
        <v>149</v>
      </c>
      <c r="M38" s="41" t="s">
        <v>150</v>
      </c>
      <c r="N38" s="24"/>
      <c r="O38" s="18"/>
      <c r="P38" s="24" t="s">
        <v>149</v>
      </c>
      <c r="Q38" s="18" t="s">
        <v>151</v>
      </c>
      <c r="R38" s="24"/>
      <c r="S38" s="18"/>
      <c r="T38" s="24" t="s">
        <v>149</v>
      </c>
      <c r="U38" s="32" t="s">
        <v>152</v>
      </c>
      <c r="V38" s="24"/>
      <c r="W38" s="32"/>
    </row>
    <row r="39" spans="1:23" x14ac:dyDescent="0.25">
      <c r="J39"/>
      <c r="K39" s="15">
        <v>9</v>
      </c>
      <c r="L39" s="24" t="s">
        <v>153</v>
      </c>
      <c r="M39" s="18" t="s">
        <v>154</v>
      </c>
      <c r="N39" s="24"/>
      <c r="O39" s="18"/>
      <c r="P39" s="24" t="s">
        <v>153</v>
      </c>
      <c r="Q39" s="18" t="s">
        <v>154</v>
      </c>
      <c r="R39" s="24"/>
      <c r="S39" s="18"/>
      <c r="T39" s="24" t="s">
        <v>153</v>
      </c>
      <c r="U39" s="32" t="s">
        <v>138</v>
      </c>
      <c r="V39" s="24"/>
      <c r="W39" s="32"/>
    </row>
    <row r="40" spans="1:23" x14ac:dyDescent="0.25">
      <c r="J40"/>
      <c r="K40" s="15">
        <v>10</v>
      </c>
      <c r="L40" s="24"/>
      <c r="M40" s="18"/>
      <c r="N40" s="24"/>
      <c r="O40" s="18"/>
      <c r="P40" s="24"/>
      <c r="Q40" s="18"/>
      <c r="R40" s="24"/>
      <c r="S40" s="18"/>
      <c r="T40" s="24" t="s">
        <v>155</v>
      </c>
      <c r="U40" s="32" t="s">
        <v>156</v>
      </c>
      <c r="V40" s="24"/>
      <c r="W40" s="32"/>
    </row>
    <row r="41" spans="1:23" x14ac:dyDescent="0.25">
      <c r="J41"/>
      <c r="K41" s="15">
        <v>11</v>
      </c>
      <c r="L41" s="24"/>
      <c r="M41" s="18"/>
      <c r="N41" s="24"/>
      <c r="O41" s="18"/>
      <c r="P41" s="24"/>
      <c r="Q41" s="18"/>
      <c r="R41" s="24"/>
      <c r="S41" s="18"/>
      <c r="T41" s="24" t="s">
        <v>157</v>
      </c>
      <c r="U41" s="32" t="s">
        <v>158</v>
      </c>
      <c r="V41" s="24"/>
      <c r="W41" s="32"/>
    </row>
    <row r="42" spans="1:23" x14ac:dyDescent="0.25">
      <c r="J42"/>
      <c r="K42" s="15">
        <v>12</v>
      </c>
      <c r="L42" s="24"/>
      <c r="M42" s="18"/>
      <c r="N42" s="24"/>
      <c r="O42" s="18"/>
      <c r="P42" s="24"/>
      <c r="Q42" s="18"/>
      <c r="R42" s="24"/>
      <c r="S42" s="18"/>
      <c r="T42" s="24" t="s">
        <v>159</v>
      </c>
      <c r="U42" s="32" t="s">
        <v>160</v>
      </c>
      <c r="V42" s="24"/>
      <c r="W42" s="32"/>
    </row>
    <row r="43" spans="1:23" x14ac:dyDescent="0.25">
      <c r="J43"/>
      <c r="K43" s="15">
        <v>13</v>
      </c>
      <c r="L43" s="24"/>
      <c r="M43" s="18"/>
      <c r="N43" s="24"/>
      <c r="O43" s="18"/>
      <c r="P43" s="24"/>
      <c r="Q43" s="18"/>
      <c r="R43" s="24"/>
      <c r="S43" s="18"/>
      <c r="T43" s="24" t="s">
        <v>161</v>
      </c>
      <c r="U43" s="32" t="s">
        <v>162</v>
      </c>
      <c r="V43" s="24"/>
      <c r="W43" s="32"/>
    </row>
    <row r="44" spans="1:23" x14ac:dyDescent="0.25">
      <c r="J44"/>
      <c r="K44" s="15">
        <v>14</v>
      </c>
      <c r="L44" s="24"/>
      <c r="M44" s="18"/>
      <c r="N44" s="24"/>
      <c r="O44" s="18"/>
      <c r="P44" s="24"/>
      <c r="Q44" s="18"/>
      <c r="R44" s="24"/>
      <c r="S44" s="18"/>
      <c r="T44" s="24" t="s">
        <v>163</v>
      </c>
      <c r="U44" s="32" t="s">
        <v>164</v>
      </c>
      <c r="V44" s="24"/>
      <c r="W44" s="32"/>
    </row>
    <row r="45" spans="1:23" x14ac:dyDescent="0.25">
      <c r="J45"/>
      <c r="K45" s="15">
        <v>15</v>
      </c>
      <c r="L45" s="24"/>
      <c r="M45" s="18"/>
      <c r="N45" s="24"/>
      <c r="O45" s="18"/>
      <c r="P45" s="24"/>
      <c r="Q45" s="18"/>
      <c r="R45" s="24"/>
      <c r="S45" s="18"/>
      <c r="T45" s="24" t="s">
        <v>165</v>
      </c>
      <c r="U45" s="32" t="s">
        <v>166</v>
      </c>
      <c r="V45" s="24"/>
      <c r="W45" s="32"/>
    </row>
    <row r="46" spans="1:23" x14ac:dyDescent="0.25">
      <c r="J46"/>
      <c r="K46" s="15">
        <v>16</v>
      </c>
      <c r="L46" s="24"/>
      <c r="M46" s="18"/>
      <c r="N46" s="24"/>
      <c r="O46" s="18"/>
      <c r="P46" s="24"/>
      <c r="Q46" s="18"/>
      <c r="R46" s="24"/>
      <c r="S46" s="18"/>
      <c r="T46" s="24" t="s">
        <v>167</v>
      </c>
      <c r="U46" s="32" t="s">
        <v>168</v>
      </c>
      <c r="V46" s="24"/>
      <c r="W46" s="32"/>
    </row>
    <row r="47" spans="1:23" x14ac:dyDescent="0.25">
      <c r="J47"/>
      <c r="K47" s="15">
        <v>17</v>
      </c>
      <c r="L47" s="65"/>
      <c r="M47" s="63"/>
      <c r="N47" s="24"/>
      <c r="O47" s="18"/>
      <c r="P47" s="24"/>
      <c r="Q47" s="18"/>
      <c r="R47" s="24"/>
      <c r="S47" s="18"/>
      <c r="T47" s="24" t="s">
        <v>169</v>
      </c>
      <c r="U47" s="32" t="s">
        <v>170</v>
      </c>
      <c r="V47" s="24"/>
      <c r="W47" s="32"/>
    </row>
    <row r="48" spans="1:23" x14ac:dyDescent="0.25">
      <c r="J48"/>
      <c r="K48" s="15">
        <v>18</v>
      </c>
      <c r="L48" s="65"/>
      <c r="M48" s="63"/>
      <c r="N48" s="24"/>
      <c r="O48" s="18"/>
      <c r="P48" s="24"/>
      <c r="Q48" s="18"/>
      <c r="R48" s="24"/>
      <c r="S48" s="18"/>
      <c r="T48" s="24" t="s">
        <v>171</v>
      </c>
      <c r="U48" s="32" t="s">
        <v>172</v>
      </c>
      <c r="V48" s="24"/>
      <c r="W48" s="32"/>
    </row>
    <row r="49" spans="10:23" x14ac:dyDescent="0.25">
      <c r="J49"/>
      <c r="K49" s="15">
        <v>19</v>
      </c>
      <c r="L49" s="65"/>
      <c r="M49" s="63"/>
      <c r="N49" s="24"/>
      <c r="O49" s="18"/>
      <c r="P49" s="24"/>
      <c r="Q49" s="18"/>
      <c r="R49" s="24"/>
      <c r="S49" s="18"/>
      <c r="T49" s="24" t="s">
        <v>173</v>
      </c>
      <c r="U49" s="32" t="s">
        <v>174</v>
      </c>
      <c r="V49" s="24"/>
      <c r="W49" s="32"/>
    </row>
    <row r="50" spans="10:23" x14ac:dyDescent="0.25">
      <c r="J50"/>
      <c r="K50" s="15">
        <v>20</v>
      </c>
      <c r="L50" s="65"/>
      <c r="M50" s="63"/>
      <c r="N50" s="24"/>
      <c r="O50" s="18"/>
      <c r="P50" s="24"/>
      <c r="Q50" s="18"/>
      <c r="R50" s="24"/>
      <c r="S50" s="18"/>
      <c r="T50" s="24" t="s">
        <v>175</v>
      </c>
      <c r="U50" s="32" t="s">
        <v>154</v>
      </c>
      <c r="V50" s="24"/>
      <c r="W50" s="32"/>
    </row>
    <row r="51" spans="10:23" x14ac:dyDescent="0.25">
      <c r="J51"/>
      <c r="K51" s="15">
        <v>21</v>
      </c>
      <c r="L51" s="65"/>
      <c r="M51" s="63"/>
      <c r="N51" s="24"/>
      <c r="O51" s="18"/>
      <c r="P51" s="24"/>
      <c r="Q51" s="18"/>
      <c r="R51" s="24"/>
      <c r="S51" s="18"/>
      <c r="T51" s="24" t="s">
        <v>176</v>
      </c>
      <c r="U51" s="32" t="s">
        <v>177</v>
      </c>
      <c r="V51" s="24"/>
      <c r="W51" s="32"/>
    </row>
    <row r="52" spans="10:23" x14ac:dyDescent="0.25">
      <c r="J52"/>
      <c r="K52" s="15">
        <v>22</v>
      </c>
      <c r="L52" s="65"/>
      <c r="M52" s="63"/>
      <c r="N52" s="24"/>
      <c r="O52" s="18"/>
      <c r="P52" s="24"/>
      <c r="Q52" s="18"/>
      <c r="R52" s="24"/>
      <c r="S52" s="18"/>
      <c r="T52" s="24" t="s">
        <v>178</v>
      </c>
      <c r="U52" s="32" t="s">
        <v>179</v>
      </c>
      <c r="V52" s="24"/>
      <c r="W52" s="32"/>
    </row>
    <row r="53" spans="10:23" x14ac:dyDescent="0.25">
      <c r="K53" s="15">
        <v>23</v>
      </c>
      <c r="L53" s="66"/>
      <c r="M53" s="67"/>
      <c r="N53" s="27"/>
      <c r="O53" s="31"/>
      <c r="P53" s="27"/>
      <c r="Q53" s="31"/>
      <c r="R53" s="27"/>
      <c r="S53" s="31"/>
      <c r="T53" s="24"/>
      <c r="U53" s="30"/>
      <c r="V53" s="27"/>
      <c r="W53" s="30"/>
    </row>
    <row r="54" spans="10:23" x14ac:dyDescent="0.25">
      <c r="L54" s="45"/>
      <c r="M54" s="62" t="s">
        <v>180</v>
      </c>
      <c r="N54" s="45"/>
      <c r="O54" s="98" t="s">
        <v>316</v>
      </c>
      <c r="P54" s="45"/>
      <c r="Q54" s="44"/>
      <c r="R54" s="45"/>
      <c r="S54" s="44"/>
      <c r="T54" s="45"/>
      <c r="U54" s="44"/>
      <c r="V54" s="45"/>
      <c r="W54" s="44"/>
    </row>
    <row r="55" spans="10:23" x14ac:dyDescent="0.25">
      <c r="U55" s="64"/>
    </row>
  </sheetData>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6"/>
  <sheetViews>
    <sheetView zoomScale="85" zoomScaleNormal="85" workbookViewId="0">
      <pane ySplit="2" topLeftCell="A3" activePane="bottomLeft" state="frozen"/>
      <selection activeCell="B34" sqref="B34"/>
      <selection pane="bottomLeft" activeCell="B34" sqref="B34"/>
    </sheetView>
  </sheetViews>
  <sheetFormatPr defaultRowHeight="15.75" x14ac:dyDescent="0.25"/>
  <cols>
    <col min="1" max="1" width="13.75" bestFit="1" customWidth="1"/>
    <col min="2" max="2" width="6.25" style="2" bestFit="1" customWidth="1"/>
    <col min="3" max="3" width="9.375" bestFit="1" customWidth="1"/>
    <col min="4" max="4" width="69.125" bestFit="1" customWidth="1"/>
    <col min="5" max="5" width="9.375" style="2" bestFit="1" customWidth="1"/>
    <col min="6" max="6" width="39.875" customWidth="1"/>
    <col min="7" max="7" width="5.125" customWidth="1"/>
    <col min="8" max="10" width="5.75" bestFit="1" customWidth="1"/>
    <col min="11" max="11" width="36.25" customWidth="1"/>
    <col min="12" max="12" width="6" customWidth="1"/>
    <col min="13" max="13" width="6.25" bestFit="1" customWidth="1"/>
    <col min="14" max="14" width="5.75" style="2" bestFit="1" customWidth="1"/>
    <col min="15" max="15" width="6.25" style="2" bestFit="1" customWidth="1"/>
    <col min="16" max="16" width="5.75" style="2" bestFit="1" customWidth="1"/>
    <col min="17" max="17" width="6.25" style="2" customWidth="1"/>
    <col min="18" max="18" width="5.75" bestFit="1" customWidth="1"/>
    <col min="19" max="19" width="5.375" bestFit="1" customWidth="1"/>
    <col min="20" max="20" width="6.5" bestFit="1" customWidth="1"/>
    <col min="21" max="21" width="5.375" bestFit="1" customWidth="1"/>
    <col min="22" max="22" width="6.5" bestFit="1" customWidth="1"/>
    <col min="23" max="23" width="5.375" bestFit="1" customWidth="1"/>
    <col min="24" max="24" width="6.5" bestFit="1" customWidth="1"/>
    <col min="25" max="25" width="5.375" bestFit="1" customWidth="1"/>
  </cols>
  <sheetData>
    <row r="1" spans="1:19" x14ac:dyDescent="0.25">
      <c r="A1" s="17">
        <f>COLUMN()</f>
        <v>1</v>
      </c>
      <c r="B1" s="17">
        <f>COLUMN()</f>
        <v>2</v>
      </c>
      <c r="C1" s="17">
        <f>COLUMN()</f>
        <v>3</v>
      </c>
      <c r="D1" s="17">
        <f>COLUMN()</f>
        <v>4</v>
      </c>
      <c r="E1" s="17">
        <f>COLUMN()</f>
        <v>5</v>
      </c>
      <c r="F1" s="17">
        <f>COLUMN()</f>
        <v>6</v>
      </c>
      <c r="G1" s="17">
        <f>COLUMN()</f>
        <v>7</v>
      </c>
      <c r="H1" s="17">
        <f>COLUMN()</f>
        <v>8</v>
      </c>
      <c r="I1" s="17">
        <f>COLUMN()</f>
        <v>9</v>
      </c>
      <c r="J1" s="17">
        <f>COLUMN()</f>
        <v>10</v>
      </c>
      <c r="K1" s="17">
        <f>COLUMN()</f>
        <v>11</v>
      </c>
      <c r="L1" s="17">
        <f>COLUMN()</f>
        <v>12</v>
      </c>
      <c r="M1" s="17">
        <f>COLUMN()</f>
        <v>13</v>
      </c>
      <c r="N1" s="17">
        <f>COLUMN()</f>
        <v>14</v>
      </c>
      <c r="O1" s="17">
        <f>COLUMN()</f>
        <v>15</v>
      </c>
      <c r="P1" s="17">
        <f>COLUMN()</f>
        <v>16</v>
      </c>
      <c r="Q1" s="17">
        <f>COLUMN()</f>
        <v>17</v>
      </c>
      <c r="R1" s="17">
        <f>COLUMN()</f>
        <v>18</v>
      </c>
    </row>
    <row r="2" spans="1:19" ht="72" x14ac:dyDescent="0.25">
      <c r="A2" s="6" t="s">
        <v>0</v>
      </c>
      <c r="B2" s="6" t="s">
        <v>1</v>
      </c>
      <c r="C2" s="6" t="s">
        <v>2</v>
      </c>
      <c r="D2" s="6" t="s">
        <v>181</v>
      </c>
      <c r="E2" s="6" t="s">
        <v>5</v>
      </c>
      <c r="F2" s="6" t="s">
        <v>321</v>
      </c>
      <c r="G2" s="85" t="s">
        <v>182</v>
      </c>
      <c r="H2" s="85" t="s">
        <v>183</v>
      </c>
      <c r="I2" s="85" t="s">
        <v>184</v>
      </c>
      <c r="J2" s="85" t="s">
        <v>185</v>
      </c>
      <c r="K2" s="6" t="s">
        <v>186</v>
      </c>
      <c r="L2" s="85" t="s">
        <v>56</v>
      </c>
      <c r="M2" s="85" t="s">
        <v>66</v>
      </c>
      <c r="N2" s="85" t="s">
        <v>70</v>
      </c>
      <c r="O2" s="85" t="s">
        <v>76</v>
      </c>
      <c r="P2" s="85" t="s">
        <v>81</v>
      </c>
      <c r="Q2" s="85" t="s">
        <v>84</v>
      </c>
      <c r="R2" s="85" t="s">
        <v>86</v>
      </c>
      <c r="S2" s="3"/>
    </row>
    <row r="3" spans="1:19" x14ac:dyDescent="0.25">
      <c r="A3" s="6" t="s">
        <v>143</v>
      </c>
      <c r="B3" s="7"/>
      <c r="C3" s="6"/>
      <c r="D3" s="6" t="s">
        <v>187</v>
      </c>
      <c r="E3" s="7">
        <v>50</v>
      </c>
      <c r="F3" s="38"/>
      <c r="G3" s="74" t="str">
        <f>IFERROR(IF(VLOOKUP(TableHandbook[[#This Row],[UDC]],TableAvailabilities[],2,FALSE)&gt;0,"Y",""),"")</f>
        <v/>
      </c>
      <c r="H3" s="74" t="str">
        <f>IFERROR(IF(VLOOKUP(TableHandbook[[#This Row],[UDC]],TableAvailabilities[],3,FALSE)&gt;0,"Y",""),"")</f>
        <v/>
      </c>
      <c r="I3" s="74" t="str">
        <f>IFERROR(IF(VLOOKUP(TableHandbook[[#This Row],[UDC]],TableAvailabilities[],4,FALSE)&gt;0,"Y",""),"")</f>
        <v/>
      </c>
      <c r="J3" s="74" t="str">
        <f>IFERROR(IF(VLOOKUP(TableHandbook[[#This Row],[UDC]],TableAvailabilities[],5,FALSE)&gt;0,"Y",""),"")</f>
        <v/>
      </c>
      <c r="K3" s="39"/>
      <c r="L3" s="86" t="str">
        <f>IFERROR(VLOOKUP(TableHandbook[[#This Row],[UDC]],TableBARCH[],7,FALSE),"")</f>
        <v/>
      </c>
      <c r="M3" s="86" t="str">
        <f>IFERROR(VLOOKUP(TableHandbook[[#This Row],[UDC]],TableSPUCANGAD[],7,FALSE),"")</f>
        <v/>
      </c>
      <c r="N3" s="86" t="str">
        <f>IFERROR(VLOOKUP(TableHandbook[[#This Row],[UDC]],TableSPUCCONMS[],7,FALSE),"")</f>
        <v/>
      </c>
      <c r="O3" s="86" t="str">
        <f>IFERROR(VLOOKUP(TableHandbook[[#This Row],[UDC]],TableSPUCDSGNF[],7,FALSE),"")</f>
        <v/>
      </c>
      <c r="P3" s="86" t="str">
        <f>IFERROR(VLOOKUP(TableHandbook[[#This Row],[UDC]],TableSPUCDSGNV[],7,FALSE),"")</f>
        <v/>
      </c>
      <c r="Q3" s="86" t="str">
        <f>IFERROR(VLOOKUP(TableHandbook[[#This Row],[UDC]],TableSPUCINARS[],7,FALSE),"")</f>
        <v/>
      </c>
      <c r="R3" s="86" t="str">
        <f>IFERROR(VLOOKUP(TableHandbook[[#This Row],[UDC]],TableSPUCPRINP[],7,FALSE),"")</f>
        <v/>
      </c>
      <c r="S3" s="3"/>
    </row>
    <row r="4" spans="1:19" x14ac:dyDescent="0.25">
      <c r="A4" s="6" t="s">
        <v>115</v>
      </c>
      <c r="B4" s="7"/>
      <c r="C4" s="6"/>
      <c r="D4" s="6" t="s">
        <v>188</v>
      </c>
      <c r="E4" s="7">
        <v>75</v>
      </c>
      <c r="F4" s="38"/>
      <c r="G4" s="74" t="str">
        <f>IFERROR(IF(VLOOKUP(TableHandbook[[#This Row],[UDC]],TableAvailabilities[],2,FALSE)&gt;0,"Y",""),"")</f>
        <v/>
      </c>
      <c r="H4" s="74" t="str">
        <f>IFERROR(IF(VLOOKUP(TableHandbook[[#This Row],[UDC]],TableAvailabilities[],3,FALSE)&gt;0,"Y",""),"")</f>
        <v/>
      </c>
      <c r="I4" s="74" t="str">
        <f>IFERROR(IF(VLOOKUP(TableHandbook[[#This Row],[UDC]],TableAvailabilities[],4,FALSE)&gt;0,"Y",""),"")</f>
        <v/>
      </c>
      <c r="J4" s="74" t="str">
        <f>IFERROR(IF(VLOOKUP(TableHandbook[[#This Row],[UDC]],TableAvailabilities[],5,FALSE)&gt;0,"Y",""),"")</f>
        <v/>
      </c>
      <c r="K4" s="39"/>
      <c r="L4" s="86" t="str">
        <f>IFERROR(VLOOKUP(TableHandbook[[#This Row],[UDC]],TableBARCH[],7,FALSE),"")</f>
        <v/>
      </c>
      <c r="M4" s="86" t="str">
        <f>IFERROR(VLOOKUP(TableHandbook[[#This Row],[UDC]],TableSPUCANGAD[],7,FALSE),"")</f>
        <v/>
      </c>
      <c r="N4" s="86" t="str">
        <f>IFERROR(VLOOKUP(TableHandbook[[#This Row],[UDC]],TableSPUCCONMS[],7,FALSE),"")</f>
        <v/>
      </c>
      <c r="O4" s="86" t="str">
        <f>IFERROR(VLOOKUP(TableHandbook[[#This Row],[UDC]],TableSPUCDSGNF[],7,FALSE),"")</f>
        <v/>
      </c>
      <c r="P4" s="86" t="str">
        <f>IFERROR(VLOOKUP(TableHandbook[[#This Row],[UDC]],TableSPUCDSGNV[],7,FALSE),"")</f>
        <v/>
      </c>
      <c r="Q4" s="86" t="str">
        <f>IFERROR(VLOOKUP(TableHandbook[[#This Row],[UDC]],TableSPUCINARS[],7,FALSE),"")</f>
        <v/>
      </c>
      <c r="R4" s="86" t="str">
        <f>IFERROR(VLOOKUP(TableHandbook[[#This Row],[UDC]],TableSPUCPRINP[],7,FALSE),"")</f>
        <v/>
      </c>
    </row>
    <row r="5" spans="1:19" x14ac:dyDescent="0.25">
      <c r="A5" s="6" t="s">
        <v>116</v>
      </c>
      <c r="B5" s="7"/>
      <c r="C5" s="6"/>
      <c r="D5" s="6" t="s">
        <v>189</v>
      </c>
      <c r="E5" s="7">
        <v>100</v>
      </c>
      <c r="F5" s="38"/>
      <c r="G5" s="74" t="str">
        <f>IFERROR(IF(VLOOKUP(TableHandbook[[#This Row],[UDC]],TableAvailabilities[],2,FALSE)&gt;0,"Y",""),"")</f>
        <v/>
      </c>
      <c r="H5" s="74" t="str">
        <f>IFERROR(IF(VLOOKUP(TableHandbook[[#This Row],[UDC]],TableAvailabilities[],3,FALSE)&gt;0,"Y",""),"")</f>
        <v/>
      </c>
      <c r="I5" s="74" t="str">
        <f>IFERROR(IF(VLOOKUP(TableHandbook[[#This Row],[UDC]],TableAvailabilities[],4,FALSE)&gt;0,"Y",""),"")</f>
        <v/>
      </c>
      <c r="J5" s="74" t="str">
        <f>IFERROR(IF(VLOOKUP(TableHandbook[[#This Row],[UDC]],TableAvailabilities[],5,FALSE)&gt;0,"Y",""),"")</f>
        <v/>
      </c>
      <c r="K5" s="39"/>
      <c r="L5" s="86" t="str">
        <f>IFERROR(VLOOKUP(TableHandbook[[#This Row],[UDC]],TableBARCH[],7,FALSE),"")</f>
        <v/>
      </c>
      <c r="M5" s="86" t="str">
        <f>IFERROR(VLOOKUP(TableHandbook[[#This Row],[UDC]],TableSPUCANGAD[],7,FALSE),"")</f>
        <v/>
      </c>
      <c r="N5" s="86" t="str">
        <f>IFERROR(VLOOKUP(TableHandbook[[#This Row],[UDC]],TableSPUCCONMS[],7,FALSE),"")</f>
        <v/>
      </c>
      <c r="O5" s="86" t="str">
        <f>IFERROR(VLOOKUP(TableHandbook[[#This Row],[UDC]],TableSPUCDSGNF[],7,FALSE),"")</f>
        <v/>
      </c>
      <c r="P5" s="86" t="str">
        <f>IFERROR(VLOOKUP(TableHandbook[[#This Row],[UDC]],TableSPUCDSGNV[],7,FALSE),"")</f>
        <v/>
      </c>
      <c r="Q5" s="86" t="str">
        <f>IFERROR(VLOOKUP(TableHandbook[[#This Row],[UDC]],TableSPUCINARS[],7,FALSE),"")</f>
        <v/>
      </c>
      <c r="R5" s="86" t="str">
        <f>IFERROR(VLOOKUP(TableHandbook[[#This Row],[UDC]],TableSPUCPRINP[],7,FALSE),"")</f>
        <v/>
      </c>
    </row>
    <row r="6" spans="1:19" x14ac:dyDescent="0.25">
      <c r="A6" s="6" t="s">
        <v>146</v>
      </c>
      <c r="B6" s="7">
        <v>0</v>
      </c>
      <c r="C6" s="6"/>
      <c r="D6" s="6" t="s">
        <v>190</v>
      </c>
      <c r="E6" s="7">
        <v>25</v>
      </c>
      <c r="F6" s="38"/>
      <c r="G6" s="74" t="str">
        <f>IFERROR(IF(VLOOKUP(TableHandbook[[#This Row],[UDC]],TableAvailabilities[],2,FALSE)&gt;0,"Y",""),"")</f>
        <v/>
      </c>
      <c r="H6" s="74" t="str">
        <f>IFERROR(IF(VLOOKUP(TableHandbook[[#This Row],[UDC]],TableAvailabilities[],3,FALSE)&gt;0,"Y",""),"")</f>
        <v/>
      </c>
      <c r="I6" s="74" t="str">
        <f>IFERROR(IF(VLOOKUP(TableHandbook[[#This Row],[UDC]],TableAvailabilities[],4,FALSE)&gt;0,"Y",""),"")</f>
        <v/>
      </c>
      <c r="J6" s="74" t="str">
        <f>IFERROR(IF(VLOOKUP(TableHandbook[[#This Row],[UDC]],TableAvailabilities[],5,FALSE)&gt;0,"Y",""),"")</f>
        <v/>
      </c>
      <c r="K6" s="39"/>
      <c r="L6" s="86" t="str">
        <f>IFERROR(VLOOKUP(TableHandbook[[#This Row],[UDC]],TableBARCH[],7,FALSE),"")</f>
        <v/>
      </c>
      <c r="M6" s="86" t="str">
        <f>IFERROR(VLOOKUP(TableHandbook[[#This Row],[UDC]],TableSPUCANGAD[],7,FALSE),"")</f>
        <v>Core</v>
      </c>
      <c r="N6" s="86" t="str">
        <f>IFERROR(VLOOKUP(TableHandbook[[#This Row],[UDC]],TableSPUCCONMS[],7,FALSE),"")</f>
        <v/>
      </c>
      <c r="O6" s="86" t="str">
        <f>IFERROR(VLOOKUP(TableHandbook[[#This Row],[UDC]],TableSPUCDSGNF[],7,FALSE),"")</f>
        <v/>
      </c>
      <c r="P6" s="86" t="str">
        <f>IFERROR(VLOOKUP(TableHandbook[[#This Row],[UDC]],TableSPUCDSGNV[],7,FALSE),"")</f>
        <v/>
      </c>
      <c r="Q6" s="86" t="str">
        <f>IFERROR(VLOOKUP(TableHandbook[[#This Row],[UDC]],TableSPUCINARS[],7,FALSE),"")</f>
        <v/>
      </c>
      <c r="R6" s="86" t="str">
        <f>IFERROR(VLOOKUP(TableHandbook[[#This Row],[UDC]],TableSPUCPRINP[],7,FALSE),"")</f>
        <v/>
      </c>
    </row>
    <row r="7" spans="1:19" x14ac:dyDescent="0.25">
      <c r="A7" s="6" t="s">
        <v>147</v>
      </c>
      <c r="B7" s="7">
        <v>0</v>
      </c>
      <c r="C7" s="6"/>
      <c r="D7" s="6" t="s">
        <v>191</v>
      </c>
      <c r="E7" s="7">
        <v>25</v>
      </c>
      <c r="F7" s="38"/>
      <c r="G7" s="74" t="str">
        <f>IFERROR(IF(VLOOKUP(TableHandbook[[#This Row],[UDC]],TableAvailabilities[],2,FALSE)&gt;0,"Y",""),"")</f>
        <v/>
      </c>
      <c r="H7" s="74" t="str">
        <f>IFERROR(IF(VLOOKUP(TableHandbook[[#This Row],[UDC]],TableAvailabilities[],3,FALSE)&gt;0,"Y",""),"")</f>
        <v/>
      </c>
      <c r="I7" s="74" t="str">
        <f>IFERROR(IF(VLOOKUP(TableHandbook[[#This Row],[UDC]],TableAvailabilities[],4,FALSE)&gt;0,"Y",""),"")</f>
        <v/>
      </c>
      <c r="J7" s="74" t="str">
        <f>IFERROR(IF(VLOOKUP(TableHandbook[[#This Row],[UDC]],TableAvailabilities[],5,FALSE)&gt;0,"Y",""),"")</f>
        <v/>
      </c>
      <c r="K7" s="39"/>
      <c r="L7" s="86" t="str">
        <f>IFERROR(VLOOKUP(TableHandbook[[#This Row],[UDC]],TableBARCH[],7,FALSE),"")</f>
        <v/>
      </c>
      <c r="M7" s="86" t="str">
        <f>IFERROR(VLOOKUP(TableHandbook[[#This Row],[UDC]],TableSPUCANGAD[],7,FALSE),"")</f>
        <v/>
      </c>
      <c r="N7" s="86" t="str">
        <f>IFERROR(VLOOKUP(TableHandbook[[#This Row],[UDC]],TableSPUCCONMS[],7,FALSE),"")</f>
        <v/>
      </c>
      <c r="O7" s="86" t="str">
        <f>IFERROR(VLOOKUP(TableHandbook[[#This Row],[UDC]],TableSPUCDSGNF[],7,FALSE),"")</f>
        <v>Core</v>
      </c>
      <c r="P7" s="86" t="str">
        <f>IFERROR(VLOOKUP(TableHandbook[[#This Row],[UDC]],TableSPUCDSGNV[],7,FALSE),"")</f>
        <v/>
      </c>
      <c r="Q7" s="86" t="str">
        <f>IFERROR(VLOOKUP(TableHandbook[[#This Row],[UDC]],TableSPUCINARS[],7,FALSE),"")</f>
        <v/>
      </c>
      <c r="R7" s="86" t="str">
        <f>IFERROR(VLOOKUP(TableHandbook[[#This Row],[UDC]],TableSPUCPRINP[],7,FALSE),"")</f>
        <v/>
      </c>
    </row>
    <row r="8" spans="1:19" x14ac:dyDescent="0.25">
      <c r="A8" s="6" t="s">
        <v>117</v>
      </c>
      <c r="B8" s="7">
        <v>0</v>
      </c>
      <c r="C8" s="6"/>
      <c r="D8" s="6" t="s">
        <v>192</v>
      </c>
      <c r="E8" s="7">
        <v>25</v>
      </c>
      <c r="F8" s="38"/>
      <c r="G8" s="74" t="str">
        <f>IFERROR(IF(VLOOKUP(TableHandbook[[#This Row],[UDC]],TableAvailabilities[],2,FALSE)&gt;0,"Y",""),"")</f>
        <v/>
      </c>
      <c r="H8" s="74" t="str">
        <f>IFERROR(IF(VLOOKUP(TableHandbook[[#This Row],[UDC]],TableAvailabilities[],3,FALSE)&gt;0,"Y",""),"")</f>
        <v/>
      </c>
      <c r="I8" s="74" t="str">
        <f>IFERROR(IF(VLOOKUP(TableHandbook[[#This Row],[UDC]],TableAvailabilities[],4,FALSE)&gt;0,"Y",""),"")</f>
        <v/>
      </c>
      <c r="J8" s="74" t="str">
        <f>IFERROR(IF(VLOOKUP(TableHandbook[[#This Row],[UDC]],TableAvailabilities[],5,FALSE)&gt;0,"Y",""),"")</f>
        <v/>
      </c>
      <c r="K8" s="39"/>
      <c r="L8" s="86" t="str">
        <f>IFERROR(VLOOKUP(TableHandbook[[#This Row],[UDC]],TableBARCH[],7,FALSE),"")</f>
        <v/>
      </c>
      <c r="M8" s="86" t="str">
        <f>IFERROR(VLOOKUP(TableHandbook[[#This Row],[UDC]],TableSPUCANGAD[],7,FALSE),"")</f>
        <v/>
      </c>
      <c r="N8" s="86" t="str">
        <f>IFERROR(VLOOKUP(TableHandbook[[#This Row],[UDC]],TableSPUCCONMS[],7,FALSE),"")</f>
        <v/>
      </c>
      <c r="O8" s="86" t="str">
        <f>IFERROR(VLOOKUP(TableHandbook[[#This Row],[UDC]],TableSPUCDSGNF[],7,FALSE),"")</f>
        <v/>
      </c>
      <c r="P8" s="86" t="str">
        <f>IFERROR(VLOOKUP(TableHandbook[[#This Row],[UDC]],TableSPUCDSGNV[],7,FALSE),"")</f>
        <v/>
      </c>
      <c r="Q8" s="86" t="str">
        <f>IFERROR(VLOOKUP(TableHandbook[[#This Row],[UDC]],TableSPUCINARS[],7,FALSE),"")</f>
        <v>Core</v>
      </c>
      <c r="R8" s="86" t="str">
        <f>IFERROR(VLOOKUP(TableHandbook[[#This Row],[UDC]],TableSPUCPRINP[],7,FALSE),"")</f>
        <v/>
      </c>
    </row>
    <row r="9" spans="1:19" x14ac:dyDescent="0.25">
      <c r="A9" s="6" t="s">
        <v>55</v>
      </c>
      <c r="B9" s="7">
        <v>2</v>
      </c>
      <c r="C9" s="6"/>
      <c r="D9" s="6" t="s">
        <v>193</v>
      </c>
      <c r="E9" s="7">
        <v>25</v>
      </c>
      <c r="F9" s="38" t="s">
        <v>194</v>
      </c>
      <c r="G9" s="74" t="str">
        <f>IFERROR(IF(VLOOKUP(TableHandbook[[#This Row],[UDC]],TableAvailabilities[],2,FALSE)&gt;0,"Y",""),"")</f>
        <v/>
      </c>
      <c r="H9" s="74" t="str">
        <f>IFERROR(IF(VLOOKUP(TableHandbook[[#This Row],[UDC]],TableAvailabilities[],3,FALSE)&gt;0,"Y",""),"")</f>
        <v/>
      </c>
      <c r="I9" s="74" t="str">
        <f>IFERROR(IF(VLOOKUP(TableHandbook[[#This Row],[UDC]],TableAvailabilities[],4,FALSE)&gt;0,"Y",""),"")</f>
        <v>Y</v>
      </c>
      <c r="J9" s="74" t="str">
        <f>IFERROR(IF(VLOOKUP(TableHandbook[[#This Row],[UDC]],TableAvailabilities[],5,FALSE)&gt;0,"Y",""),"")</f>
        <v/>
      </c>
      <c r="K9" s="39"/>
      <c r="L9" s="86" t="str">
        <f>IFERROR(VLOOKUP(TableHandbook[[#This Row],[UDC]],TableBARCH[],7,FALSE),"")</f>
        <v>Core</v>
      </c>
      <c r="M9" s="86" t="str">
        <f>IFERROR(VLOOKUP(TableHandbook[[#This Row],[UDC]],TableSPUCANGAD[],7,FALSE),"")</f>
        <v/>
      </c>
      <c r="N9" s="86" t="str">
        <f>IFERROR(VLOOKUP(TableHandbook[[#This Row],[UDC]],TableSPUCCONMS[],7,FALSE),"")</f>
        <v/>
      </c>
      <c r="O9" s="86" t="str">
        <f>IFERROR(VLOOKUP(TableHandbook[[#This Row],[UDC]],TableSPUCDSGNF[],7,FALSE),"")</f>
        <v/>
      </c>
      <c r="P9" s="86" t="str">
        <f>IFERROR(VLOOKUP(TableHandbook[[#This Row],[UDC]],TableSPUCDSGNV[],7,FALSE),"")</f>
        <v/>
      </c>
      <c r="Q9" s="86" t="str">
        <f>IFERROR(VLOOKUP(TableHandbook[[#This Row],[UDC]],TableSPUCINARS[],7,FALSE),"")</f>
        <v/>
      </c>
      <c r="R9" s="86" t="str">
        <f>IFERROR(VLOOKUP(TableHandbook[[#This Row],[UDC]],TableSPUCPRINP[],7,FALSE),"")</f>
        <v/>
      </c>
    </row>
    <row r="10" spans="1:19" x14ac:dyDescent="0.25">
      <c r="A10" s="6" t="s">
        <v>54</v>
      </c>
      <c r="B10" s="7">
        <v>2</v>
      </c>
      <c r="C10" s="6"/>
      <c r="D10" s="6" t="s">
        <v>195</v>
      </c>
      <c r="E10" s="7">
        <v>25</v>
      </c>
      <c r="F10" s="38" t="s">
        <v>194</v>
      </c>
      <c r="G10" s="74" t="str">
        <f>IFERROR(IF(VLOOKUP(TableHandbook[[#This Row],[UDC]],TableAvailabilities[],2,FALSE)&gt;0,"Y",""),"")</f>
        <v>Y</v>
      </c>
      <c r="H10" s="74" t="str">
        <f>IFERROR(IF(VLOOKUP(TableHandbook[[#This Row],[UDC]],TableAvailabilities[],3,FALSE)&gt;0,"Y",""),"")</f>
        <v/>
      </c>
      <c r="I10" s="74" t="str">
        <f>IFERROR(IF(VLOOKUP(TableHandbook[[#This Row],[UDC]],TableAvailabilities[],4,FALSE)&gt;0,"Y",""),"")</f>
        <v/>
      </c>
      <c r="J10" s="74" t="str">
        <f>IFERROR(IF(VLOOKUP(TableHandbook[[#This Row],[UDC]],TableAvailabilities[],5,FALSE)&gt;0,"Y",""),"")</f>
        <v/>
      </c>
      <c r="K10" s="39"/>
      <c r="L10" s="86" t="str">
        <f>IFERROR(VLOOKUP(TableHandbook[[#This Row],[UDC]],TableBARCH[],7,FALSE),"")</f>
        <v>Core</v>
      </c>
      <c r="M10" s="86" t="str">
        <f>IFERROR(VLOOKUP(TableHandbook[[#This Row],[UDC]],TableSPUCANGAD[],7,FALSE),"")</f>
        <v/>
      </c>
      <c r="N10" s="86" t="str">
        <f>IFERROR(VLOOKUP(TableHandbook[[#This Row],[UDC]],TableSPUCCONMS[],7,FALSE),"")</f>
        <v/>
      </c>
      <c r="O10" s="86" t="str">
        <f>IFERROR(VLOOKUP(TableHandbook[[#This Row],[UDC]],TableSPUCDSGNF[],7,FALSE),"")</f>
        <v/>
      </c>
      <c r="P10" s="86" t="str">
        <f>IFERROR(VLOOKUP(TableHandbook[[#This Row],[UDC]],TableSPUCDSGNV[],7,FALSE),"")</f>
        <v/>
      </c>
      <c r="Q10" s="86" t="str">
        <f>IFERROR(VLOOKUP(TableHandbook[[#This Row],[UDC]],TableSPUCINARS[],7,FALSE),"")</f>
        <v/>
      </c>
      <c r="R10" s="86" t="str">
        <f>IFERROR(VLOOKUP(TableHandbook[[#This Row],[UDC]],TableSPUCPRINP[],7,FALSE),"")</f>
        <v/>
      </c>
    </row>
    <row r="11" spans="1:19" x14ac:dyDescent="0.25">
      <c r="A11" s="6" t="s">
        <v>46</v>
      </c>
      <c r="B11" s="7">
        <v>3</v>
      </c>
      <c r="C11" s="6"/>
      <c r="D11" s="6" t="s">
        <v>196</v>
      </c>
      <c r="E11" s="7">
        <v>25</v>
      </c>
      <c r="F11" s="100" t="s">
        <v>197</v>
      </c>
      <c r="G11" s="74" t="str">
        <f>IFERROR(IF(VLOOKUP(TableHandbook[[#This Row],[UDC]],TableAvailabilities[],2,FALSE)&gt;0,"Y",""),"")</f>
        <v/>
      </c>
      <c r="H11" s="74" t="str">
        <f>IFERROR(IF(VLOOKUP(TableHandbook[[#This Row],[UDC]],TableAvailabilities[],3,FALSE)&gt;0,"Y",""),"")</f>
        <v/>
      </c>
      <c r="I11" s="74" t="str">
        <f>IFERROR(IF(VLOOKUP(TableHandbook[[#This Row],[UDC]],TableAvailabilities[],4,FALSE)&gt;0,"Y",""),"")</f>
        <v>Y</v>
      </c>
      <c r="J11" s="74" t="str">
        <f>IFERROR(IF(VLOOKUP(TableHandbook[[#This Row],[UDC]],TableAvailabilities[],5,FALSE)&gt;0,"Y",""),"")</f>
        <v/>
      </c>
      <c r="K11" s="39"/>
      <c r="L11" s="86" t="str">
        <f>IFERROR(VLOOKUP(TableHandbook[[#This Row],[UDC]],TableBARCH[],7,FALSE),"")</f>
        <v>Core</v>
      </c>
      <c r="M11" s="86" t="str">
        <f>IFERROR(VLOOKUP(TableHandbook[[#This Row],[UDC]],TableSPUCANGAD[],7,FALSE),"")</f>
        <v/>
      </c>
      <c r="N11" s="86" t="str">
        <f>IFERROR(VLOOKUP(TableHandbook[[#This Row],[UDC]],TableSPUCCONMS[],7,FALSE),"")</f>
        <v/>
      </c>
      <c r="O11" s="86" t="str">
        <f>IFERROR(VLOOKUP(TableHandbook[[#This Row],[UDC]],TableSPUCDSGNF[],7,FALSE),"")</f>
        <v/>
      </c>
      <c r="P11" s="86" t="str">
        <f>IFERROR(VLOOKUP(TableHandbook[[#This Row],[UDC]],TableSPUCDSGNV[],7,FALSE),"")</f>
        <v/>
      </c>
      <c r="Q11" s="86" t="str">
        <f>IFERROR(VLOOKUP(TableHandbook[[#This Row],[UDC]],TableSPUCINARS[],7,FALSE),"")</f>
        <v/>
      </c>
      <c r="R11" s="86" t="str">
        <f>IFERROR(VLOOKUP(TableHandbook[[#This Row],[UDC]],TableSPUCPRINP[],7,FALSE),"")</f>
        <v/>
      </c>
    </row>
    <row r="12" spans="1:19" x14ac:dyDescent="0.25">
      <c r="A12" s="6" t="s">
        <v>43</v>
      </c>
      <c r="B12" s="7">
        <v>3</v>
      </c>
      <c r="C12" s="6"/>
      <c r="D12" s="6" t="s">
        <v>198</v>
      </c>
      <c r="E12" s="7">
        <v>25</v>
      </c>
      <c r="F12" s="38" t="s">
        <v>194</v>
      </c>
      <c r="G12" s="74" t="str">
        <f>IFERROR(IF(VLOOKUP(TableHandbook[[#This Row],[UDC]],TableAvailabilities[],2,FALSE)&gt;0,"Y",""),"")</f>
        <v/>
      </c>
      <c r="H12" s="74" t="str">
        <f>IFERROR(IF(VLOOKUP(TableHandbook[[#This Row],[UDC]],TableAvailabilities[],3,FALSE)&gt;0,"Y",""),"")</f>
        <v/>
      </c>
      <c r="I12" s="74" t="str">
        <f>IFERROR(IF(VLOOKUP(TableHandbook[[#This Row],[UDC]],TableAvailabilities[],4,FALSE)&gt;0,"Y",""),"")</f>
        <v>Y</v>
      </c>
      <c r="J12" s="74" t="str">
        <f>IFERROR(IF(VLOOKUP(TableHandbook[[#This Row],[UDC]],TableAvailabilities[],5,FALSE)&gt;0,"Y",""),"")</f>
        <v/>
      </c>
      <c r="K12" s="39"/>
      <c r="L12" s="86" t="str">
        <f>IFERROR(VLOOKUP(TableHandbook[[#This Row],[UDC]],TableBARCH[],7,FALSE),"")</f>
        <v>Core</v>
      </c>
      <c r="M12" s="86" t="str">
        <f>IFERROR(VLOOKUP(TableHandbook[[#This Row],[UDC]],TableSPUCANGAD[],7,FALSE),"")</f>
        <v/>
      </c>
      <c r="N12" s="86" t="str">
        <f>IFERROR(VLOOKUP(TableHandbook[[#This Row],[UDC]],TableSPUCCONMS[],7,FALSE),"")</f>
        <v/>
      </c>
      <c r="O12" s="86" t="str">
        <f>IFERROR(VLOOKUP(TableHandbook[[#This Row],[UDC]],TableSPUCDSGNF[],7,FALSE),"")</f>
        <v/>
      </c>
      <c r="P12" s="86" t="str">
        <f>IFERROR(VLOOKUP(TableHandbook[[#This Row],[UDC]],TableSPUCDSGNV[],7,FALSE),"")</f>
        <v/>
      </c>
      <c r="Q12" s="86" t="str">
        <f>IFERROR(VLOOKUP(TableHandbook[[#This Row],[UDC]],TableSPUCINARS[],7,FALSE),"")</f>
        <v/>
      </c>
      <c r="R12" s="86" t="str">
        <f>IFERROR(VLOOKUP(TableHandbook[[#This Row],[UDC]],TableSPUCPRINP[],7,FALSE),"")</f>
        <v/>
      </c>
    </row>
    <row r="13" spans="1:19" x14ac:dyDescent="0.25">
      <c r="A13" s="6" t="s">
        <v>45</v>
      </c>
      <c r="B13" s="7">
        <v>3</v>
      </c>
      <c r="C13" s="6"/>
      <c r="D13" s="6" t="s">
        <v>199</v>
      </c>
      <c r="E13" s="7">
        <v>25</v>
      </c>
      <c r="F13" s="38" t="s">
        <v>194</v>
      </c>
      <c r="G13" s="74" t="str">
        <f>IFERROR(IF(VLOOKUP(TableHandbook[[#This Row],[UDC]],TableAvailabilities[],2,FALSE)&gt;0,"Y",""),"")</f>
        <v>Y</v>
      </c>
      <c r="H13" s="74" t="str">
        <f>IFERROR(IF(VLOOKUP(TableHandbook[[#This Row],[UDC]],TableAvailabilities[],3,FALSE)&gt;0,"Y",""),"")</f>
        <v/>
      </c>
      <c r="I13" s="74" t="str">
        <f>IFERROR(IF(VLOOKUP(TableHandbook[[#This Row],[UDC]],TableAvailabilities[],4,FALSE)&gt;0,"Y",""),"")</f>
        <v/>
      </c>
      <c r="J13" s="74" t="str">
        <f>IFERROR(IF(VLOOKUP(TableHandbook[[#This Row],[UDC]],TableAvailabilities[],5,FALSE)&gt;0,"Y",""),"")</f>
        <v/>
      </c>
      <c r="K13" s="39"/>
      <c r="L13" s="86" t="str">
        <f>IFERROR(VLOOKUP(TableHandbook[[#This Row],[UDC]],TableBARCH[],7,FALSE),"")</f>
        <v>Core</v>
      </c>
      <c r="M13" s="86" t="str">
        <f>IFERROR(VLOOKUP(TableHandbook[[#This Row],[UDC]],TableSPUCANGAD[],7,FALSE),"")</f>
        <v/>
      </c>
      <c r="N13" s="86" t="str">
        <f>IFERROR(VLOOKUP(TableHandbook[[#This Row],[UDC]],TableSPUCCONMS[],7,FALSE),"")</f>
        <v/>
      </c>
      <c r="O13" s="86" t="str">
        <f>IFERROR(VLOOKUP(TableHandbook[[#This Row],[UDC]],TableSPUCDSGNF[],7,FALSE),"")</f>
        <v/>
      </c>
      <c r="P13" s="86" t="str">
        <f>IFERROR(VLOOKUP(TableHandbook[[#This Row],[UDC]],TableSPUCDSGNV[],7,FALSE),"")</f>
        <v/>
      </c>
      <c r="Q13" s="86" t="str">
        <f>IFERROR(VLOOKUP(TableHandbook[[#This Row],[UDC]],TableSPUCINARS[],7,FALSE),"")</f>
        <v/>
      </c>
      <c r="R13" s="86" t="str">
        <f>IFERROR(VLOOKUP(TableHandbook[[#This Row],[UDC]],TableSPUCPRINP[],7,FALSE),"")</f>
        <v/>
      </c>
    </row>
    <row r="14" spans="1:19" x14ac:dyDescent="0.25">
      <c r="A14" s="6" t="s">
        <v>62</v>
      </c>
      <c r="B14" s="7">
        <v>2</v>
      </c>
      <c r="C14" s="6"/>
      <c r="D14" s="6" t="s">
        <v>200</v>
      </c>
      <c r="E14" s="7">
        <v>25</v>
      </c>
      <c r="F14" s="38" t="s">
        <v>194</v>
      </c>
      <c r="G14" s="74" t="str">
        <f>IFERROR(IF(VLOOKUP(TableHandbook[[#This Row],[UDC]],TableAvailabilities[],2,FALSE)&gt;0,"Y",""),"")</f>
        <v/>
      </c>
      <c r="H14" s="74" t="str">
        <f>IFERROR(IF(VLOOKUP(TableHandbook[[#This Row],[UDC]],TableAvailabilities[],3,FALSE)&gt;0,"Y",""),"")</f>
        <v/>
      </c>
      <c r="I14" s="74" t="str">
        <f>IFERROR(IF(VLOOKUP(TableHandbook[[#This Row],[UDC]],TableAvailabilities[],4,FALSE)&gt;0,"Y",""),"")</f>
        <v>Y</v>
      </c>
      <c r="J14" s="74" t="str">
        <f>IFERROR(IF(VLOOKUP(TableHandbook[[#This Row],[UDC]],TableAvailabilities[],5,FALSE)&gt;0,"Y",""),"")</f>
        <v/>
      </c>
      <c r="K14" s="39"/>
      <c r="L14" s="86" t="str">
        <f>IFERROR(VLOOKUP(TableHandbook[[#This Row],[UDC]],TableBARCH[],7,FALSE),"")</f>
        <v>Core</v>
      </c>
      <c r="M14" s="86" t="str">
        <f>IFERROR(VLOOKUP(TableHandbook[[#This Row],[UDC]],TableSPUCANGAD[],7,FALSE),"")</f>
        <v/>
      </c>
      <c r="N14" s="86" t="str">
        <f>IFERROR(VLOOKUP(TableHandbook[[#This Row],[UDC]],TableSPUCCONMS[],7,FALSE),"")</f>
        <v/>
      </c>
      <c r="O14" s="86" t="str">
        <f>IFERROR(VLOOKUP(TableHandbook[[#This Row],[UDC]],TableSPUCDSGNF[],7,FALSE),"")</f>
        <v/>
      </c>
      <c r="P14" s="86" t="str">
        <f>IFERROR(VLOOKUP(TableHandbook[[#This Row],[UDC]],TableSPUCDSGNV[],7,FALSE),"")</f>
        <v/>
      </c>
      <c r="Q14" s="86" t="str">
        <f>IFERROR(VLOOKUP(TableHandbook[[#This Row],[UDC]],TableSPUCINARS[],7,FALSE),"")</f>
        <v/>
      </c>
      <c r="R14" s="86" t="str">
        <f>IFERROR(VLOOKUP(TableHandbook[[#This Row],[UDC]],TableSPUCPRINP[],7,FALSE),"")</f>
        <v/>
      </c>
    </row>
    <row r="15" spans="1:19" x14ac:dyDescent="0.25">
      <c r="A15" s="6" t="s">
        <v>82</v>
      </c>
      <c r="B15" s="7">
        <v>2</v>
      </c>
      <c r="C15" s="6"/>
      <c r="D15" s="6" t="s">
        <v>201</v>
      </c>
      <c r="E15" s="7">
        <v>25</v>
      </c>
      <c r="F15" s="100" t="s">
        <v>54</v>
      </c>
      <c r="G15" s="74" t="str">
        <f>IFERROR(IF(VLOOKUP(TableHandbook[[#This Row],[UDC]],TableAvailabilities[],2,FALSE)&gt;0,"Y",""),"")</f>
        <v>Y</v>
      </c>
      <c r="H15" s="74" t="str">
        <f>IFERROR(IF(VLOOKUP(TableHandbook[[#This Row],[UDC]],TableAvailabilities[],3,FALSE)&gt;0,"Y",""),"")</f>
        <v/>
      </c>
      <c r="I15" s="74" t="str">
        <f>IFERROR(IF(VLOOKUP(TableHandbook[[#This Row],[UDC]],TableAvailabilities[],4,FALSE)&gt;0,"Y",""),"")</f>
        <v/>
      </c>
      <c r="J15" s="74" t="str">
        <f>IFERROR(IF(VLOOKUP(TableHandbook[[#This Row],[UDC]],TableAvailabilities[],5,FALSE)&gt;0,"Y",""),"")</f>
        <v/>
      </c>
      <c r="K15" s="39"/>
      <c r="L15" s="86" t="str">
        <f>IFERROR(VLOOKUP(TableHandbook[[#This Row],[UDC]],TableBARCH[],7,FALSE),"")</f>
        <v>Core</v>
      </c>
      <c r="M15" s="86" t="str">
        <f>IFERROR(VLOOKUP(TableHandbook[[#This Row],[UDC]],TableSPUCANGAD[],7,FALSE),"")</f>
        <v/>
      </c>
      <c r="N15" s="86" t="str">
        <f>IFERROR(VLOOKUP(TableHandbook[[#This Row],[UDC]],TableSPUCCONMS[],7,FALSE),"")</f>
        <v/>
      </c>
      <c r="O15" s="86" t="str">
        <f>IFERROR(VLOOKUP(TableHandbook[[#This Row],[UDC]],TableSPUCDSGNF[],7,FALSE),"")</f>
        <v/>
      </c>
      <c r="P15" s="86" t="str">
        <f>IFERROR(VLOOKUP(TableHandbook[[#This Row],[UDC]],TableSPUCDSGNV[],7,FALSE),"")</f>
        <v/>
      </c>
      <c r="Q15" s="86" t="str">
        <f>IFERROR(VLOOKUP(TableHandbook[[#This Row],[UDC]],TableSPUCINARS[],7,FALSE),"")</f>
        <v/>
      </c>
      <c r="R15" s="86" t="str">
        <f>IFERROR(VLOOKUP(TableHandbook[[#This Row],[UDC]],TableSPUCPRINP[],7,FALSE),"")</f>
        <v/>
      </c>
    </row>
    <row r="16" spans="1:19" x14ac:dyDescent="0.25">
      <c r="A16" s="6" t="s">
        <v>83</v>
      </c>
      <c r="B16" s="7">
        <v>2</v>
      </c>
      <c r="C16" s="6"/>
      <c r="D16" s="6" t="s">
        <v>202</v>
      </c>
      <c r="E16" s="7">
        <v>25</v>
      </c>
      <c r="F16" s="100" t="s">
        <v>319</v>
      </c>
      <c r="G16" s="74" t="str">
        <f>IFERROR(IF(VLOOKUP(TableHandbook[[#This Row],[UDC]],TableAvailabilities[],2,FALSE)&gt;0,"Y",""),"")</f>
        <v/>
      </c>
      <c r="H16" s="74" t="str">
        <f>IFERROR(IF(VLOOKUP(TableHandbook[[#This Row],[UDC]],TableAvailabilities[],3,FALSE)&gt;0,"Y",""),"")</f>
        <v/>
      </c>
      <c r="I16" s="74" t="str">
        <f>IFERROR(IF(VLOOKUP(TableHandbook[[#This Row],[UDC]],TableAvailabilities[],4,FALSE)&gt;0,"Y",""),"")</f>
        <v>Y</v>
      </c>
      <c r="J16" s="74" t="str">
        <f>IFERROR(IF(VLOOKUP(TableHandbook[[#This Row],[UDC]],TableAvailabilities[],5,FALSE)&gt;0,"Y",""),"")</f>
        <v/>
      </c>
      <c r="K16" s="39"/>
      <c r="L16" s="86" t="str">
        <f>IFERROR(VLOOKUP(TableHandbook[[#This Row],[UDC]],TableBARCH[],7,FALSE),"")</f>
        <v>Core</v>
      </c>
      <c r="M16" s="86" t="str">
        <f>IFERROR(VLOOKUP(TableHandbook[[#This Row],[UDC]],TableSPUCANGAD[],7,FALSE),"")</f>
        <v/>
      </c>
      <c r="N16" s="86" t="str">
        <f>IFERROR(VLOOKUP(TableHandbook[[#This Row],[UDC]],TableSPUCCONMS[],7,FALSE),"")</f>
        <v/>
      </c>
      <c r="O16" s="86" t="str">
        <f>IFERROR(VLOOKUP(TableHandbook[[#This Row],[UDC]],TableSPUCDSGNF[],7,FALSE),"")</f>
        <v/>
      </c>
      <c r="P16" s="86" t="str">
        <f>IFERROR(VLOOKUP(TableHandbook[[#This Row],[UDC]],TableSPUCDSGNV[],7,FALSE),"")</f>
        <v/>
      </c>
      <c r="Q16" s="86" t="str">
        <f>IFERROR(VLOOKUP(TableHandbook[[#This Row],[UDC]],TableSPUCINARS[],7,FALSE),"")</f>
        <v/>
      </c>
      <c r="R16" s="86" t="str">
        <f>IFERROR(VLOOKUP(TableHandbook[[#This Row],[UDC]],TableSPUCPRINP[],7,FALSE),"")</f>
        <v/>
      </c>
    </row>
    <row r="17" spans="1:18" x14ac:dyDescent="0.25">
      <c r="A17" s="6" t="s">
        <v>162</v>
      </c>
      <c r="B17" s="7">
        <v>1</v>
      </c>
      <c r="C17" s="6"/>
      <c r="D17" s="6" t="s">
        <v>203</v>
      </c>
      <c r="E17" s="7">
        <v>25</v>
      </c>
      <c r="F17" s="38" t="s">
        <v>204</v>
      </c>
      <c r="G17" s="74" t="str">
        <f>IFERROR(IF(VLOOKUP(TableHandbook[[#This Row],[UDC]],TableAvailabilities[],2,FALSE)&gt;0,"Y",""),"")</f>
        <v/>
      </c>
      <c r="H17" s="74" t="str">
        <f>IFERROR(IF(VLOOKUP(TableHandbook[[#This Row],[UDC]],TableAvailabilities[],3,FALSE)&gt;0,"Y",""),"")</f>
        <v/>
      </c>
      <c r="I17" s="74" t="str">
        <f>IFERROR(IF(VLOOKUP(TableHandbook[[#This Row],[UDC]],TableAvailabilities[],4,FALSE)&gt;0,"Y",""),"")</f>
        <v/>
      </c>
      <c r="J17" s="74" t="str">
        <f>IFERROR(IF(VLOOKUP(TableHandbook[[#This Row],[UDC]],TableAvailabilities[],5,FALSE)&gt;0,"Y",""),"")</f>
        <v/>
      </c>
      <c r="K17" s="39"/>
      <c r="L17" s="86" t="str">
        <f>IFERROR(VLOOKUP(TableHandbook[[#This Row],[UDC]],TableBARCH[],7,FALSE),"")</f>
        <v/>
      </c>
      <c r="M17" s="86" t="str">
        <f>IFERROR(VLOOKUP(TableHandbook[[#This Row],[UDC]],TableSPUCANGAD[],7,FALSE),"")</f>
        <v/>
      </c>
      <c r="N17" s="86" t="str">
        <f>IFERROR(VLOOKUP(TableHandbook[[#This Row],[UDC]],TableSPUCCONMS[],7,FALSE),"")</f>
        <v/>
      </c>
      <c r="O17" s="86" t="str">
        <f>IFERROR(VLOOKUP(TableHandbook[[#This Row],[UDC]],TableSPUCDSGNF[],7,FALSE),"")</f>
        <v/>
      </c>
      <c r="P17" s="86" t="str">
        <f>IFERROR(VLOOKUP(TableHandbook[[#This Row],[UDC]],TableSPUCDSGNV[],7,FALSE),"")</f>
        <v/>
      </c>
      <c r="Q17" s="86" t="str">
        <f>IFERROR(VLOOKUP(TableHandbook[[#This Row],[UDC]],TableSPUCINARS[],7,FALSE),"")</f>
        <v>Option</v>
      </c>
      <c r="R17" s="86" t="str">
        <f>IFERROR(VLOOKUP(TableHandbook[[#This Row],[UDC]],TableSPUCPRINP[],7,FALSE),"")</f>
        <v/>
      </c>
    </row>
    <row r="18" spans="1:18" x14ac:dyDescent="0.25">
      <c r="A18" s="6" t="s">
        <v>74</v>
      </c>
      <c r="B18" s="7">
        <v>3</v>
      </c>
      <c r="C18" s="6"/>
      <c r="D18" s="6" t="s">
        <v>205</v>
      </c>
      <c r="E18" s="7">
        <v>25</v>
      </c>
      <c r="F18" s="100" t="s">
        <v>206</v>
      </c>
      <c r="G18" s="74" t="str">
        <f>IFERROR(IF(VLOOKUP(TableHandbook[[#This Row],[UDC]],TableAvailabilities[],2,FALSE)&gt;0,"Y",""),"")</f>
        <v/>
      </c>
      <c r="H18" s="74" t="str">
        <f>IFERROR(IF(VLOOKUP(TableHandbook[[#This Row],[UDC]],TableAvailabilities[],3,FALSE)&gt;0,"Y",""),"")</f>
        <v/>
      </c>
      <c r="I18" s="74" t="str">
        <f>IFERROR(IF(VLOOKUP(TableHandbook[[#This Row],[UDC]],TableAvailabilities[],4,FALSE)&gt;0,"Y",""),"")</f>
        <v>Y</v>
      </c>
      <c r="J18" s="74" t="str">
        <f>IFERROR(IF(VLOOKUP(TableHandbook[[#This Row],[UDC]],TableAvailabilities[],5,FALSE)&gt;0,"Y",""),"")</f>
        <v/>
      </c>
      <c r="K18" s="39"/>
      <c r="L18" s="86" t="str">
        <f>IFERROR(VLOOKUP(TableHandbook[[#This Row],[UDC]],TableBARCH[],7,FALSE),"")</f>
        <v>Core</v>
      </c>
      <c r="M18" s="86" t="str">
        <f>IFERROR(VLOOKUP(TableHandbook[[#This Row],[UDC]],TableSPUCANGAD[],7,FALSE),"")</f>
        <v/>
      </c>
      <c r="N18" s="86" t="str">
        <f>IFERROR(VLOOKUP(TableHandbook[[#This Row],[UDC]],TableSPUCCONMS[],7,FALSE),"")</f>
        <v/>
      </c>
      <c r="O18" s="86" t="str">
        <f>IFERROR(VLOOKUP(TableHandbook[[#This Row],[UDC]],TableSPUCDSGNF[],7,FALSE),"")</f>
        <v/>
      </c>
      <c r="P18" s="86" t="str">
        <f>IFERROR(VLOOKUP(TableHandbook[[#This Row],[UDC]],TableSPUCDSGNV[],7,FALSE),"")</f>
        <v/>
      </c>
      <c r="Q18" s="86" t="str">
        <f>IFERROR(VLOOKUP(TableHandbook[[#This Row],[UDC]],TableSPUCINARS[],7,FALSE),"")</f>
        <v/>
      </c>
      <c r="R18" s="86" t="str">
        <f>IFERROR(VLOOKUP(TableHandbook[[#This Row],[UDC]],TableSPUCPRINP[],7,FALSE),"")</f>
        <v/>
      </c>
    </row>
    <row r="19" spans="1:18" x14ac:dyDescent="0.25">
      <c r="A19" s="6" t="s">
        <v>79</v>
      </c>
      <c r="B19" s="7">
        <v>3</v>
      </c>
      <c r="C19" s="6"/>
      <c r="D19" s="6" t="s">
        <v>207</v>
      </c>
      <c r="E19" s="7">
        <v>25</v>
      </c>
      <c r="F19" s="100" t="s">
        <v>206</v>
      </c>
      <c r="G19" s="74" t="str">
        <f>IFERROR(IF(VLOOKUP(TableHandbook[[#This Row],[UDC]],TableAvailabilities[],2,FALSE)&gt;0,"Y",""),"")</f>
        <v/>
      </c>
      <c r="H19" s="74" t="str">
        <f>IFERROR(IF(VLOOKUP(TableHandbook[[#This Row],[UDC]],TableAvailabilities[],3,FALSE)&gt;0,"Y",""),"")</f>
        <v/>
      </c>
      <c r="I19" s="74" t="str">
        <f>IFERROR(IF(VLOOKUP(TableHandbook[[#This Row],[UDC]],TableAvailabilities[],4,FALSE)&gt;0,"Y",""),"")</f>
        <v>Y</v>
      </c>
      <c r="J19" s="74" t="str">
        <f>IFERROR(IF(VLOOKUP(TableHandbook[[#This Row],[UDC]],TableAvailabilities[],5,FALSE)&gt;0,"Y",""),"")</f>
        <v/>
      </c>
      <c r="K19" s="39"/>
      <c r="L19" s="86" t="str">
        <f>IFERROR(VLOOKUP(TableHandbook[[#This Row],[UDC]],TableBARCH[],7,FALSE),"")</f>
        <v>Core</v>
      </c>
      <c r="M19" s="86" t="str">
        <f>IFERROR(VLOOKUP(TableHandbook[[#This Row],[UDC]],TableSPUCANGAD[],7,FALSE),"")</f>
        <v/>
      </c>
      <c r="N19" s="86" t="str">
        <f>IFERROR(VLOOKUP(TableHandbook[[#This Row],[UDC]],TableSPUCCONMS[],7,FALSE),"")</f>
        <v/>
      </c>
      <c r="O19" s="86" t="str">
        <f>IFERROR(VLOOKUP(TableHandbook[[#This Row],[UDC]],TableSPUCDSGNF[],7,FALSE),"")</f>
        <v/>
      </c>
      <c r="P19" s="86" t="str">
        <f>IFERROR(VLOOKUP(TableHandbook[[#This Row],[UDC]],TableSPUCDSGNV[],7,FALSE),"")</f>
        <v/>
      </c>
      <c r="Q19" s="86" t="str">
        <f>IFERROR(VLOOKUP(TableHandbook[[#This Row],[UDC]],TableSPUCINARS[],7,FALSE),"")</f>
        <v/>
      </c>
      <c r="R19" s="86" t="str">
        <f>IFERROR(VLOOKUP(TableHandbook[[#This Row],[UDC]],TableSPUCPRINP[],7,FALSE),"")</f>
        <v/>
      </c>
    </row>
    <row r="20" spans="1:18" ht="26.25" x14ac:dyDescent="0.25">
      <c r="A20" s="6" t="s">
        <v>72</v>
      </c>
      <c r="B20" s="7">
        <v>3</v>
      </c>
      <c r="C20" s="6"/>
      <c r="D20" s="6" t="s">
        <v>208</v>
      </c>
      <c r="E20" s="7">
        <v>25</v>
      </c>
      <c r="F20" s="100" t="s">
        <v>209</v>
      </c>
      <c r="G20" s="74" t="str">
        <f>IFERROR(IF(VLOOKUP(TableHandbook[[#This Row],[UDC]],TableAvailabilities[],2,FALSE)&gt;0,"Y",""),"")</f>
        <v>Y</v>
      </c>
      <c r="H20" s="74" t="str">
        <f>IFERROR(IF(VLOOKUP(TableHandbook[[#This Row],[UDC]],TableAvailabilities[],3,FALSE)&gt;0,"Y",""),"")</f>
        <v/>
      </c>
      <c r="I20" s="74" t="str">
        <f>IFERROR(IF(VLOOKUP(TableHandbook[[#This Row],[UDC]],TableAvailabilities[],4,FALSE)&gt;0,"Y",""),"")</f>
        <v/>
      </c>
      <c r="J20" s="74" t="str">
        <f>IFERROR(IF(VLOOKUP(TableHandbook[[#This Row],[UDC]],TableAvailabilities[],5,FALSE)&gt;0,"Y",""),"")</f>
        <v/>
      </c>
      <c r="K20" s="39"/>
      <c r="L20" s="86" t="str">
        <f>IFERROR(VLOOKUP(TableHandbook[[#This Row],[UDC]],TableBARCH[],7,FALSE),"")</f>
        <v>Core</v>
      </c>
      <c r="M20" s="86" t="str">
        <f>IFERROR(VLOOKUP(TableHandbook[[#This Row],[UDC]],TableSPUCANGAD[],7,FALSE),"")</f>
        <v/>
      </c>
      <c r="N20" s="86" t="str">
        <f>IFERROR(VLOOKUP(TableHandbook[[#This Row],[UDC]],TableSPUCCONMS[],7,FALSE),"")</f>
        <v/>
      </c>
      <c r="O20" s="86" t="str">
        <f>IFERROR(VLOOKUP(TableHandbook[[#This Row],[UDC]],TableSPUCDSGNF[],7,FALSE),"")</f>
        <v/>
      </c>
      <c r="P20" s="86" t="str">
        <f>IFERROR(VLOOKUP(TableHandbook[[#This Row],[UDC]],TableSPUCDSGNV[],7,FALSE),"")</f>
        <v/>
      </c>
      <c r="Q20" s="86" t="str">
        <f>IFERROR(VLOOKUP(TableHandbook[[#This Row],[UDC]],TableSPUCINARS[],7,FALSE),"")</f>
        <v/>
      </c>
      <c r="R20" s="86" t="str">
        <f>IFERROR(VLOOKUP(TableHandbook[[#This Row],[UDC]],TableSPUCPRINP[],7,FALSE),"")</f>
        <v/>
      </c>
    </row>
    <row r="21" spans="1:18" x14ac:dyDescent="0.25">
      <c r="A21" s="6" t="s">
        <v>78</v>
      </c>
      <c r="B21" s="7">
        <v>3</v>
      </c>
      <c r="C21" s="6"/>
      <c r="D21" s="6" t="s">
        <v>210</v>
      </c>
      <c r="E21" s="7">
        <v>25</v>
      </c>
      <c r="F21" s="100" t="s">
        <v>206</v>
      </c>
      <c r="G21" s="74" t="str">
        <f>IFERROR(IF(VLOOKUP(TableHandbook[[#This Row],[UDC]],TableAvailabilities[],2,FALSE)&gt;0,"Y",""),"")</f>
        <v>Y</v>
      </c>
      <c r="H21" s="74" t="str">
        <f>IFERROR(IF(VLOOKUP(TableHandbook[[#This Row],[UDC]],TableAvailabilities[],3,FALSE)&gt;0,"Y",""),"")</f>
        <v/>
      </c>
      <c r="I21" s="74" t="str">
        <f>IFERROR(IF(VLOOKUP(TableHandbook[[#This Row],[UDC]],TableAvailabilities[],4,FALSE)&gt;0,"Y",""),"")</f>
        <v/>
      </c>
      <c r="J21" s="74" t="str">
        <f>IFERROR(IF(VLOOKUP(TableHandbook[[#This Row],[UDC]],TableAvailabilities[],5,FALSE)&gt;0,"Y",""),"")</f>
        <v/>
      </c>
      <c r="K21" s="39"/>
      <c r="L21" s="86" t="str">
        <f>IFERROR(VLOOKUP(TableHandbook[[#This Row],[UDC]],TableBARCH[],7,FALSE),"")</f>
        <v>Core</v>
      </c>
      <c r="M21" s="86" t="str">
        <f>IFERROR(VLOOKUP(TableHandbook[[#This Row],[UDC]],TableSPUCANGAD[],7,FALSE),"")</f>
        <v/>
      </c>
      <c r="N21" s="86" t="str">
        <f>IFERROR(VLOOKUP(TableHandbook[[#This Row],[UDC]],TableSPUCCONMS[],7,FALSE),"")</f>
        <v/>
      </c>
      <c r="O21" s="86" t="str">
        <f>IFERROR(VLOOKUP(TableHandbook[[#This Row],[UDC]],TableSPUCDSGNF[],7,FALSE),"")</f>
        <v/>
      </c>
      <c r="P21" s="86" t="str">
        <f>IFERROR(VLOOKUP(TableHandbook[[#This Row],[UDC]],TableSPUCDSGNV[],7,FALSE),"")</f>
        <v/>
      </c>
      <c r="Q21" s="86" t="str">
        <f>IFERROR(VLOOKUP(TableHandbook[[#This Row],[UDC]],TableSPUCINARS[],7,FALSE),"")</f>
        <v/>
      </c>
      <c r="R21" s="86" t="str">
        <f>IFERROR(VLOOKUP(TableHandbook[[#This Row],[UDC]],TableSPUCPRINP[],7,FALSE),"")</f>
        <v/>
      </c>
    </row>
    <row r="22" spans="1:18" x14ac:dyDescent="0.25">
      <c r="A22" s="6" t="s">
        <v>164</v>
      </c>
      <c r="B22" s="7">
        <v>1</v>
      </c>
      <c r="C22" s="6"/>
      <c r="D22" s="6" t="s">
        <v>211</v>
      </c>
      <c r="E22" s="7">
        <v>25</v>
      </c>
      <c r="F22" s="38" t="s">
        <v>204</v>
      </c>
      <c r="G22" s="74" t="str">
        <f>IFERROR(IF(VLOOKUP(TableHandbook[[#This Row],[UDC]],TableAvailabilities[],2,FALSE)&gt;0,"Y",""),"")</f>
        <v/>
      </c>
      <c r="H22" s="74" t="str">
        <f>IFERROR(IF(VLOOKUP(TableHandbook[[#This Row],[UDC]],TableAvailabilities[],3,FALSE)&gt;0,"Y",""),"")</f>
        <v/>
      </c>
      <c r="I22" s="74" t="str">
        <f>IFERROR(IF(VLOOKUP(TableHandbook[[#This Row],[UDC]],TableAvailabilities[],4,FALSE)&gt;0,"Y",""),"")</f>
        <v/>
      </c>
      <c r="J22" s="74" t="str">
        <f>IFERROR(IF(VLOOKUP(TableHandbook[[#This Row],[UDC]],TableAvailabilities[],5,FALSE)&gt;0,"Y",""),"")</f>
        <v/>
      </c>
      <c r="K22" s="39"/>
      <c r="L22" s="86" t="str">
        <f>IFERROR(VLOOKUP(TableHandbook[[#This Row],[UDC]],TableBARCH[],7,FALSE),"")</f>
        <v/>
      </c>
      <c r="M22" s="86" t="str">
        <f>IFERROR(VLOOKUP(TableHandbook[[#This Row],[UDC]],TableSPUCANGAD[],7,FALSE),"")</f>
        <v/>
      </c>
      <c r="N22" s="86" t="str">
        <f>IFERROR(VLOOKUP(TableHandbook[[#This Row],[UDC]],TableSPUCCONMS[],7,FALSE),"")</f>
        <v/>
      </c>
      <c r="O22" s="86" t="str">
        <f>IFERROR(VLOOKUP(TableHandbook[[#This Row],[UDC]],TableSPUCDSGNF[],7,FALSE),"")</f>
        <v/>
      </c>
      <c r="P22" s="86" t="str">
        <f>IFERROR(VLOOKUP(TableHandbook[[#This Row],[UDC]],TableSPUCDSGNV[],7,FALSE),"")</f>
        <v/>
      </c>
      <c r="Q22" s="86" t="str">
        <f>IFERROR(VLOOKUP(TableHandbook[[#This Row],[UDC]],TableSPUCINARS[],7,FALSE),"")</f>
        <v>Option</v>
      </c>
      <c r="R22" s="86" t="str">
        <f>IFERROR(VLOOKUP(TableHandbook[[#This Row],[UDC]],TableSPUCPRINP[],7,FALSE),"")</f>
        <v/>
      </c>
    </row>
    <row r="23" spans="1:18" x14ac:dyDescent="0.25">
      <c r="A23" s="6" t="s">
        <v>100</v>
      </c>
      <c r="B23" s="7">
        <v>3</v>
      </c>
      <c r="C23" s="6"/>
      <c r="D23" s="6" t="s">
        <v>212</v>
      </c>
      <c r="E23" s="7">
        <v>25</v>
      </c>
      <c r="F23" s="100" t="s">
        <v>213</v>
      </c>
      <c r="G23" s="74" t="str">
        <f>IFERROR(IF(VLOOKUP(TableHandbook[[#This Row],[UDC]],TableAvailabilities[],2,FALSE)&gt;0,"Y",""),"")</f>
        <v>Y</v>
      </c>
      <c r="H23" s="74" t="str">
        <f>IFERROR(IF(VLOOKUP(TableHandbook[[#This Row],[UDC]],TableAvailabilities[],3,FALSE)&gt;0,"Y",""),"")</f>
        <v/>
      </c>
      <c r="I23" s="74" t="str">
        <f>IFERROR(IF(VLOOKUP(TableHandbook[[#This Row],[UDC]],TableAvailabilities[],4,FALSE)&gt;0,"Y",""),"")</f>
        <v/>
      </c>
      <c r="J23" s="74" t="str">
        <f>IFERROR(IF(VLOOKUP(TableHandbook[[#This Row],[UDC]],TableAvailabilities[],5,FALSE)&gt;0,"Y",""),"")</f>
        <v/>
      </c>
      <c r="K23" s="39"/>
      <c r="L23" s="86" t="str">
        <f>IFERROR(VLOOKUP(TableHandbook[[#This Row],[UDC]],TableBARCH[],7,FALSE),"")</f>
        <v>Core</v>
      </c>
      <c r="M23" s="86" t="str">
        <f>IFERROR(VLOOKUP(TableHandbook[[#This Row],[UDC]],TableSPUCANGAD[],7,FALSE),"")</f>
        <v/>
      </c>
      <c r="N23" s="86" t="str">
        <f>IFERROR(VLOOKUP(TableHandbook[[#This Row],[UDC]],TableSPUCCONMS[],7,FALSE),"")</f>
        <v/>
      </c>
      <c r="O23" s="86" t="str">
        <f>IFERROR(VLOOKUP(TableHandbook[[#This Row],[UDC]],TableSPUCDSGNF[],7,FALSE),"")</f>
        <v/>
      </c>
      <c r="P23" s="86" t="str">
        <f>IFERROR(VLOOKUP(TableHandbook[[#This Row],[UDC]],TableSPUCDSGNV[],7,FALSE),"")</f>
        <v/>
      </c>
      <c r="Q23" s="86" t="str">
        <f>IFERROR(VLOOKUP(TableHandbook[[#This Row],[UDC]],TableSPUCINARS[],7,FALSE),"")</f>
        <v/>
      </c>
      <c r="R23" s="86" t="str">
        <f>IFERROR(VLOOKUP(TableHandbook[[#This Row],[UDC]],TableSPUCPRINP[],7,FALSE),"")</f>
        <v/>
      </c>
    </row>
    <row r="24" spans="1:18" x14ac:dyDescent="0.25">
      <c r="A24" s="6" t="s">
        <v>99</v>
      </c>
      <c r="B24" s="7">
        <v>4</v>
      </c>
      <c r="C24" s="6"/>
      <c r="D24" s="6" t="s">
        <v>309</v>
      </c>
      <c r="E24" s="7">
        <v>25</v>
      </c>
      <c r="F24" s="100" t="s">
        <v>215</v>
      </c>
      <c r="G24" s="74" t="str">
        <f>IFERROR(IF(VLOOKUP(TableHandbook[[#This Row],[UDC]],TableAvailabilities[],2,FALSE)&gt;0,"Y",""),"")</f>
        <v/>
      </c>
      <c r="H24" s="74" t="str">
        <f>IFERROR(IF(VLOOKUP(TableHandbook[[#This Row],[UDC]],TableAvailabilities[],3,FALSE)&gt;0,"Y",""),"")</f>
        <v/>
      </c>
      <c r="I24" s="74" t="str">
        <f>IFERROR(IF(VLOOKUP(TableHandbook[[#This Row],[UDC]],TableAvailabilities[],4,FALSE)&gt;0,"Y",""),"")</f>
        <v>Y</v>
      </c>
      <c r="J24" s="74" t="str">
        <f>IFERROR(IF(VLOOKUP(TableHandbook[[#This Row],[UDC]],TableAvailabilities[],5,FALSE)&gt;0,"Y",""),"")</f>
        <v/>
      </c>
      <c r="K24" s="39" t="s">
        <v>264</v>
      </c>
      <c r="L24" s="86" t="str">
        <f>IFERROR(VLOOKUP(TableHandbook[[#This Row],[UDC]],TableBARCH[],7,FALSE),"")</f>
        <v>Core</v>
      </c>
      <c r="M24" s="86" t="str">
        <f>IFERROR(VLOOKUP(TableHandbook[[#This Row],[UDC]],TableSPUCANGAD[],7,FALSE),"")</f>
        <v/>
      </c>
      <c r="N24" s="86" t="str">
        <f>IFERROR(VLOOKUP(TableHandbook[[#This Row],[UDC]],TableSPUCCONMS[],7,FALSE),"")</f>
        <v/>
      </c>
      <c r="O24" s="86" t="str">
        <f>IFERROR(VLOOKUP(TableHandbook[[#This Row],[UDC]],TableSPUCDSGNF[],7,FALSE),"")</f>
        <v/>
      </c>
      <c r="P24" s="86" t="str">
        <f>IFERROR(VLOOKUP(TableHandbook[[#This Row],[UDC]],TableSPUCDSGNV[],7,FALSE),"")</f>
        <v/>
      </c>
      <c r="Q24" s="86" t="str">
        <f>IFERROR(VLOOKUP(TableHandbook[[#This Row],[UDC]],TableSPUCINARS[],7,FALSE),"")</f>
        <v/>
      </c>
      <c r="R24" s="86" t="str">
        <f>IFERROR(VLOOKUP(TableHandbook[[#This Row],[UDC]],TableSPUCPRINP[],7,FALSE),"")</f>
        <v/>
      </c>
    </row>
    <row r="25" spans="1:18" x14ac:dyDescent="0.25">
      <c r="A25" s="6" t="s">
        <v>310</v>
      </c>
      <c r="B25" s="7">
        <v>3</v>
      </c>
      <c r="C25" s="6"/>
      <c r="D25" s="6" t="s">
        <v>214</v>
      </c>
      <c r="E25" s="7">
        <v>25</v>
      </c>
      <c r="F25" s="38" t="s">
        <v>215</v>
      </c>
      <c r="G25" s="74" t="str">
        <f>IFERROR(IF(VLOOKUP(TableHandbook[[#This Row],[UDC]],TableAvailabilities[],2,FALSE)&gt;0,"Y",""),"")</f>
        <v/>
      </c>
      <c r="H25" s="74" t="str">
        <f>IFERROR(IF(VLOOKUP(TableHandbook[[#This Row],[UDC]],TableAvailabilities[],3,FALSE)&gt;0,"Y",""),"")</f>
        <v/>
      </c>
      <c r="I25" s="74" t="str">
        <f>IFERROR(IF(VLOOKUP(TableHandbook[[#This Row],[UDC]],TableAvailabilities[],4,FALSE)&gt;0,"Y",""),"")</f>
        <v/>
      </c>
      <c r="J25" s="74" t="str">
        <f>IFERROR(IF(VLOOKUP(TableHandbook[[#This Row],[UDC]],TableAvailabilities[],5,FALSE)&gt;0,"Y",""),"")</f>
        <v/>
      </c>
      <c r="K25" s="39" t="s">
        <v>261</v>
      </c>
      <c r="L25" s="86" t="str">
        <f>IFERROR(VLOOKUP(TableHandbook[[#This Row],[UDC]],TableBARCH[],7,FALSE),"")</f>
        <v/>
      </c>
      <c r="M25" s="86" t="str">
        <f>IFERROR(VLOOKUP(TableHandbook[[#This Row],[UDC]],TableSPUCANGAD[],7,FALSE),"")</f>
        <v/>
      </c>
      <c r="N25" s="86" t="str">
        <f>IFERROR(VLOOKUP(TableHandbook[[#This Row],[UDC]],TableSPUCCONMS[],7,FALSE),"")</f>
        <v/>
      </c>
      <c r="O25" s="86" t="str">
        <f>IFERROR(VLOOKUP(TableHandbook[[#This Row],[UDC]],TableSPUCDSGNF[],7,FALSE),"")</f>
        <v/>
      </c>
      <c r="P25" s="86" t="str">
        <f>IFERROR(VLOOKUP(TableHandbook[[#This Row],[UDC]],TableSPUCDSGNV[],7,FALSE),"")</f>
        <v/>
      </c>
      <c r="Q25" s="86" t="str">
        <f>IFERROR(VLOOKUP(TableHandbook[[#This Row],[UDC]],TableSPUCINARS[],7,FALSE),"")</f>
        <v/>
      </c>
      <c r="R25" s="86" t="str">
        <f>IFERROR(VLOOKUP(TableHandbook[[#This Row],[UDC]],TableSPUCPRINP[],7,FALSE),"")</f>
        <v/>
      </c>
    </row>
    <row r="26" spans="1:18" x14ac:dyDescent="0.25">
      <c r="A26" s="6" t="s">
        <v>101</v>
      </c>
      <c r="B26" s="7">
        <v>1</v>
      </c>
      <c r="C26" s="6"/>
      <c r="D26" s="6" t="s">
        <v>216</v>
      </c>
      <c r="E26" s="7">
        <v>25</v>
      </c>
      <c r="F26" s="100" t="s">
        <v>322</v>
      </c>
      <c r="G26" s="74" t="str">
        <f>IFERROR(IF(VLOOKUP(TableHandbook[[#This Row],[UDC]],TableAvailabilities[],2,FALSE)&gt;0,"Y",""),"")</f>
        <v/>
      </c>
      <c r="H26" s="74" t="str">
        <f>IFERROR(IF(VLOOKUP(TableHandbook[[#This Row],[UDC]],TableAvailabilities[],3,FALSE)&gt;0,"Y",""),"")</f>
        <v/>
      </c>
      <c r="I26" s="74" t="str">
        <f>IFERROR(IF(VLOOKUP(TableHandbook[[#This Row],[UDC]],TableAvailabilities[],4,FALSE)&gt;0,"Y",""),"")</f>
        <v>Y</v>
      </c>
      <c r="J26" s="74" t="str">
        <f>IFERROR(IF(VLOOKUP(TableHandbook[[#This Row],[UDC]],TableAvailabilities[],5,FALSE)&gt;0,"Y",""),"")</f>
        <v/>
      </c>
      <c r="K26" s="39"/>
      <c r="L26" s="86" t="str">
        <f>IFERROR(VLOOKUP(TableHandbook[[#This Row],[UDC]],TableBARCH[],7,FALSE),"")</f>
        <v>Core</v>
      </c>
      <c r="M26" s="86" t="str">
        <f>IFERROR(VLOOKUP(TableHandbook[[#This Row],[UDC]],TableSPUCANGAD[],7,FALSE),"")</f>
        <v/>
      </c>
      <c r="N26" s="86" t="str">
        <f>IFERROR(VLOOKUP(TableHandbook[[#This Row],[UDC]],TableSPUCCONMS[],7,FALSE),"")</f>
        <v/>
      </c>
      <c r="O26" s="86" t="str">
        <f>IFERROR(VLOOKUP(TableHandbook[[#This Row],[UDC]],TableSPUCDSGNF[],7,FALSE),"")</f>
        <v/>
      </c>
      <c r="P26" s="86" t="str">
        <f>IFERROR(VLOOKUP(TableHandbook[[#This Row],[UDC]],TableSPUCDSGNV[],7,FALSE),"")</f>
        <v/>
      </c>
      <c r="Q26" s="86" t="str">
        <f>IFERROR(VLOOKUP(TableHandbook[[#This Row],[UDC]],TableSPUCINARS[],7,FALSE),"")</f>
        <v/>
      </c>
      <c r="R26" s="86" t="str">
        <f>IFERROR(VLOOKUP(TableHandbook[[#This Row],[UDC]],TableSPUCPRINP[],7,FALSE),"")</f>
        <v/>
      </c>
    </row>
    <row r="27" spans="1:18" x14ac:dyDescent="0.25">
      <c r="A27" s="6" t="s">
        <v>102</v>
      </c>
      <c r="B27" s="7">
        <v>2</v>
      </c>
      <c r="C27" s="6"/>
      <c r="D27" s="6" t="s">
        <v>217</v>
      </c>
      <c r="E27" s="7">
        <v>25</v>
      </c>
      <c r="F27" s="100" t="s">
        <v>320</v>
      </c>
      <c r="G27" s="74" t="str">
        <f>IFERROR(IF(VLOOKUP(TableHandbook[[#This Row],[UDC]],TableAvailabilities[],2,FALSE)&gt;0,"Y",""),"")</f>
        <v>Y</v>
      </c>
      <c r="H27" s="74" t="str">
        <f>IFERROR(IF(VLOOKUP(TableHandbook[[#This Row],[UDC]],TableAvailabilities[],3,FALSE)&gt;0,"Y",""),"")</f>
        <v/>
      </c>
      <c r="I27" s="74" t="str">
        <f>IFERROR(IF(VLOOKUP(TableHandbook[[#This Row],[UDC]],TableAvailabilities[],4,FALSE)&gt;0,"Y",""),"")</f>
        <v/>
      </c>
      <c r="J27" s="74" t="str">
        <f>IFERROR(IF(VLOOKUP(TableHandbook[[#This Row],[UDC]],TableAvailabilities[],5,FALSE)&gt;0,"Y",""),"")</f>
        <v/>
      </c>
      <c r="K27" s="39"/>
      <c r="L27" s="86" t="str">
        <f>IFERROR(VLOOKUP(TableHandbook[[#This Row],[UDC]],TableBARCH[],7,FALSE),"")</f>
        <v>Core</v>
      </c>
      <c r="M27" s="86" t="str">
        <f>IFERROR(VLOOKUP(TableHandbook[[#This Row],[UDC]],TableSPUCANGAD[],7,FALSE),"")</f>
        <v/>
      </c>
      <c r="N27" s="86" t="str">
        <f>IFERROR(VLOOKUP(TableHandbook[[#This Row],[UDC]],TableSPUCCONMS[],7,FALSE),"")</f>
        <v/>
      </c>
      <c r="O27" s="86" t="str">
        <f>IFERROR(VLOOKUP(TableHandbook[[#This Row],[UDC]],TableSPUCDSGNF[],7,FALSE),"")</f>
        <v/>
      </c>
      <c r="P27" s="86" t="str">
        <f>IFERROR(VLOOKUP(TableHandbook[[#This Row],[UDC]],TableSPUCDSGNV[],7,FALSE),"")</f>
        <v/>
      </c>
      <c r="Q27" s="86" t="str">
        <f>IFERROR(VLOOKUP(TableHandbook[[#This Row],[UDC]],TableSPUCINARS[],7,FALSE),"")</f>
        <v/>
      </c>
      <c r="R27" s="86" t="str">
        <f>IFERROR(VLOOKUP(TableHandbook[[#This Row],[UDC]],TableSPUCPRINP[],7,FALSE),"")</f>
        <v/>
      </c>
    </row>
    <row r="28" spans="1:18" x14ac:dyDescent="0.25">
      <c r="A28" s="6" t="s">
        <v>97</v>
      </c>
      <c r="B28" s="7">
        <v>3</v>
      </c>
      <c r="C28" s="6"/>
      <c r="D28" s="6" t="s">
        <v>218</v>
      </c>
      <c r="E28" s="7">
        <v>25</v>
      </c>
      <c r="F28" s="100" t="s">
        <v>219</v>
      </c>
      <c r="G28" s="74" t="str">
        <f>IFERROR(IF(VLOOKUP(TableHandbook[[#This Row],[UDC]],TableAvailabilities[],2,FALSE)&gt;0,"Y",""),"")</f>
        <v/>
      </c>
      <c r="H28" s="74" t="str">
        <f>IFERROR(IF(VLOOKUP(TableHandbook[[#This Row],[UDC]],TableAvailabilities[],3,FALSE)&gt;0,"Y",""),"")</f>
        <v/>
      </c>
      <c r="I28" s="74" t="str">
        <f>IFERROR(IF(VLOOKUP(TableHandbook[[#This Row],[UDC]],TableAvailabilities[],4,FALSE)&gt;0,"Y",""),"")</f>
        <v>Y</v>
      </c>
      <c r="J28" s="74" t="str">
        <f>IFERROR(IF(VLOOKUP(TableHandbook[[#This Row],[UDC]],TableAvailabilities[],5,FALSE)&gt;0,"Y",""),"")</f>
        <v/>
      </c>
      <c r="K28" s="39"/>
      <c r="L28" s="86" t="str">
        <f>IFERROR(VLOOKUP(TableHandbook[[#This Row],[UDC]],TableBARCH[],7,FALSE),"")</f>
        <v>Core</v>
      </c>
      <c r="M28" s="86" t="str">
        <f>IFERROR(VLOOKUP(TableHandbook[[#This Row],[UDC]],TableSPUCANGAD[],7,FALSE),"")</f>
        <v/>
      </c>
      <c r="N28" s="86" t="str">
        <f>IFERROR(VLOOKUP(TableHandbook[[#This Row],[UDC]],TableSPUCCONMS[],7,FALSE),"")</f>
        <v/>
      </c>
      <c r="O28" s="86" t="str">
        <f>IFERROR(VLOOKUP(TableHandbook[[#This Row],[UDC]],TableSPUCDSGNF[],7,FALSE),"")</f>
        <v/>
      </c>
      <c r="P28" s="86" t="str">
        <f>IFERROR(VLOOKUP(TableHandbook[[#This Row],[UDC]],TableSPUCDSGNV[],7,FALSE),"")</f>
        <v/>
      </c>
      <c r="Q28" s="86" t="str">
        <f>IFERROR(VLOOKUP(TableHandbook[[#This Row],[UDC]],TableSPUCINARS[],7,FALSE),"")</f>
        <v/>
      </c>
      <c r="R28" s="86" t="str">
        <f>IFERROR(VLOOKUP(TableHandbook[[#This Row],[UDC]],TableSPUCPRINP[],7,FALSE),"")</f>
        <v/>
      </c>
    </row>
    <row r="29" spans="1:18" x14ac:dyDescent="0.25">
      <c r="A29" s="6" t="s">
        <v>95</v>
      </c>
      <c r="B29" s="7">
        <v>3</v>
      </c>
      <c r="C29" s="6"/>
      <c r="D29" s="6" t="s">
        <v>220</v>
      </c>
      <c r="E29" s="7">
        <v>25</v>
      </c>
      <c r="F29" s="100" t="s">
        <v>219</v>
      </c>
      <c r="G29" s="74" t="str">
        <f>IFERROR(IF(VLOOKUP(TableHandbook[[#This Row],[UDC]],TableAvailabilities[],2,FALSE)&gt;0,"Y",""),"")</f>
        <v>Y</v>
      </c>
      <c r="H29" s="74" t="str">
        <f>IFERROR(IF(VLOOKUP(TableHandbook[[#This Row],[UDC]],TableAvailabilities[],3,FALSE)&gt;0,"Y",""),"")</f>
        <v/>
      </c>
      <c r="I29" s="74" t="str">
        <f>IFERROR(IF(VLOOKUP(TableHandbook[[#This Row],[UDC]],TableAvailabilities[],4,FALSE)&gt;0,"Y",""),"")</f>
        <v/>
      </c>
      <c r="J29" s="74" t="str">
        <f>IFERROR(IF(VLOOKUP(TableHandbook[[#This Row],[UDC]],TableAvailabilities[],5,FALSE)&gt;0,"Y",""),"")</f>
        <v/>
      </c>
      <c r="K29" s="39"/>
      <c r="L29" s="86" t="str">
        <f>IFERROR(VLOOKUP(TableHandbook[[#This Row],[UDC]],TableBARCH[],7,FALSE),"")</f>
        <v>Core</v>
      </c>
      <c r="M29" s="86" t="str">
        <f>IFERROR(VLOOKUP(TableHandbook[[#This Row],[UDC]],TableSPUCANGAD[],7,FALSE),"")</f>
        <v/>
      </c>
      <c r="N29" s="86" t="str">
        <f>IFERROR(VLOOKUP(TableHandbook[[#This Row],[UDC]],TableSPUCCONMS[],7,FALSE),"")</f>
        <v/>
      </c>
      <c r="O29" s="86" t="str">
        <f>IFERROR(VLOOKUP(TableHandbook[[#This Row],[UDC]],TableSPUCDSGNF[],7,FALSE),"")</f>
        <v/>
      </c>
      <c r="P29" s="86" t="str">
        <f>IFERROR(VLOOKUP(TableHandbook[[#This Row],[UDC]],TableSPUCDSGNV[],7,FALSE),"")</f>
        <v/>
      </c>
      <c r="Q29" s="86" t="str">
        <f>IFERROR(VLOOKUP(TableHandbook[[#This Row],[UDC]],TableSPUCINARS[],7,FALSE),"")</f>
        <v/>
      </c>
      <c r="R29" s="86" t="str">
        <f>IFERROR(VLOOKUP(TableHandbook[[#This Row],[UDC]],TableSPUCPRINP[],7,FALSE),"")</f>
        <v/>
      </c>
    </row>
    <row r="30" spans="1:18" x14ac:dyDescent="0.25">
      <c r="A30" s="6" t="s">
        <v>98</v>
      </c>
      <c r="B30" s="7">
        <v>3</v>
      </c>
      <c r="C30" s="6"/>
      <c r="D30" s="6" t="s">
        <v>221</v>
      </c>
      <c r="E30" s="7">
        <v>25</v>
      </c>
      <c r="F30" s="100" t="s">
        <v>219</v>
      </c>
      <c r="G30" s="74" t="str">
        <f>IFERROR(IF(VLOOKUP(TableHandbook[[#This Row],[UDC]],TableAvailabilities[],2,FALSE)&gt;0,"Y",""),"")</f>
        <v>Y</v>
      </c>
      <c r="H30" s="74" t="str">
        <f>IFERROR(IF(VLOOKUP(TableHandbook[[#This Row],[UDC]],TableAvailabilities[],3,FALSE)&gt;0,"Y",""),"")</f>
        <v/>
      </c>
      <c r="I30" s="74" t="str">
        <f>IFERROR(IF(VLOOKUP(TableHandbook[[#This Row],[UDC]],TableAvailabilities[],4,FALSE)&gt;0,"Y",""),"")</f>
        <v/>
      </c>
      <c r="J30" s="74" t="str">
        <f>IFERROR(IF(VLOOKUP(TableHandbook[[#This Row],[UDC]],TableAvailabilities[],5,FALSE)&gt;0,"Y",""),"")</f>
        <v/>
      </c>
      <c r="K30" s="39"/>
      <c r="L30" s="86" t="str">
        <f>IFERROR(VLOOKUP(TableHandbook[[#This Row],[UDC]],TableBARCH[],7,FALSE),"")</f>
        <v>Core</v>
      </c>
      <c r="M30" s="86" t="str">
        <f>IFERROR(VLOOKUP(TableHandbook[[#This Row],[UDC]],TableSPUCANGAD[],7,FALSE),"")</f>
        <v/>
      </c>
      <c r="N30" s="86" t="str">
        <f>IFERROR(VLOOKUP(TableHandbook[[#This Row],[UDC]],TableSPUCCONMS[],7,FALSE),"")</f>
        <v/>
      </c>
      <c r="O30" s="86" t="str">
        <f>IFERROR(VLOOKUP(TableHandbook[[#This Row],[UDC]],TableSPUCDSGNF[],7,FALSE),"")</f>
        <v/>
      </c>
      <c r="P30" s="86" t="str">
        <f>IFERROR(VLOOKUP(TableHandbook[[#This Row],[UDC]],TableSPUCDSGNV[],7,FALSE),"")</f>
        <v/>
      </c>
      <c r="Q30" s="86" t="str">
        <f>IFERROR(VLOOKUP(TableHandbook[[#This Row],[UDC]],TableSPUCINARS[],7,FALSE),"")</f>
        <v/>
      </c>
      <c r="R30" s="86" t="str">
        <f>IFERROR(VLOOKUP(TableHandbook[[#This Row],[UDC]],TableSPUCPRINP[],7,FALSE),"")</f>
        <v/>
      </c>
    </row>
    <row r="31" spans="1:18" x14ac:dyDescent="0.25">
      <c r="A31" s="6" t="s">
        <v>141</v>
      </c>
      <c r="B31" s="7">
        <v>1</v>
      </c>
      <c r="C31" s="6"/>
      <c r="D31" s="6" t="s">
        <v>222</v>
      </c>
      <c r="E31" s="7">
        <v>25</v>
      </c>
      <c r="F31" s="38" t="s">
        <v>194</v>
      </c>
      <c r="G31" s="74" t="str">
        <f>IFERROR(IF(VLOOKUP(TableHandbook[[#This Row],[UDC]],TableAvailabilities[],2,FALSE)&gt;0,"Y",""),"")</f>
        <v/>
      </c>
      <c r="H31" s="74" t="str">
        <f>IFERROR(IF(VLOOKUP(TableHandbook[[#This Row],[UDC]],TableAvailabilities[],3,FALSE)&gt;0,"Y",""),"")</f>
        <v/>
      </c>
      <c r="I31" s="74" t="str">
        <f>IFERROR(IF(VLOOKUP(TableHandbook[[#This Row],[UDC]],TableAvailabilities[],4,FALSE)&gt;0,"Y",""),"")</f>
        <v/>
      </c>
      <c r="J31" s="74" t="str">
        <f>IFERROR(IF(VLOOKUP(TableHandbook[[#This Row],[UDC]],TableAvailabilities[],5,FALSE)&gt;0,"Y",""),"")</f>
        <v/>
      </c>
      <c r="K31" s="99" t="s">
        <v>318</v>
      </c>
      <c r="L31" s="86" t="str">
        <f>IFERROR(VLOOKUP(TableHandbook[[#This Row],[UDC]],TableBARCH[],7,FALSE),"")</f>
        <v/>
      </c>
      <c r="M31" s="86" t="str">
        <f>IFERROR(VLOOKUP(TableHandbook[[#This Row],[UDC]],TableSPUCANGAD[],7,FALSE),"")</f>
        <v/>
      </c>
      <c r="N31" s="86" t="str">
        <f>IFERROR(VLOOKUP(TableHandbook[[#This Row],[UDC]],TableSPUCCONMS[],7,FALSE),"")</f>
        <v>Core</v>
      </c>
      <c r="O31" s="86" t="str">
        <f>IFERROR(VLOOKUP(TableHandbook[[#This Row],[UDC]],TableSPUCDSGNF[],7,FALSE),"")</f>
        <v/>
      </c>
      <c r="P31" s="86" t="str">
        <f>IFERROR(VLOOKUP(TableHandbook[[#This Row],[UDC]],TableSPUCDSGNV[],7,FALSE),"")</f>
        <v/>
      </c>
      <c r="Q31" s="86" t="str">
        <f>IFERROR(VLOOKUP(TableHandbook[[#This Row],[UDC]],TableSPUCINARS[],7,FALSE),"")</f>
        <v/>
      </c>
      <c r="R31" s="86" t="str">
        <f>IFERROR(VLOOKUP(TableHandbook[[#This Row],[UDC]],TableSPUCPRINP[],7,FALSE),"")</f>
        <v/>
      </c>
    </row>
    <row r="32" spans="1:18" x14ac:dyDescent="0.25">
      <c r="A32" s="6" t="s">
        <v>121</v>
      </c>
      <c r="B32" s="7">
        <v>2</v>
      </c>
      <c r="C32" s="6"/>
      <c r="D32" s="6" t="s">
        <v>223</v>
      </c>
      <c r="E32" s="7">
        <v>25</v>
      </c>
      <c r="F32" s="38" t="s">
        <v>194</v>
      </c>
      <c r="G32" s="74" t="str">
        <f>IFERROR(IF(VLOOKUP(TableHandbook[[#This Row],[UDC]],TableAvailabilities[],2,FALSE)&gt;0,"Y",""),"")</f>
        <v>Y</v>
      </c>
      <c r="H32" s="74" t="str">
        <f>IFERROR(IF(VLOOKUP(TableHandbook[[#This Row],[UDC]],TableAvailabilities[],3,FALSE)&gt;0,"Y",""),"")</f>
        <v/>
      </c>
      <c r="I32" s="74" t="str">
        <f>IFERROR(IF(VLOOKUP(TableHandbook[[#This Row],[UDC]],TableAvailabilities[],4,FALSE)&gt;0,"Y",""),"")</f>
        <v/>
      </c>
      <c r="J32" s="74" t="str">
        <f>IFERROR(IF(VLOOKUP(TableHandbook[[#This Row],[UDC]],TableAvailabilities[],5,FALSE)&gt;0,"Y",""),"")</f>
        <v/>
      </c>
      <c r="K32" s="39"/>
      <c r="L32" s="86" t="str">
        <f>IFERROR(VLOOKUP(TableHandbook[[#This Row],[UDC]],TableBARCH[],7,FALSE),"")</f>
        <v/>
      </c>
      <c r="M32" s="86" t="str">
        <f>IFERROR(VLOOKUP(TableHandbook[[#This Row],[UDC]],TableSPUCANGAD[],7,FALSE),"")</f>
        <v/>
      </c>
      <c r="N32" s="86" t="str">
        <f>IFERROR(VLOOKUP(TableHandbook[[#This Row],[UDC]],TableSPUCCONMS[],7,FALSE),"")</f>
        <v>Core</v>
      </c>
      <c r="O32" s="86" t="str">
        <f>IFERROR(VLOOKUP(TableHandbook[[#This Row],[UDC]],TableSPUCDSGNF[],7,FALSE),"")</f>
        <v/>
      </c>
      <c r="P32" s="86" t="str">
        <f>IFERROR(VLOOKUP(TableHandbook[[#This Row],[UDC]],TableSPUCDSGNV[],7,FALSE),"")</f>
        <v/>
      </c>
      <c r="Q32" s="86" t="str">
        <f>IFERROR(VLOOKUP(TableHandbook[[#This Row],[UDC]],TableSPUCINARS[],7,FALSE),"")</f>
        <v/>
      </c>
      <c r="R32" s="86" t="str">
        <f>IFERROR(VLOOKUP(TableHandbook[[#This Row],[UDC]],TableSPUCPRINP[],7,FALSE),"")</f>
        <v/>
      </c>
    </row>
    <row r="33" spans="1:18" x14ac:dyDescent="0.25">
      <c r="A33" s="6" t="s">
        <v>128</v>
      </c>
      <c r="B33" s="7">
        <v>3</v>
      </c>
      <c r="C33" s="6"/>
      <c r="D33" s="6" t="s">
        <v>224</v>
      </c>
      <c r="E33" s="7">
        <v>25</v>
      </c>
      <c r="F33" s="100" t="s">
        <v>121</v>
      </c>
      <c r="G33" s="74" t="str">
        <f>IFERROR(IF(VLOOKUP(TableHandbook[[#This Row],[UDC]],TableAvailabilities[],2,FALSE)&gt;0,"Y",""),"")</f>
        <v/>
      </c>
      <c r="H33" s="74" t="str">
        <f>IFERROR(IF(VLOOKUP(TableHandbook[[#This Row],[UDC]],TableAvailabilities[],3,FALSE)&gt;0,"Y",""),"")</f>
        <v/>
      </c>
      <c r="I33" s="74" t="str">
        <f>IFERROR(IF(VLOOKUP(TableHandbook[[#This Row],[UDC]],TableAvailabilities[],4,FALSE)&gt;0,"Y",""),"")</f>
        <v>Y</v>
      </c>
      <c r="J33" s="74" t="str">
        <f>IFERROR(IF(VLOOKUP(TableHandbook[[#This Row],[UDC]],TableAvailabilities[],5,FALSE)&gt;0,"Y",""),"")</f>
        <v/>
      </c>
      <c r="K33" s="39"/>
      <c r="L33" s="86" t="str">
        <f>IFERROR(VLOOKUP(TableHandbook[[#This Row],[UDC]],TableBARCH[],7,FALSE),"")</f>
        <v/>
      </c>
      <c r="M33" s="86" t="str">
        <f>IFERROR(VLOOKUP(TableHandbook[[#This Row],[UDC]],TableSPUCANGAD[],7,FALSE),"")</f>
        <v/>
      </c>
      <c r="N33" s="86" t="str">
        <f>IFERROR(VLOOKUP(TableHandbook[[#This Row],[UDC]],TableSPUCCONMS[],7,FALSE),"")</f>
        <v>Core</v>
      </c>
      <c r="O33" s="86" t="str">
        <f>IFERROR(VLOOKUP(TableHandbook[[#This Row],[UDC]],TableSPUCDSGNF[],7,FALSE),"")</f>
        <v/>
      </c>
      <c r="P33" s="86" t="str">
        <f>IFERROR(VLOOKUP(TableHandbook[[#This Row],[UDC]],TableSPUCDSGNV[],7,FALSE),"")</f>
        <v/>
      </c>
      <c r="Q33" s="86" t="str">
        <f>IFERROR(VLOOKUP(TableHandbook[[#This Row],[UDC]],TableSPUCINARS[],7,FALSE),"")</f>
        <v/>
      </c>
      <c r="R33" s="86" t="str">
        <f>IFERROR(VLOOKUP(TableHandbook[[#This Row],[UDC]],TableSPUCPRINP[],7,FALSE),"")</f>
        <v/>
      </c>
    </row>
    <row r="34" spans="1:18" x14ac:dyDescent="0.25">
      <c r="A34" s="6" t="s">
        <v>314</v>
      </c>
      <c r="B34" s="7">
        <v>3</v>
      </c>
      <c r="C34" s="6"/>
      <c r="D34" s="6" t="s">
        <v>315</v>
      </c>
      <c r="E34" s="7">
        <v>25</v>
      </c>
      <c r="F34" s="100" t="s">
        <v>128</v>
      </c>
      <c r="G34" s="74" t="str">
        <f>IFERROR(IF(VLOOKUP(TableHandbook[[#This Row],[UDC]],TableAvailabilities[],2,FALSE)&gt;0,"Y",""),"")</f>
        <v/>
      </c>
      <c r="H34" s="74" t="str">
        <f>IFERROR(IF(VLOOKUP(TableHandbook[[#This Row],[UDC]],TableAvailabilities[],3,FALSE)&gt;0,"Y",""),"")</f>
        <v/>
      </c>
      <c r="I34" s="74" t="str">
        <f>IFERROR(IF(VLOOKUP(TableHandbook[[#This Row],[UDC]],TableAvailabilities[],4,FALSE)&gt;0,"Y",""),"")</f>
        <v>Y</v>
      </c>
      <c r="J34" s="74" t="str">
        <f>IFERROR(IF(VLOOKUP(TableHandbook[[#This Row],[UDC]],TableAvailabilities[],5,FALSE)&gt;0,"Y",""),"")</f>
        <v/>
      </c>
      <c r="K34" s="99" t="s">
        <v>317</v>
      </c>
      <c r="L34" s="86" t="str">
        <f>IFERROR(VLOOKUP(TableHandbook[[#This Row],[UDC]],TableBARCH[],7,FALSE),"")</f>
        <v/>
      </c>
      <c r="M34" s="86" t="str">
        <f>IFERROR(VLOOKUP(TableHandbook[[#This Row],[UDC]],TableSPUCANGAD[],7,FALSE),"")</f>
        <v/>
      </c>
      <c r="N34" s="86" t="str">
        <f>IFERROR(VLOOKUP(TableHandbook[[#This Row],[UDC]],TableSPUCCONMS[],7,FALSE),"")</f>
        <v/>
      </c>
      <c r="O34" s="86" t="str">
        <f>IFERROR(VLOOKUP(TableHandbook[[#This Row],[UDC]],TableSPUCDSGNF[],7,FALSE),"")</f>
        <v/>
      </c>
      <c r="P34" s="86" t="str">
        <f>IFERROR(VLOOKUP(TableHandbook[[#This Row],[UDC]],TableSPUCDSGNV[],7,FALSE),"")</f>
        <v/>
      </c>
      <c r="Q34" s="86" t="str">
        <f>IFERROR(VLOOKUP(TableHandbook[[#This Row],[UDC]],TableSPUCINARS[],7,FALSE),"")</f>
        <v/>
      </c>
      <c r="R34" s="86" t="str">
        <f>IFERROR(VLOOKUP(TableHandbook[[#This Row],[UDC]],TableSPUCPRINP[],7,FALSE),"")</f>
        <v/>
      </c>
    </row>
    <row r="35" spans="1:18" x14ac:dyDescent="0.25">
      <c r="A35" s="6" t="s">
        <v>135</v>
      </c>
      <c r="B35" s="7">
        <v>2</v>
      </c>
      <c r="C35" s="6"/>
      <c r="D35" s="6" t="s">
        <v>225</v>
      </c>
      <c r="E35" s="7">
        <v>25</v>
      </c>
      <c r="F35" s="100" t="s">
        <v>319</v>
      </c>
      <c r="G35" s="74" t="str">
        <f>IFERROR(IF(VLOOKUP(TableHandbook[[#This Row],[UDC]],TableAvailabilities[],2,FALSE)&gt;0,"Y",""),"")</f>
        <v>Y</v>
      </c>
      <c r="H35" s="74" t="str">
        <f>IFERROR(IF(VLOOKUP(TableHandbook[[#This Row],[UDC]],TableAvailabilities[],3,FALSE)&gt;0,"Y",""),"")</f>
        <v/>
      </c>
      <c r="I35" s="74" t="str">
        <f>IFERROR(IF(VLOOKUP(TableHandbook[[#This Row],[UDC]],TableAvailabilities[],4,FALSE)&gt;0,"Y",""),"")</f>
        <v/>
      </c>
      <c r="J35" s="74" t="str">
        <f>IFERROR(IF(VLOOKUP(TableHandbook[[#This Row],[UDC]],TableAvailabilities[],5,FALSE)&gt;0,"Y",""),"")</f>
        <v/>
      </c>
      <c r="K35" s="39"/>
      <c r="L35" s="86" t="str">
        <f>IFERROR(VLOOKUP(TableHandbook[[#This Row],[UDC]],TableBARCH[],7,FALSE),"")</f>
        <v/>
      </c>
      <c r="M35" s="86" t="str">
        <f>IFERROR(VLOOKUP(TableHandbook[[#This Row],[UDC]],TableSPUCANGAD[],7,FALSE),"")</f>
        <v/>
      </c>
      <c r="N35" s="86" t="str">
        <f>IFERROR(VLOOKUP(TableHandbook[[#This Row],[UDC]],TableSPUCCONMS[],7,FALSE),"")</f>
        <v>Core</v>
      </c>
      <c r="O35" s="86" t="str">
        <f>IFERROR(VLOOKUP(TableHandbook[[#This Row],[UDC]],TableSPUCDSGNF[],7,FALSE),"")</f>
        <v/>
      </c>
      <c r="P35" s="86" t="str">
        <f>IFERROR(VLOOKUP(TableHandbook[[#This Row],[UDC]],TableSPUCDSGNV[],7,FALSE),"")</f>
        <v/>
      </c>
      <c r="Q35" s="86" t="str">
        <f>IFERROR(VLOOKUP(TableHandbook[[#This Row],[UDC]],TableSPUCINARS[],7,FALSE),"")</f>
        <v/>
      </c>
      <c r="R35" s="86" t="str">
        <f>IFERROR(VLOOKUP(TableHandbook[[#This Row],[UDC]],TableSPUCPRINP[],7,FALSE),"")</f>
        <v/>
      </c>
    </row>
    <row r="36" spans="1:18" x14ac:dyDescent="0.25">
      <c r="A36" s="6" t="s">
        <v>41</v>
      </c>
      <c r="B36" s="7">
        <v>2</v>
      </c>
      <c r="C36" s="6"/>
      <c r="D36" s="6" t="s">
        <v>226</v>
      </c>
      <c r="E36" s="7">
        <v>25</v>
      </c>
      <c r="F36" s="38" t="s">
        <v>194</v>
      </c>
      <c r="G36" s="74" t="str">
        <f>IFERROR(IF(VLOOKUP(TableHandbook[[#This Row],[UDC]],TableAvailabilities[],2,FALSE)&gt;0,"Y",""),"")</f>
        <v>Y</v>
      </c>
      <c r="H36" s="74" t="str">
        <f>IFERROR(IF(VLOOKUP(TableHandbook[[#This Row],[UDC]],TableAvailabilities[],3,FALSE)&gt;0,"Y",""),"")</f>
        <v>Y</v>
      </c>
      <c r="I36" s="74" t="str">
        <f>IFERROR(IF(VLOOKUP(TableHandbook[[#This Row],[UDC]],TableAvailabilities[],4,FALSE)&gt;0,"Y",""),"")</f>
        <v>Y</v>
      </c>
      <c r="J36" s="74" t="str">
        <f>IFERROR(IF(VLOOKUP(TableHandbook[[#This Row],[UDC]],TableAvailabilities[],5,FALSE)&gt;0,"Y",""),"")</f>
        <v>Y</v>
      </c>
      <c r="K36" s="39"/>
      <c r="L36" s="86" t="str">
        <f>IFERROR(VLOOKUP(TableHandbook[[#This Row],[UDC]],TableBARCH[],7,FALSE),"")</f>
        <v>Core</v>
      </c>
      <c r="M36" s="86" t="str">
        <f>IFERROR(VLOOKUP(TableHandbook[[#This Row],[UDC]],TableSPUCANGAD[],7,FALSE),"")</f>
        <v/>
      </c>
      <c r="N36" s="86" t="str">
        <f>IFERROR(VLOOKUP(TableHandbook[[#This Row],[UDC]],TableSPUCCONMS[],7,FALSE),"")</f>
        <v/>
      </c>
      <c r="O36" s="86" t="str">
        <f>IFERROR(VLOOKUP(TableHandbook[[#This Row],[UDC]],TableSPUCDSGNF[],7,FALSE),"")</f>
        <v/>
      </c>
      <c r="P36" s="86" t="str">
        <f>IFERROR(VLOOKUP(TableHandbook[[#This Row],[UDC]],TableSPUCDSGNV[],7,FALSE),"")</f>
        <v/>
      </c>
      <c r="Q36" s="86" t="str">
        <f>IFERROR(VLOOKUP(TableHandbook[[#This Row],[UDC]],TableSPUCINARS[],7,FALSE),"")</f>
        <v/>
      </c>
      <c r="R36" s="86" t="str">
        <f>IFERROR(VLOOKUP(TableHandbook[[#This Row],[UDC]],TableSPUCPRINP[],7,FALSE),"")</f>
        <v/>
      </c>
    </row>
    <row r="37" spans="1:18" x14ac:dyDescent="0.25">
      <c r="A37" s="6" t="s">
        <v>129</v>
      </c>
      <c r="B37" s="7">
        <v>1</v>
      </c>
      <c r="C37" s="6"/>
      <c r="D37" s="6" t="s">
        <v>227</v>
      </c>
      <c r="E37" s="7">
        <v>25</v>
      </c>
      <c r="F37" s="38" t="s">
        <v>194</v>
      </c>
      <c r="G37" s="74" t="str">
        <f>IFERROR(IF(VLOOKUP(TableHandbook[[#This Row],[UDC]],TableAvailabilities[],2,FALSE)&gt;0,"Y",""),"")</f>
        <v>Y</v>
      </c>
      <c r="H37" s="74" t="str">
        <f>IFERROR(IF(VLOOKUP(TableHandbook[[#This Row],[UDC]],TableAvailabilities[],3,FALSE)&gt;0,"Y",""),"")</f>
        <v/>
      </c>
      <c r="I37" s="74" t="str">
        <f>IFERROR(IF(VLOOKUP(TableHandbook[[#This Row],[UDC]],TableAvailabilities[],4,FALSE)&gt;0,"Y",""),"")</f>
        <v>Y</v>
      </c>
      <c r="J37" s="74" t="str">
        <f>IFERROR(IF(VLOOKUP(TableHandbook[[#This Row],[UDC]],TableAvailabilities[],5,FALSE)&gt;0,"Y",""),"")</f>
        <v/>
      </c>
      <c r="K37" s="39"/>
      <c r="L37" s="86" t="str">
        <f>IFERROR(VLOOKUP(TableHandbook[[#This Row],[UDC]],TableBARCH[],7,FALSE),"")</f>
        <v/>
      </c>
      <c r="M37" s="86" t="str">
        <f>IFERROR(VLOOKUP(TableHandbook[[#This Row],[UDC]],TableSPUCANGAD[],7,FALSE),"")</f>
        <v/>
      </c>
      <c r="N37" s="86" t="str">
        <f>IFERROR(VLOOKUP(TableHandbook[[#This Row],[UDC]],TableSPUCCONMS[],7,FALSE),"")</f>
        <v/>
      </c>
      <c r="O37" s="86" t="str">
        <f>IFERROR(VLOOKUP(TableHandbook[[#This Row],[UDC]],TableSPUCDSGNF[],7,FALSE),"")</f>
        <v>Core</v>
      </c>
      <c r="P37" s="86" t="str">
        <f>IFERROR(VLOOKUP(TableHandbook[[#This Row],[UDC]],TableSPUCDSGNV[],7,FALSE),"")</f>
        <v/>
      </c>
      <c r="Q37" s="86" t="str">
        <f>IFERROR(VLOOKUP(TableHandbook[[#This Row],[UDC]],TableSPUCINARS[],7,FALSE),"")</f>
        <v/>
      </c>
      <c r="R37" s="86" t="str">
        <f>IFERROR(VLOOKUP(TableHandbook[[#This Row],[UDC]],TableSPUCPRINP[],7,FALSE),"")</f>
        <v/>
      </c>
    </row>
    <row r="38" spans="1:18" x14ac:dyDescent="0.25">
      <c r="A38" s="6" t="s">
        <v>136</v>
      </c>
      <c r="B38" s="7">
        <v>1</v>
      </c>
      <c r="C38" s="6"/>
      <c r="D38" s="6" t="s">
        <v>228</v>
      </c>
      <c r="E38" s="7">
        <v>25</v>
      </c>
      <c r="F38" s="38" t="s">
        <v>194</v>
      </c>
      <c r="G38" s="74" t="str">
        <f>IFERROR(IF(VLOOKUP(TableHandbook[[#This Row],[UDC]],TableAvailabilities[],2,FALSE)&gt;0,"Y",""),"")</f>
        <v>Y</v>
      </c>
      <c r="H38" s="74" t="str">
        <f>IFERROR(IF(VLOOKUP(TableHandbook[[#This Row],[UDC]],TableAvailabilities[],3,FALSE)&gt;0,"Y",""),"")</f>
        <v/>
      </c>
      <c r="I38" s="74" t="str">
        <f>IFERROR(IF(VLOOKUP(TableHandbook[[#This Row],[UDC]],TableAvailabilities[],4,FALSE)&gt;0,"Y",""),"")</f>
        <v>Y</v>
      </c>
      <c r="J38" s="74" t="str">
        <f>IFERROR(IF(VLOOKUP(TableHandbook[[#This Row],[UDC]],TableAvailabilities[],5,FALSE)&gt;0,"Y",""),"")</f>
        <v/>
      </c>
      <c r="K38" s="39"/>
      <c r="L38" s="86" t="str">
        <f>IFERROR(VLOOKUP(TableHandbook[[#This Row],[UDC]],TableBARCH[],7,FALSE),"")</f>
        <v/>
      </c>
      <c r="M38" s="86" t="str">
        <f>IFERROR(VLOOKUP(TableHandbook[[#This Row],[UDC]],TableSPUCANGAD[],7,FALSE),"")</f>
        <v/>
      </c>
      <c r="N38" s="86" t="str">
        <f>IFERROR(VLOOKUP(TableHandbook[[#This Row],[UDC]],TableSPUCCONMS[],7,FALSE),"")</f>
        <v/>
      </c>
      <c r="O38" s="86" t="str">
        <f>IFERROR(VLOOKUP(TableHandbook[[#This Row],[UDC]],TableSPUCDSGNF[],7,FALSE),"")</f>
        <v>Core</v>
      </c>
      <c r="P38" s="86" t="str">
        <f>IFERROR(VLOOKUP(TableHandbook[[#This Row],[UDC]],TableSPUCDSGNV[],7,FALSE),"")</f>
        <v/>
      </c>
      <c r="Q38" s="86" t="str">
        <f>IFERROR(VLOOKUP(TableHandbook[[#This Row],[UDC]],TableSPUCINARS[],7,FALSE),"")</f>
        <v/>
      </c>
      <c r="R38" s="86" t="str">
        <f>IFERROR(VLOOKUP(TableHandbook[[#This Row],[UDC]],TableSPUCPRINP[],7,FALSE),"")</f>
        <v/>
      </c>
    </row>
    <row r="39" spans="1:18" x14ac:dyDescent="0.25">
      <c r="A39" s="6" t="s">
        <v>151</v>
      </c>
      <c r="B39" s="7">
        <v>1</v>
      </c>
      <c r="C39" s="6"/>
      <c r="D39" s="6" t="s">
        <v>229</v>
      </c>
      <c r="E39" s="7">
        <v>25</v>
      </c>
      <c r="F39" s="38" t="s">
        <v>194</v>
      </c>
      <c r="G39" s="74" t="str">
        <f>IFERROR(IF(VLOOKUP(TableHandbook[[#This Row],[UDC]],TableAvailabilities[],2,FALSE)&gt;0,"Y",""),"")</f>
        <v>Y</v>
      </c>
      <c r="H39" s="74" t="str">
        <f>IFERROR(IF(VLOOKUP(TableHandbook[[#This Row],[UDC]],TableAvailabilities[],3,FALSE)&gt;0,"Y",""),"")</f>
        <v/>
      </c>
      <c r="I39" s="74" t="str">
        <f>IFERROR(IF(VLOOKUP(TableHandbook[[#This Row],[UDC]],TableAvailabilities[],4,FALSE)&gt;0,"Y",""),"")</f>
        <v>Y</v>
      </c>
      <c r="J39" s="74" t="str">
        <f>IFERROR(IF(VLOOKUP(TableHandbook[[#This Row],[UDC]],TableAvailabilities[],5,FALSE)&gt;0,"Y",""),"")</f>
        <v/>
      </c>
      <c r="K39" s="39"/>
      <c r="L39" s="86" t="str">
        <f>IFERROR(VLOOKUP(TableHandbook[[#This Row],[UDC]],TableBARCH[],7,FALSE),"")</f>
        <v/>
      </c>
      <c r="M39" s="86" t="str">
        <f>IFERROR(VLOOKUP(TableHandbook[[#This Row],[UDC]],TableSPUCANGAD[],7,FALSE),"")</f>
        <v/>
      </c>
      <c r="N39" s="86" t="str">
        <f>IFERROR(VLOOKUP(TableHandbook[[#This Row],[UDC]],TableSPUCCONMS[],7,FALSE),"")</f>
        <v/>
      </c>
      <c r="O39" s="86" t="str">
        <f>IFERROR(VLOOKUP(TableHandbook[[#This Row],[UDC]],TableSPUCDSGNF[],7,FALSE),"")</f>
        <v>Core</v>
      </c>
      <c r="P39" s="86" t="str">
        <f>IFERROR(VLOOKUP(TableHandbook[[#This Row],[UDC]],TableSPUCDSGNV[],7,FALSE),"")</f>
        <v/>
      </c>
      <c r="Q39" s="86" t="str">
        <f>IFERROR(VLOOKUP(TableHandbook[[#This Row],[UDC]],TableSPUCINARS[],7,FALSE),"")</f>
        <v/>
      </c>
      <c r="R39" s="86" t="str">
        <f>IFERROR(VLOOKUP(TableHandbook[[#This Row],[UDC]],TableSPUCPRINP[],7,FALSE),"")</f>
        <v/>
      </c>
    </row>
    <row r="40" spans="1:18" x14ac:dyDescent="0.25">
      <c r="A40" s="6" t="s">
        <v>120</v>
      </c>
      <c r="B40" s="7">
        <v>1</v>
      </c>
      <c r="C40" s="6"/>
      <c r="D40" s="6" t="s">
        <v>230</v>
      </c>
      <c r="E40" s="7">
        <v>25</v>
      </c>
      <c r="F40" s="38" t="s">
        <v>194</v>
      </c>
      <c r="G40" s="74" t="str">
        <f>IFERROR(IF(VLOOKUP(TableHandbook[[#This Row],[UDC]],TableAvailabilities[],2,FALSE)&gt;0,"Y",""),"")</f>
        <v>Y</v>
      </c>
      <c r="H40" s="74" t="str">
        <f>IFERROR(IF(VLOOKUP(TableHandbook[[#This Row],[UDC]],TableAvailabilities[],3,FALSE)&gt;0,"Y",""),"")</f>
        <v/>
      </c>
      <c r="I40" s="74" t="str">
        <f>IFERROR(IF(VLOOKUP(TableHandbook[[#This Row],[UDC]],TableAvailabilities[],4,FALSE)&gt;0,"Y",""),"")</f>
        <v>Y</v>
      </c>
      <c r="J40" s="74" t="str">
        <f>IFERROR(IF(VLOOKUP(TableHandbook[[#This Row],[UDC]],TableAvailabilities[],5,FALSE)&gt;0,"Y",""),"")</f>
        <v/>
      </c>
      <c r="K40" s="39"/>
      <c r="L40" s="86" t="str">
        <f>IFERROR(VLOOKUP(TableHandbook[[#This Row],[UDC]],TableBARCH[],7,FALSE),"")</f>
        <v/>
      </c>
      <c r="M40" s="86" t="str">
        <f>IFERROR(VLOOKUP(TableHandbook[[#This Row],[UDC]],TableSPUCANGAD[],7,FALSE),"")</f>
        <v>Core</v>
      </c>
      <c r="N40" s="86" t="str">
        <f>IFERROR(VLOOKUP(TableHandbook[[#This Row],[UDC]],TableSPUCCONMS[],7,FALSE),"")</f>
        <v/>
      </c>
      <c r="O40" s="86" t="str">
        <f>IFERROR(VLOOKUP(TableHandbook[[#This Row],[UDC]],TableSPUCDSGNF[],7,FALSE),"")</f>
        <v/>
      </c>
      <c r="P40" s="86" t="str">
        <f>IFERROR(VLOOKUP(TableHandbook[[#This Row],[UDC]],TableSPUCDSGNV[],7,FALSE),"")</f>
        <v/>
      </c>
      <c r="Q40" s="86" t="str">
        <f>IFERROR(VLOOKUP(TableHandbook[[#This Row],[UDC]],TableSPUCINARS[],7,FALSE),"")</f>
        <v/>
      </c>
      <c r="R40" s="86" t="str">
        <f>IFERROR(VLOOKUP(TableHandbook[[#This Row],[UDC]],TableSPUCPRINP[],7,FALSE),"")</f>
        <v/>
      </c>
    </row>
    <row r="41" spans="1:18" x14ac:dyDescent="0.25">
      <c r="A41" s="6" t="s">
        <v>122</v>
      </c>
      <c r="B41" s="7">
        <v>2</v>
      </c>
      <c r="C41" s="6"/>
      <c r="D41" s="6" t="s">
        <v>231</v>
      </c>
      <c r="E41" s="7">
        <v>25</v>
      </c>
      <c r="F41" s="38" t="s">
        <v>194</v>
      </c>
      <c r="G41" s="74" t="str">
        <f>IFERROR(IF(VLOOKUP(TableHandbook[[#This Row],[UDC]],TableAvailabilities[],2,FALSE)&gt;0,"Y",""),"")</f>
        <v>Y</v>
      </c>
      <c r="H41" s="74" t="str">
        <f>IFERROR(IF(VLOOKUP(TableHandbook[[#This Row],[UDC]],TableAvailabilities[],3,FALSE)&gt;0,"Y",""),"")</f>
        <v/>
      </c>
      <c r="I41" s="74" t="str">
        <f>IFERROR(IF(VLOOKUP(TableHandbook[[#This Row],[UDC]],TableAvailabilities[],4,FALSE)&gt;0,"Y",""),"")</f>
        <v>Y</v>
      </c>
      <c r="J41" s="74" t="str">
        <f>IFERROR(IF(VLOOKUP(TableHandbook[[#This Row],[UDC]],TableAvailabilities[],5,FALSE)&gt;0,"Y",""),"")</f>
        <v/>
      </c>
      <c r="K41" s="39"/>
      <c r="L41" s="86" t="str">
        <f>IFERROR(VLOOKUP(TableHandbook[[#This Row],[UDC]],TableBARCH[],7,FALSE),"")</f>
        <v/>
      </c>
      <c r="M41" s="86" t="str">
        <f>IFERROR(VLOOKUP(TableHandbook[[#This Row],[UDC]],TableSPUCANGAD[],7,FALSE),"")</f>
        <v/>
      </c>
      <c r="N41" s="86" t="str">
        <f>IFERROR(VLOOKUP(TableHandbook[[#This Row],[UDC]],TableSPUCCONMS[],7,FALSE),"")</f>
        <v/>
      </c>
      <c r="O41" s="86" t="str">
        <f>IFERROR(VLOOKUP(TableHandbook[[#This Row],[UDC]],TableSPUCDSGNF[],7,FALSE),"")</f>
        <v>Core</v>
      </c>
      <c r="P41" s="86" t="str">
        <f>IFERROR(VLOOKUP(TableHandbook[[#This Row],[UDC]],TableSPUCDSGNV[],7,FALSE),"")</f>
        <v/>
      </c>
      <c r="Q41" s="86" t="str">
        <f>IFERROR(VLOOKUP(TableHandbook[[#This Row],[UDC]],TableSPUCINARS[],7,FALSE),"")</f>
        <v/>
      </c>
      <c r="R41" s="86" t="str">
        <f>IFERROR(VLOOKUP(TableHandbook[[#This Row],[UDC]],TableSPUCPRINP[],7,FALSE),"")</f>
        <v/>
      </c>
    </row>
    <row r="42" spans="1:18" x14ac:dyDescent="0.25">
      <c r="A42" s="6" t="s">
        <v>123</v>
      </c>
      <c r="B42" s="7">
        <v>2</v>
      </c>
      <c r="C42" s="6"/>
      <c r="D42" s="6" t="s">
        <v>232</v>
      </c>
      <c r="E42" s="7">
        <v>25</v>
      </c>
      <c r="F42" s="38" t="s">
        <v>194</v>
      </c>
      <c r="G42" s="74" t="str">
        <f>IFERROR(IF(VLOOKUP(TableHandbook[[#This Row],[UDC]],TableAvailabilities[],2,FALSE)&gt;0,"Y",""),"")</f>
        <v>Y</v>
      </c>
      <c r="H42" s="74" t="str">
        <f>IFERROR(IF(VLOOKUP(TableHandbook[[#This Row],[UDC]],TableAvailabilities[],3,FALSE)&gt;0,"Y",""),"")</f>
        <v/>
      </c>
      <c r="I42" s="74" t="str">
        <f>IFERROR(IF(VLOOKUP(TableHandbook[[#This Row],[UDC]],TableAvailabilities[],4,FALSE)&gt;0,"Y",""),"")</f>
        <v>Y</v>
      </c>
      <c r="J42" s="74" t="str">
        <f>IFERROR(IF(VLOOKUP(TableHandbook[[#This Row],[UDC]],TableAvailabilities[],5,FALSE)&gt;0,"Y",""),"")</f>
        <v/>
      </c>
      <c r="K42" s="39"/>
      <c r="L42" s="86" t="str">
        <f>IFERROR(VLOOKUP(TableHandbook[[#This Row],[UDC]],TableBARCH[],7,FALSE),"")</f>
        <v/>
      </c>
      <c r="M42" s="86" t="str">
        <f>IFERROR(VLOOKUP(TableHandbook[[#This Row],[UDC]],TableSPUCANGAD[],7,FALSE),"")</f>
        <v/>
      </c>
      <c r="N42" s="86" t="str">
        <f>IFERROR(VLOOKUP(TableHandbook[[#This Row],[UDC]],TableSPUCCONMS[],7,FALSE),"")</f>
        <v/>
      </c>
      <c r="O42" s="86" t="str">
        <f>IFERROR(VLOOKUP(TableHandbook[[#This Row],[UDC]],TableSPUCDSGNF[],7,FALSE),"")</f>
        <v/>
      </c>
      <c r="P42" s="86" t="str">
        <f>IFERROR(VLOOKUP(TableHandbook[[#This Row],[UDC]],TableSPUCDSGNV[],7,FALSE),"")</f>
        <v>Core</v>
      </c>
      <c r="Q42" s="86" t="str">
        <f>IFERROR(VLOOKUP(TableHandbook[[#This Row],[UDC]],TableSPUCINARS[],7,FALSE),"")</f>
        <v/>
      </c>
      <c r="R42" s="86" t="str">
        <f>IFERROR(VLOOKUP(TableHandbook[[#This Row],[UDC]],TableSPUCPRINP[],7,FALSE),"")</f>
        <v/>
      </c>
    </row>
    <row r="43" spans="1:18" x14ac:dyDescent="0.25">
      <c r="A43" s="6" t="s">
        <v>130</v>
      </c>
      <c r="B43" s="7">
        <v>2</v>
      </c>
      <c r="C43" s="6"/>
      <c r="D43" s="6" t="s">
        <v>233</v>
      </c>
      <c r="E43" s="7">
        <v>25</v>
      </c>
      <c r="F43" s="38" t="s">
        <v>194</v>
      </c>
      <c r="G43" s="74" t="str">
        <f>IFERROR(IF(VLOOKUP(TableHandbook[[#This Row],[UDC]],TableAvailabilities[],2,FALSE)&gt;0,"Y",""),"")</f>
        <v>Y</v>
      </c>
      <c r="H43" s="74" t="str">
        <f>IFERROR(IF(VLOOKUP(TableHandbook[[#This Row],[UDC]],TableAvailabilities[],3,FALSE)&gt;0,"Y",""),"")</f>
        <v/>
      </c>
      <c r="I43" s="74" t="str">
        <f>IFERROR(IF(VLOOKUP(TableHandbook[[#This Row],[UDC]],TableAvailabilities[],4,FALSE)&gt;0,"Y",""),"")</f>
        <v>Y</v>
      </c>
      <c r="J43" s="74" t="str">
        <f>IFERROR(IF(VLOOKUP(TableHandbook[[#This Row],[UDC]],TableAvailabilities[],5,FALSE)&gt;0,"Y",""),"")</f>
        <v/>
      </c>
      <c r="K43" s="39"/>
      <c r="L43" s="86" t="str">
        <f>IFERROR(VLOOKUP(TableHandbook[[#This Row],[UDC]],TableBARCH[],7,FALSE),"")</f>
        <v/>
      </c>
      <c r="M43" s="86" t="str">
        <f>IFERROR(VLOOKUP(TableHandbook[[#This Row],[UDC]],TableSPUCANGAD[],7,FALSE),"")</f>
        <v/>
      </c>
      <c r="N43" s="86" t="str">
        <f>IFERROR(VLOOKUP(TableHandbook[[#This Row],[UDC]],TableSPUCCONMS[],7,FALSE),"")</f>
        <v/>
      </c>
      <c r="O43" s="86" t="str">
        <f>IFERROR(VLOOKUP(TableHandbook[[#This Row],[UDC]],TableSPUCDSGNF[],7,FALSE),"")</f>
        <v/>
      </c>
      <c r="P43" s="86" t="str">
        <f>IFERROR(VLOOKUP(TableHandbook[[#This Row],[UDC]],TableSPUCDSGNV[],7,FALSE),"")</f>
        <v>Core</v>
      </c>
      <c r="Q43" s="86" t="str">
        <f>IFERROR(VLOOKUP(TableHandbook[[#This Row],[UDC]],TableSPUCINARS[],7,FALSE),"")</f>
        <v/>
      </c>
      <c r="R43" s="86" t="str">
        <f>IFERROR(VLOOKUP(TableHandbook[[#This Row],[UDC]],TableSPUCPRINP[],7,FALSE),"")</f>
        <v/>
      </c>
    </row>
    <row r="44" spans="1:18" x14ac:dyDescent="0.25">
      <c r="A44" s="6" t="s">
        <v>127</v>
      </c>
      <c r="B44" s="7">
        <v>1</v>
      </c>
      <c r="C44" s="6"/>
      <c r="D44" s="6" t="s">
        <v>234</v>
      </c>
      <c r="E44" s="7">
        <v>25</v>
      </c>
      <c r="F44" s="38" t="s">
        <v>194</v>
      </c>
      <c r="G44" s="74" t="str">
        <f>IFERROR(IF(VLOOKUP(TableHandbook[[#This Row],[UDC]],TableAvailabilities[],2,FALSE)&gt;0,"Y",""),"")</f>
        <v/>
      </c>
      <c r="H44" s="74" t="str">
        <f>IFERROR(IF(VLOOKUP(TableHandbook[[#This Row],[UDC]],TableAvailabilities[],3,FALSE)&gt;0,"Y",""),"")</f>
        <v/>
      </c>
      <c r="I44" s="74" t="str">
        <f>IFERROR(IF(VLOOKUP(TableHandbook[[#This Row],[UDC]],TableAvailabilities[],4,FALSE)&gt;0,"Y",""),"")</f>
        <v>Y</v>
      </c>
      <c r="J44" s="74" t="str">
        <f>IFERROR(IF(VLOOKUP(TableHandbook[[#This Row],[UDC]],TableAvailabilities[],5,FALSE)&gt;0,"Y",""),"")</f>
        <v/>
      </c>
      <c r="K44" s="39"/>
      <c r="L44" s="86" t="str">
        <f>IFERROR(VLOOKUP(TableHandbook[[#This Row],[UDC]],TableBARCH[],7,FALSE),"")</f>
        <v/>
      </c>
      <c r="M44" s="86" t="str">
        <f>IFERROR(VLOOKUP(TableHandbook[[#This Row],[UDC]],TableSPUCANGAD[],7,FALSE),"")</f>
        <v>Core</v>
      </c>
      <c r="N44" s="86" t="str">
        <f>IFERROR(VLOOKUP(TableHandbook[[#This Row],[UDC]],TableSPUCCONMS[],7,FALSE),"")</f>
        <v/>
      </c>
      <c r="O44" s="86" t="str">
        <f>IFERROR(VLOOKUP(TableHandbook[[#This Row],[UDC]],TableSPUCDSGNF[],7,FALSE),"")</f>
        <v/>
      </c>
      <c r="P44" s="86" t="str">
        <f>IFERROR(VLOOKUP(TableHandbook[[#This Row],[UDC]],TableSPUCDSGNV[],7,FALSE),"")</f>
        <v/>
      </c>
      <c r="Q44" s="86" t="str">
        <f>IFERROR(VLOOKUP(TableHandbook[[#This Row],[UDC]],TableSPUCINARS[],7,FALSE),"")</f>
        <v/>
      </c>
      <c r="R44" s="86" t="str">
        <f>IFERROR(VLOOKUP(TableHandbook[[#This Row],[UDC]],TableSPUCPRINP[],7,FALSE),"")</f>
        <v/>
      </c>
    </row>
    <row r="45" spans="1:18" x14ac:dyDescent="0.25">
      <c r="A45" s="6" t="s">
        <v>137</v>
      </c>
      <c r="B45" s="7">
        <v>3</v>
      </c>
      <c r="C45" s="6"/>
      <c r="D45" s="6" t="s">
        <v>235</v>
      </c>
      <c r="E45" s="7">
        <v>25</v>
      </c>
      <c r="F45" s="38" t="s">
        <v>194</v>
      </c>
      <c r="G45" s="74" t="str">
        <f>IFERROR(IF(VLOOKUP(TableHandbook[[#This Row],[UDC]],TableAvailabilities[],2,FALSE)&gt;0,"Y",""),"")</f>
        <v/>
      </c>
      <c r="H45" s="74" t="str">
        <f>IFERROR(IF(VLOOKUP(TableHandbook[[#This Row],[UDC]],TableAvailabilities[],3,FALSE)&gt;0,"Y",""),"")</f>
        <v/>
      </c>
      <c r="I45" s="74" t="str">
        <f>IFERROR(IF(VLOOKUP(TableHandbook[[#This Row],[UDC]],TableAvailabilities[],4,FALSE)&gt;0,"Y",""),"")</f>
        <v>Y</v>
      </c>
      <c r="J45" s="74" t="str">
        <f>IFERROR(IF(VLOOKUP(TableHandbook[[#This Row],[UDC]],TableAvailabilities[],5,FALSE)&gt;0,"Y",""),"")</f>
        <v/>
      </c>
      <c r="K45" s="39"/>
      <c r="L45" s="86" t="str">
        <f>IFERROR(VLOOKUP(TableHandbook[[#This Row],[UDC]],TableBARCH[],7,FALSE),"")</f>
        <v/>
      </c>
      <c r="M45" s="86" t="str">
        <f>IFERROR(VLOOKUP(TableHandbook[[#This Row],[UDC]],TableSPUCANGAD[],7,FALSE),"")</f>
        <v/>
      </c>
      <c r="N45" s="86" t="str">
        <f>IFERROR(VLOOKUP(TableHandbook[[#This Row],[UDC]],TableSPUCCONMS[],7,FALSE),"")</f>
        <v/>
      </c>
      <c r="O45" s="86" t="str">
        <f>IFERROR(VLOOKUP(TableHandbook[[#This Row],[UDC]],TableSPUCDSGNF[],7,FALSE),"")</f>
        <v/>
      </c>
      <c r="P45" s="86" t="str">
        <f>IFERROR(VLOOKUP(TableHandbook[[#This Row],[UDC]],TableSPUCDSGNV[],7,FALSE),"")</f>
        <v>Core</v>
      </c>
      <c r="Q45" s="86" t="str">
        <f>IFERROR(VLOOKUP(TableHandbook[[#This Row],[UDC]],TableSPUCINARS[],7,FALSE),"")</f>
        <v/>
      </c>
      <c r="R45" s="86" t="str">
        <f>IFERROR(VLOOKUP(TableHandbook[[#This Row],[UDC]],TableSPUCPRINP[],7,FALSE),"")</f>
        <v/>
      </c>
    </row>
    <row r="46" spans="1:18" x14ac:dyDescent="0.25">
      <c r="A46" s="6" t="s">
        <v>142</v>
      </c>
      <c r="B46" s="7">
        <v>1</v>
      </c>
      <c r="C46" s="6"/>
      <c r="D46" s="6" t="s">
        <v>236</v>
      </c>
      <c r="E46" s="7">
        <v>25</v>
      </c>
      <c r="F46" s="38" t="s">
        <v>194</v>
      </c>
      <c r="G46" s="74" t="str">
        <f>IFERROR(IF(VLOOKUP(TableHandbook[[#This Row],[UDC]],TableAvailabilities[],2,FALSE)&gt;0,"Y",""),"")</f>
        <v>Y</v>
      </c>
      <c r="H46" s="74" t="str">
        <f>IFERROR(IF(VLOOKUP(TableHandbook[[#This Row],[UDC]],TableAvailabilities[],3,FALSE)&gt;0,"Y",""),"")</f>
        <v/>
      </c>
      <c r="I46" s="74" t="str">
        <f>IFERROR(IF(VLOOKUP(TableHandbook[[#This Row],[UDC]],TableAvailabilities[],4,FALSE)&gt;0,"Y",""),"")</f>
        <v>Y</v>
      </c>
      <c r="J46" s="74" t="str">
        <f>IFERROR(IF(VLOOKUP(TableHandbook[[#This Row],[UDC]],TableAvailabilities[],5,FALSE)&gt;0,"Y",""),"")</f>
        <v/>
      </c>
      <c r="K46" s="39"/>
      <c r="L46" s="86" t="str">
        <f>IFERROR(VLOOKUP(TableHandbook[[#This Row],[UDC]],TableBARCH[],7,FALSE),"")</f>
        <v/>
      </c>
      <c r="M46" s="86" t="str">
        <f>IFERROR(VLOOKUP(TableHandbook[[#This Row],[UDC]],TableSPUCANGAD[],7,FALSE),"")</f>
        <v/>
      </c>
      <c r="N46" s="86" t="str">
        <f>IFERROR(VLOOKUP(TableHandbook[[#This Row],[UDC]],TableSPUCCONMS[],7,FALSE),"")</f>
        <v/>
      </c>
      <c r="O46" s="86" t="str">
        <f>IFERROR(VLOOKUP(TableHandbook[[#This Row],[UDC]],TableSPUCDSGNF[],7,FALSE),"")</f>
        <v/>
      </c>
      <c r="P46" s="86" t="str">
        <f>IFERROR(VLOOKUP(TableHandbook[[#This Row],[UDC]],TableSPUCDSGNV[],7,FALSE),"")</f>
        <v>Core</v>
      </c>
      <c r="Q46" s="86" t="str">
        <f>IFERROR(VLOOKUP(TableHandbook[[#This Row],[UDC]],TableSPUCINARS[],7,FALSE),"")</f>
        <v/>
      </c>
      <c r="R46" s="86" t="str">
        <f>IFERROR(VLOOKUP(TableHandbook[[#This Row],[UDC]],TableSPUCPRINP[],7,FALSE),"")</f>
        <v/>
      </c>
    </row>
    <row r="47" spans="1:18" x14ac:dyDescent="0.25">
      <c r="A47" s="6" t="s">
        <v>134</v>
      </c>
      <c r="B47" s="7">
        <v>2</v>
      </c>
      <c r="C47" s="6"/>
      <c r="D47" s="6" t="s">
        <v>237</v>
      </c>
      <c r="E47" s="7">
        <v>25</v>
      </c>
      <c r="F47" s="100" t="s">
        <v>238</v>
      </c>
      <c r="G47" s="74" t="str">
        <f>IFERROR(IF(VLOOKUP(TableHandbook[[#This Row],[UDC]],TableAvailabilities[],2,FALSE)&gt;0,"Y",""),"")</f>
        <v>Y</v>
      </c>
      <c r="H47" s="74" t="str">
        <f>IFERROR(IF(VLOOKUP(TableHandbook[[#This Row],[UDC]],TableAvailabilities[],3,FALSE)&gt;0,"Y",""),"")</f>
        <v/>
      </c>
      <c r="I47" s="74" t="str">
        <f>IFERROR(IF(VLOOKUP(TableHandbook[[#This Row],[UDC]],TableAvailabilities[],4,FALSE)&gt;0,"Y",""),"")</f>
        <v/>
      </c>
      <c r="J47" s="74" t="str">
        <f>IFERROR(IF(VLOOKUP(TableHandbook[[#This Row],[UDC]],TableAvailabilities[],5,FALSE)&gt;0,"Y",""),"")</f>
        <v/>
      </c>
      <c r="K47" s="39"/>
      <c r="L47" s="86" t="str">
        <f>IFERROR(VLOOKUP(TableHandbook[[#This Row],[UDC]],TableBARCH[],7,FALSE),"")</f>
        <v/>
      </c>
      <c r="M47" s="86" t="str">
        <f>IFERROR(VLOOKUP(TableHandbook[[#This Row],[UDC]],TableSPUCANGAD[],7,FALSE),"")</f>
        <v>Core</v>
      </c>
      <c r="N47" s="86" t="str">
        <f>IFERROR(VLOOKUP(TableHandbook[[#This Row],[UDC]],TableSPUCCONMS[],7,FALSE),"")</f>
        <v/>
      </c>
      <c r="O47" s="86" t="str">
        <f>IFERROR(VLOOKUP(TableHandbook[[#This Row],[UDC]],TableSPUCDSGNF[],7,FALSE),"")</f>
        <v/>
      </c>
      <c r="P47" s="86" t="str">
        <f>IFERROR(VLOOKUP(TableHandbook[[#This Row],[UDC]],TableSPUCDSGNV[],7,FALSE),"")</f>
        <v/>
      </c>
      <c r="Q47" s="86" t="str">
        <f>IFERROR(VLOOKUP(TableHandbook[[#This Row],[UDC]],TableSPUCINARS[],7,FALSE),"")</f>
        <v/>
      </c>
      <c r="R47" s="86" t="str">
        <f>IFERROR(VLOOKUP(TableHandbook[[#This Row],[UDC]],TableSPUCPRINP[],7,FALSE),"")</f>
        <v/>
      </c>
    </row>
    <row r="48" spans="1:18" ht="26.25" x14ac:dyDescent="0.25">
      <c r="A48" s="6" t="s">
        <v>150</v>
      </c>
      <c r="B48" s="7">
        <v>2</v>
      </c>
      <c r="C48" s="6"/>
      <c r="D48" s="6" t="s">
        <v>239</v>
      </c>
      <c r="E48" s="7">
        <v>25</v>
      </c>
      <c r="F48" s="100" t="s">
        <v>240</v>
      </c>
      <c r="G48" s="74" t="str">
        <f>IFERROR(IF(VLOOKUP(TableHandbook[[#This Row],[UDC]],TableAvailabilities[],2,FALSE)&gt;0,"Y",""),"")</f>
        <v/>
      </c>
      <c r="H48" s="74" t="str">
        <f>IFERROR(IF(VLOOKUP(TableHandbook[[#This Row],[UDC]],TableAvailabilities[],3,FALSE)&gt;0,"Y",""),"")</f>
        <v/>
      </c>
      <c r="I48" s="74" t="str">
        <f>IFERROR(IF(VLOOKUP(TableHandbook[[#This Row],[UDC]],TableAvailabilities[],4,FALSE)&gt;0,"Y",""),"")</f>
        <v>Y</v>
      </c>
      <c r="J48" s="74" t="str">
        <f>IFERROR(IF(VLOOKUP(TableHandbook[[#This Row],[UDC]],TableAvailabilities[],5,FALSE)&gt;0,"Y",""),"")</f>
        <v/>
      </c>
      <c r="K48" s="39" t="s">
        <v>241</v>
      </c>
      <c r="L48" s="86" t="str">
        <f>IFERROR(VLOOKUP(TableHandbook[[#This Row],[UDC]],TableBARCH[],7,FALSE),"")</f>
        <v/>
      </c>
      <c r="M48" s="86" t="str">
        <f>IFERROR(VLOOKUP(TableHandbook[[#This Row],[UDC]],TableSPUCANGAD[],7,FALSE),"")</f>
        <v>Core</v>
      </c>
      <c r="N48" s="86" t="str">
        <f>IFERROR(VLOOKUP(TableHandbook[[#This Row],[UDC]],TableSPUCCONMS[],7,FALSE),"")</f>
        <v/>
      </c>
      <c r="O48" s="86" t="str">
        <f>IFERROR(VLOOKUP(TableHandbook[[#This Row],[UDC]],TableSPUCDSGNF[],7,FALSE),"")</f>
        <v/>
      </c>
      <c r="P48" s="86" t="str">
        <f>IFERROR(VLOOKUP(TableHandbook[[#This Row],[UDC]],TableSPUCDSGNV[],7,FALSE),"")</f>
        <v/>
      </c>
      <c r="Q48" s="86" t="str">
        <f>IFERROR(VLOOKUP(TableHandbook[[#This Row],[UDC]],TableSPUCINARS[],7,FALSE),"")</f>
        <v/>
      </c>
      <c r="R48" s="86" t="str">
        <f>IFERROR(VLOOKUP(TableHandbook[[#This Row],[UDC]],TableSPUCPRINP[],7,FALSE),"")</f>
        <v/>
      </c>
    </row>
    <row r="49" spans="1:18" x14ac:dyDescent="0.25">
      <c r="A49" s="6" t="s">
        <v>124</v>
      </c>
      <c r="B49" s="7">
        <v>4</v>
      </c>
      <c r="C49" s="6"/>
      <c r="D49" s="6" t="s">
        <v>242</v>
      </c>
      <c r="E49" s="7">
        <v>25</v>
      </c>
      <c r="F49" s="38" t="s">
        <v>194</v>
      </c>
      <c r="G49" s="74" t="str">
        <f>IFERROR(IF(VLOOKUP(TableHandbook[[#This Row],[UDC]],TableAvailabilities[],2,FALSE)&gt;0,"Y",""),"")</f>
        <v>Y</v>
      </c>
      <c r="H49" s="74" t="str">
        <f>IFERROR(IF(VLOOKUP(TableHandbook[[#This Row],[UDC]],TableAvailabilities[],3,FALSE)&gt;0,"Y",""),"")</f>
        <v/>
      </c>
      <c r="I49" s="74" t="str">
        <f>IFERROR(IF(VLOOKUP(TableHandbook[[#This Row],[UDC]],TableAvailabilities[],4,FALSE)&gt;0,"Y",""),"")</f>
        <v/>
      </c>
      <c r="J49" s="74" t="str">
        <f>IFERROR(IF(VLOOKUP(TableHandbook[[#This Row],[UDC]],TableAvailabilities[],5,FALSE)&gt;0,"Y",""),"")</f>
        <v/>
      </c>
      <c r="K49" s="39"/>
      <c r="L49" s="86" t="str">
        <f>IFERROR(VLOOKUP(TableHandbook[[#This Row],[UDC]],TableBARCH[],7,FALSE),"")</f>
        <v/>
      </c>
      <c r="M49" s="86" t="str">
        <f>IFERROR(VLOOKUP(TableHandbook[[#This Row],[UDC]],TableSPUCANGAD[],7,FALSE),"")</f>
        <v/>
      </c>
      <c r="N49" s="86" t="str">
        <f>IFERROR(VLOOKUP(TableHandbook[[#This Row],[UDC]],TableSPUCCONMS[],7,FALSE),"")</f>
        <v/>
      </c>
      <c r="O49" s="86" t="str">
        <f>IFERROR(VLOOKUP(TableHandbook[[#This Row],[UDC]],TableSPUCDSGNF[],7,FALSE),"")</f>
        <v/>
      </c>
      <c r="P49" s="86" t="str">
        <f>IFERROR(VLOOKUP(TableHandbook[[#This Row],[UDC]],TableSPUCDSGNV[],7,FALSE),"")</f>
        <v/>
      </c>
      <c r="Q49" s="86" t="str">
        <f>IFERROR(VLOOKUP(TableHandbook[[#This Row],[UDC]],TableSPUCINARS[],7,FALSE),"")</f>
        <v>Core</v>
      </c>
      <c r="R49" s="86" t="str">
        <f>IFERROR(VLOOKUP(TableHandbook[[#This Row],[UDC]],TableSPUCPRINP[],7,FALSE),"")</f>
        <v/>
      </c>
    </row>
    <row r="50" spans="1:18" x14ac:dyDescent="0.25">
      <c r="A50" s="6" t="s">
        <v>131</v>
      </c>
      <c r="B50" s="7">
        <v>1</v>
      </c>
      <c r="C50" s="6"/>
      <c r="D50" s="6" t="s">
        <v>243</v>
      </c>
      <c r="E50" s="7">
        <v>25</v>
      </c>
      <c r="F50" s="38" t="s">
        <v>194</v>
      </c>
      <c r="G50" s="74" t="str">
        <f>IFERROR(IF(VLOOKUP(TableHandbook[[#This Row],[UDC]],TableAvailabilities[],2,FALSE)&gt;0,"Y",""),"")</f>
        <v/>
      </c>
      <c r="H50" s="74" t="str">
        <f>IFERROR(IF(VLOOKUP(TableHandbook[[#This Row],[UDC]],TableAvailabilities[],3,FALSE)&gt;0,"Y",""),"")</f>
        <v/>
      </c>
      <c r="I50" s="74" t="str">
        <f>IFERROR(IF(VLOOKUP(TableHandbook[[#This Row],[UDC]],TableAvailabilities[],4,FALSE)&gt;0,"Y",""),"")</f>
        <v>Y</v>
      </c>
      <c r="J50" s="74" t="str">
        <f>IFERROR(IF(VLOOKUP(TableHandbook[[#This Row],[UDC]],TableAvailabilities[],5,FALSE)&gt;0,"Y",""),"")</f>
        <v/>
      </c>
      <c r="K50" s="39"/>
      <c r="L50" s="86" t="str">
        <f>IFERROR(VLOOKUP(TableHandbook[[#This Row],[UDC]],TableBARCH[],7,FALSE),"")</f>
        <v/>
      </c>
      <c r="M50" s="86" t="str">
        <f>IFERROR(VLOOKUP(TableHandbook[[#This Row],[UDC]],TableSPUCANGAD[],7,FALSE),"")</f>
        <v/>
      </c>
      <c r="N50" s="86" t="str">
        <f>IFERROR(VLOOKUP(TableHandbook[[#This Row],[UDC]],TableSPUCCONMS[],7,FALSE),"")</f>
        <v/>
      </c>
      <c r="O50" s="86" t="str">
        <f>IFERROR(VLOOKUP(TableHandbook[[#This Row],[UDC]],TableSPUCDSGNF[],7,FALSE),"")</f>
        <v/>
      </c>
      <c r="P50" s="86" t="str">
        <f>IFERROR(VLOOKUP(TableHandbook[[#This Row],[UDC]],TableSPUCDSGNV[],7,FALSE),"")</f>
        <v/>
      </c>
      <c r="Q50" s="86" t="str">
        <f>IFERROR(VLOOKUP(TableHandbook[[#This Row],[UDC]],TableSPUCINARS[],7,FALSE),"")</f>
        <v>Core</v>
      </c>
      <c r="R50" s="86" t="str">
        <f>IFERROR(VLOOKUP(TableHandbook[[#This Row],[UDC]],TableSPUCPRINP[],7,FALSE),"")</f>
        <v/>
      </c>
    </row>
    <row r="51" spans="1:18" x14ac:dyDescent="0.25">
      <c r="A51" s="6" t="s">
        <v>158</v>
      </c>
      <c r="B51" s="7">
        <v>4</v>
      </c>
      <c r="C51" s="6"/>
      <c r="D51" s="6" t="s">
        <v>244</v>
      </c>
      <c r="E51" s="7">
        <v>25</v>
      </c>
      <c r="F51" s="100" t="s">
        <v>124</v>
      </c>
      <c r="G51" s="74" t="str">
        <f>IFERROR(IF(VLOOKUP(TableHandbook[[#This Row],[UDC]],TableAvailabilities[],2,FALSE)&gt;0,"Y",""),"")</f>
        <v/>
      </c>
      <c r="H51" s="74" t="str">
        <f>IFERROR(IF(VLOOKUP(TableHandbook[[#This Row],[UDC]],TableAvailabilities[],3,FALSE)&gt;0,"Y",""),"")</f>
        <v/>
      </c>
      <c r="I51" s="74" t="str">
        <f>IFERROR(IF(VLOOKUP(TableHandbook[[#This Row],[UDC]],TableAvailabilities[],4,FALSE)&gt;0,"Y",""),"")</f>
        <v>Y</v>
      </c>
      <c r="J51" s="74" t="str">
        <f>IFERROR(IF(VLOOKUP(TableHandbook[[#This Row],[UDC]],TableAvailabilities[],5,FALSE)&gt;0,"Y",""),"")</f>
        <v/>
      </c>
      <c r="K51" s="39"/>
      <c r="L51" s="86" t="str">
        <f>IFERROR(VLOOKUP(TableHandbook[[#This Row],[UDC]],TableBARCH[],7,FALSE),"")</f>
        <v/>
      </c>
      <c r="M51" s="86" t="str">
        <f>IFERROR(VLOOKUP(TableHandbook[[#This Row],[UDC]],TableSPUCANGAD[],7,FALSE),"")</f>
        <v/>
      </c>
      <c r="N51" s="86" t="str">
        <f>IFERROR(VLOOKUP(TableHandbook[[#This Row],[UDC]],TableSPUCCONMS[],7,FALSE),"")</f>
        <v/>
      </c>
      <c r="O51" s="86" t="str">
        <f>IFERROR(VLOOKUP(TableHandbook[[#This Row],[UDC]],TableSPUCDSGNF[],7,FALSE),"")</f>
        <v/>
      </c>
      <c r="P51" s="86" t="str">
        <f>IFERROR(VLOOKUP(TableHandbook[[#This Row],[UDC]],TableSPUCDSGNV[],7,FALSE),"")</f>
        <v/>
      </c>
      <c r="Q51" s="86" t="str">
        <f>IFERROR(VLOOKUP(TableHandbook[[#This Row],[UDC]],TableSPUCINARS[],7,FALSE),"")</f>
        <v>Option</v>
      </c>
      <c r="R51" s="86" t="str">
        <f>IFERROR(VLOOKUP(TableHandbook[[#This Row],[UDC]],TableSPUCPRINP[],7,FALSE),"")</f>
        <v/>
      </c>
    </row>
    <row r="52" spans="1:18" x14ac:dyDescent="0.25">
      <c r="A52" s="6" t="s">
        <v>148</v>
      </c>
      <c r="B52" s="7">
        <v>1</v>
      </c>
      <c r="C52" s="6"/>
      <c r="D52" s="6" t="s">
        <v>245</v>
      </c>
      <c r="E52" s="7">
        <v>25</v>
      </c>
      <c r="F52" s="100" t="s">
        <v>319</v>
      </c>
      <c r="G52" s="74" t="str">
        <f>IFERROR(IF(VLOOKUP(TableHandbook[[#This Row],[UDC]],TableAvailabilities[],2,FALSE)&gt;0,"Y",""),"")</f>
        <v>Y</v>
      </c>
      <c r="H52" s="74" t="str">
        <f>IFERROR(IF(VLOOKUP(TableHandbook[[#This Row],[UDC]],TableAvailabilities[],3,FALSE)&gt;0,"Y",""),"")</f>
        <v/>
      </c>
      <c r="I52" s="74" t="str">
        <f>IFERROR(IF(VLOOKUP(TableHandbook[[#This Row],[UDC]],TableAvailabilities[],4,FALSE)&gt;0,"Y",""),"")</f>
        <v/>
      </c>
      <c r="J52" s="74" t="str">
        <f>IFERROR(IF(VLOOKUP(TableHandbook[[#This Row],[UDC]],TableAvailabilities[],5,FALSE)&gt;0,"Y",""),"")</f>
        <v/>
      </c>
      <c r="K52" s="39"/>
      <c r="L52" s="86" t="str">
        <f>IFERROR(VLOOKUP(TableHandbook[[#This Row],[UDC]],TableBARCH[],7,FALSE),"")</f>
        <v/>
      </c>
      <c r="M52" s="86" t="str">
        <f>IFERROR(VLOOKUP(TableHandbook[[#This Row],[UDC]],TableSPUCANGAD[],7,FALSE),"")</f>
        <v/>
      </c>
      <c r="N52" s="86" t="str">
        <f>IFERROR(VLOOKUP(TableHandbook[[#This Row],[UDC]],TableSPUCCONMS[],7,FALSE),"")</f>
        <v/>
      </c>
      <c r="O52" s="86" t="str">
        <f>IFERROR(VLOOKUP(TableHandbook[[#This Row],[UDC]],TableSPUCDSGNF[],7,FALSE),"")</f>
        <v/>
      </c>
      <c r="P52" s="86" t="str">
        <f>IFERROR(VLOOKUP(TableHandbook[[#This Row],[UDC]],TableSPUCDSGNV[],7,FALSE),"")</f>
        <v/>
      </c>
      <c r="Q52" s="86" t="str">
        <f>IFERROR(VLOOKUP(TableHandbook[[#This Row],[UDC]],TableSPUCINARS[],7,FALSE),"")</f>
        <v>Core</v>
      </c>
      <c r="R52" s="86" t="str">
        <f>IFERROR(VLOOKUP(TableHandbook[[#This Row],[UDC]],TableSPUCPRINP[],7,FALSE),"")</f>
        <v/>
      </c>
    </row>
    <row r="53" spans="1:18" x14ac:dyDescent="0.25">
      <c r="A53" s="6" t="s">
        <v>160</v>
      </c>
      <c r="B53" s="7">
        <v>1</v>
      </c>
      <c r="C53" s="6"/>
      <c r="D53" s="6" t="s">
        <v>246</v>
      </c>
      <c r="E53" s="7">
        <v>25</v>
      </c>
      <c r="F53" s="100" t="s">
        <v>319</v>
      </c>
      <c r="G53" s="74" t="str">
        <f>IFERROR(IF(VLOOKUP(TableHandbook[[#This Row],[UDC]],TableAvailabilities[],2,FALSE)&gt;0,"Y",""),"")</f>
        <v>Y</v>
      </c>
      <c r="H53" s="74" t="str">
        <f>IFERROR(IF(VLOOKUP(TableHandbook[[#This Row],[UDC]],TableAvailabilities[],3,FALSE)&gt;0,"Y",""),"")</f>
        <v/>
      </c>
      <c r="I53" s="74" t="str">
        <f>IFERROR(IF(VLOOKUP(TableHandbook[[#This Row],[UDC]],TableAvailabilities[],4,FALSE)&gt;0,"Y",""),"")</f>
        <v/>
      </c>
      <c r="J53" s="74" t="str">
        <f>IFERROR(IF(VLOOKUP(TableHandbook[[#This Row],[UDC]],TableAvailabilities[],5,FALSE)&gt;0,"Y",""),"")</f>
        <v/>
      </c>
      <c r="K53" s="39"/>
      <c r="L53" s="86" t="str">
        <f>IFERROR(VLOOKUP(TableHandbook[[#This Row],[UDC]],TableBARCH[],7,FALSE),"")</f>
        <v/>
      </c>
      <c r="M53" s="86" t="str">
        <f>IFERROR(VLOOKUP(TableHandbook[[#This Row],[UDC]],TableSPUCANGAD[],7,FALSE),"")</f>
        <v/>
      </c>
      <c r="N53" s="86" t="str">
        <f>IFERROR(VLOOKUP(TableHandbook[[#This Row],[UDC]],TableSPUCCONMS[],7,FALSE),"")</f>
        <v/>
      </c>
      <c r="O53" s="86" t="str">
        <f>IFERROR(VLOOKUP(TableHandbook[[#This Row],[UDC]],TableSPUCDSGNF[],7,FALSE),"")</f>
        <v/>
      </c>
      <c r="P53" s="86" t="str">
        <f>IFERROR(VLOOKUP(TableHandbook[[#This Row],[UDC]],TableSPUCDSGNV[],7,FALSE),"")</f>
        <v/>
      </c>
      <c r="Q53" s="86" t="str">
        <f>IFERROR(VLOOKUP(TableHandbook[[#This Row],[UDC]],TableSPUCINARS[],7,FALSE),"")</f>
        <v>Option</v>
      </c>
      <c r="R53" s="86" t="str">
        <f>IFERROR(VLOOKUP(TableHandbook[[#This Row],[UDC]],TableSPUCPRINP[],7,FALSE),"")</f>
        <v/>
      </c>
    </row>
    <row r="54" spans="1:18" x14ac:dyDescent="0.25">
      <c r="A54" s="6" t="s">
        <v>152</v>
      </c>
      <c r="B54" s="7">
        <v>1</v>
      </c>
      <c r="C54" s="6"/>
      <c r="D54" s="6" t="s">
        <v>247</v>
      </c>
      <c r="E54" s="7">
        <v>25</v>
      </c>
      <c r="F54" s="100" t="s">
        <v>320</v>
      </c>
      <c r="G54" s="74" t="str">
        <f>IFERROR(IF(VLOOKUP(TableHandbook[[#This Row],[UDC]],TableAvailabilities[],2,FALSE)&gt;0,"Y",""),"")</f>
        <v/>
      </c>
      <c r="H54" s="74" t="str">
        <f>IFERROR(IF(VLOOKUP(TableHandbook[[#This Row],[UDC]],TableAvailabilities[],3,FALSE)&gt;0,"Y",""),"")</f>
        <v/>
      </c>
      <c r="I54" s="74" t="str">
        <f>IFERROR(IF(VLOOKUP(TableHandbook[[#This Row],[UDC]],TableAvailabilities[],4,FALSE)&gt;0,"Y",""),"")</f>
        <v>Y</v>
      </c>
      <c r="J54" s="74" t="str">
        <f>IFERROR(IF(VLOOKUP(TableHandbook[[#This Row],[UDC]],TableAvailabilities[],5,FALSE)&gt;0,"Y",""),"")</f>
        <v/>
      </c>
      <c r="K54" s="39"/>
      <c r="L54" s="86" t="str">
        <f>IFERROR(VLOOKUP(TableHandbook[[#This Row],[UDC]],TableBARCH[],7,FALSE),"")</f>
        <v/>
      </c>
      <c r="M54" s="86" t="str">
        <f>IFERROR(VLOOKUP(TableHandbook[[#This Row],[UDC]],TableSPUCANGAD[],7,FALSE),"")</f>
        <v/>
      </c>
      <c r="N54" s="86" t="str">
        <f>IFERROR(VLOOKUP(TableHandbook[[#This Row],[UDC]],TableSPUCCONMS[],7,FALSE),"")</f>
        <v/>
      </c>
      <c r="O54" s="86" t="str">
        <f>IFERROR(VLOOKUP(TableHandbook[[#This Row],[UDC]],TableSPUCDSGNF[],7,FALSE),"")</f>
        <v/>
      </c>
      <c r="P54" s="86" t="str">
        <f>IFERROR(VLOOKUP(TableHandbook[[#This Row],[UDC]],TableSPUCDSGNV[],7,FALSE),"")</f>
        <v/>
      </c>
      <c r="Q54" s="86" t="str">
        <f>IFERROR(VLOOKUP(TableHandbook[[#This Row],[UDC]],TableSPUCINARS[],7,FALSE),"")</f>
        <v>Core</v>
      </c>
      <c r="R54" s="86" t="str">
        <f>IFERROR(VLOOKUP(TableHandbook[[#This Row],[UDC]],TableSPUCPRINP[],7,FALSE),"")</f>
        <v/>
      </c>
    </row>
    <row r="55" spans="1:18" x14ac:dyDescent="0.25">
      <c r="A55" s="6" t="s">
        <v>156</v>
      </c>
      <c r="B55" s="7">
        <v>0</v>
      </c>
      <c r="C55" s="6"/>
      <c r="D55" s="6" t="s">
        <v>248</v>
      </c>
      <c r="E55" s="7">
        <v>25</v>
      </c>
      <c r="F55" s="38"/>
      <c r="G55" s="74" t="str">
        <f>IFERROR(IF(VLOOKUP(TableHandbook[[#This Row],[UDC]],TableAvailabilities[],2,FALSE)&gt;0,"Y",""),"")</f>
        <v/>
      </c>
      <c r="H55" s="74" t="str">
        <f>IFERROR(IF(VLOOKUP(TableHandbook[[#This Row],[UDC]],TableAvailabilities[],3,FALSE)&gt;0,"Y",""),"")</f>
        <v/>
      </c>
      <c r="I55" s="74" t="str">
        <f>IFERROR(IF(VLOOKUP(TableHandbook[[#This Row],[UDC]],TableAvailabilities[],4,FALSE)&gt;0,"Y",""),"")</f>
        <v/>
      </c>
      <c r="J55" s="74" t="str">
        <f>IFERROR(IF(VLOOKUP(TableHandbook[[#This Row],[UDC]],TableAvailabilities[],5,FALSE)&gt;0,"Y",""),"")</f>
        <v/>
      </c>
      <c r="K55" s="39"/>
      <c r="L55" s="86" t="str">
        <f>IFERROR(VLOOKUP(TableHandbook[[#This Row],[UDC]],TableBARCH[],7,FALSE),"")</f>
        <v/>
      </c>
      <c r="M55" s="86" t="str">
        <f>IFERROR(VLOOKUP(TableHandbook[[#This Row],[UDC]],TableSPUCANGAD[],7,FALSE),"")</f>
        <v/>
      </c>
      <c r="N55" s="86" t="str">
        <f>IFERROR(VLOOKUP(TableHandbook[[#This Row],[UDC]],TableSPUCCONMS[],7,FALSE),"")</f>
        <v/>
      </c>
      <c r="O55" s="86" t="str">
        <f>IFERROR(VLOOKUP(TableHandbook[[#This Row],[UDC]],TableSPUCDSGNF[],7,FALSE),"")</f>
        <v/>
      </c>
      <c r="P55" s="86" t="str">
        <f>IFERROR(VLOOKUP(TableHandbook[[#This Row],[UDC]],TableSPUCDSGNV[],7,FALSE),"")</f>
        <v/>
      </c>
      <c r="Q55" s="86" t="str">
        <f>IFERROR(VLOOKUP(TableHandbook[[#This Row],[UDC]],TableSPUCINARS[],7,FALSE),"")</f>
        <v>Option</v>
      </c>
      <c r="R55" s="86" t="str">
        <f>IFERROR(VLOOKUP(TableHandbook[[#This Row],[UDC]],TableSPUCPRINP[],7,FALSE),"")</f>
        <v/>
      </c>
    </row>
    <row r="56" spans="1:18" x14ac:dyDescent="0.25">
      <c r="A56" s="6" t="s">
        <v>61</v>
      </c>
      <c r="B56" s="7">
        <v>0</v>
      </c>
      <c r="C56" s="6"/>
      <c r="D56" s="6" t="s">
        <v>249</v>
      </c>
      <c r="E56" s="7">
        <v>25</v>
      </c>
      <c r="F56" s="38" t="s">
        <v>250</v>
      </c>
      <c r="G56" s="74" t="str">
        <f>IFERROR(IF(VLOOKUP(TableHandbook[[#This Row],[UDC]],TableAvailabilities[],2,FALSE)&gt;0,"Y",""),"")</f>
        <v/>
      </c>
      <c r="H56" s="74" t="str">
        <f>IFERROR(IF(VLOOKUP(TableHandbook[[#This Row],[UDC]],TableAvailabilities[],3,FALSE)&gt;0,"Y",""),"")</f>
        <v/>
      </c>
      <c r="I56" s="74" t="str">
        <f>IFERROR(IF(VLOOKUP(TableHandbook[[#This Row],[UDC]],TableAvailabilities[],4,FALSE)&gt;0,"Y",""),"")</f>
        <v/>
      </c>
      <c r="J56" s="74" t="str">
        <f>IFERROR(IF(VLOOKUP(TableHandbook[[#This Row],[UDC]],TableAvailabilities[],5,FALSE)&gt;0,"Y",""),"")</f>
        <v/>
      </c>
      <c r="K56" s="39"/>
      <c r="L56" s="86" t="str">
        <f>IFERROR(VLOOKUP(TableHandbook[[#This Row],[UDC]],TableBARCH[],7,FALSE),"")</f>
        <v>Core</v>
      </c>
      <c r="M56" s="86" t="str">
        <f>IFERROR(VLOOKUP(TableHandbook[[#This Row],[UDC]],TableSPUCANGAD[],7,FALSE),"")</f>
        <v/>
      </c>
      <c r="N56" s="86" t="str">
        <f>IFERROR(VLOOKUP(TableHandbook[[#This Row],[UDC]],TableSPUCCONMS[],7,FALSE),"")</f>
        <v/>
      </c>
      <c r="O56" s="86" t="str">
        <f>IFERROR(VLOOKUP(TableHandbook[[#This Row],[UDC]],TableSPUCDSGNF[],7,FALSE),"")</f>
        <v/>
      </c>
      <c r="P56" s="86" t="str">
        <f>IFERROR(VLOOKUP(TableHandbook[[#This Row],[UDC]],TableSPUCDSGNV[],7,FALSE),"")</f>
        <v/>
      </c>
      <c r="Q56" s="86" t="str">
        <f>IFERROR(VLOOKUP(TableHandbook[[#This Row],[UDC]],TableSPUCINARS[],7,FALSE),"")</f>
        <v/>
      </c>
      <c r="R56" s="86" t="str">
        <f>IFERROR(VLOOKUP(TableHandbook[[#This Row],[UDC]],TableSPUCPRINP[],7,FALSE),"")</f>
        <v/>
      </c>
    </row>
    <row r="57" spans="1:18" x14ac:dyDescent="0.25">
      <c r="A57" s="6" t="s">
        <v>66</v>
      </c>
      <c r="B57" s="7">
        <v>1</v>
      </c>
      <c r="C57" s="6"/>
      <c r="D57" s="6" t="s">
        <v>65</v>
      </c>
      <c r="E57" s="7">
        <v>100</v>
      </c>
      <c r="F57" s="38" t="s">
        <v>251</v>
      </c>
      <c r="G57" s="74" t="str">
        <f>IFERROR(IF(VLOOKUP(TableHandbook[[#This Row],[UDC]],TableAvailabilities[],2,FALSE)&gt;0,"Y",""),"")</f>
        <v/>
      </c>
      <c r="H57" s="74" t="str">
        <f>IFERROR(IF(VLOOKUP(TableHandbook[[#This Row],[UDC]],TableAvailabilities[],3,FALSE)&gt;0,"Y",""),"")</f>
        <v/>
      </c>
      <c r="I57" s="74" t="str">
        <f>IFERROR(IF(VLOOKUP(TableHandbook[[#This Row],[UDC]],TableAvailabilities[],4,FALSE)&gt;0,"Y",""),"")</f>
        <v/>
      </c>
      <c r="J57" s="74" t="str">
        <f>IFERROR(IF(VLOOKUP(TableHandbook[[#This Row],[UDC]],TableAvailabilities[],5,FALSE)&gt;0,"Y",""),"")</f>
        <v/>
      </c>
      <c r="K57" s="39"/>
      <c r="L57" s="86" t="str">
        <f>IFERROR(VLOOKUP(TableHandbook[[#This Row],[UDC]],TableBARCH[],7,FALSE),"")</f>
        <v>Core</v>
      </c>
      <c r="M57" s="86" t="str">
        <f>IFERROR(VLOOKUP(TableHandbook[[#This Row],[UDC]],TableSPUCANGAD[],7,FALSE),"")</f>
        <v/>
      </c>
      <c r="N57" s="86" t="str">
        <f>IFERROR(VLOOKUP(TableHandbook[[#This Row],[UDC]],TableSPUCCONMS[],7,FALSE),"")</f>
        <v/>
      </c>
      <c r="O57" s="86" t="str">
        <f>IFERROR(VLOOKUP(TableHandbook[[#This Row],[UDC]],TableSPUCDSGNF[],7,FALSE),"")</f>
        <v/>
      </c>
      <c r="P57" s="86" t="str">
        <f>IFERROR(VLOOKUP(TableHandbook[[#This Row],[UDC]],TableSPUCDSGNV[],7,FALSE),"")</f>
        <v/>
      </c>
      <c r="Q57" s="86" t="str">
        <f>IFERROR(VLOOKUP(TableHandbook[[#This Row],[UDC]],TableSPUCINARS[],7,FALSE),"")</f>
        <v/>
      </c>
      <c r="R57" s="86" t="str">
        <f>IFERROR(VLOOKUP(TableHandbook[[#This Row],[UDC]],TableSPUCPRINP[],7,FALSE),"")</f>
        <v/>
      </c>
    </row>
    <row r="58" spans="1:18" x14ac:dyDescent="0.25">
      <c r="A58" s="6" t="s">
        <v>70</v>
      </c>
      <c r="B58" s="7">
        <v>1</v>
      </c>
      <c r="C58" s="6"/>
      <c r="D58" s="6" t="s">
        <v>69</v>
      </c>
      <c r="E58" s="7">
        <v>100</v>
      </c>
      <c r="F58" s="38" t="s">
        <v>251</v>
      </c>
      <c r="G58" s="74" t="str">
        <f>IFERROR(IF(VLOOKUP(TableHandbook[[#This Row],[UDC]],TableAvailabilities[],2,FALSE)&gt;0,"Y",""),"")</f>
        <v/>
      </c>
      <c r="H58" s="74" t="str">
        <f>IFERROR(IF(VLOOKUP(TableHandbook[[#This Row],[UDC]],TableAvailabilities[],3,FALSE)&gt;0,"Y",""),"")</f>
        <v/>
      </c>
      <c r="I58" s="74" t="str">
        <f>IFERROR(IF(VLOOKUP(TableHandbook[[#This Row],[UDC]],TableAvailabilities[],4,FALSE)&gt;0,"Y",""),"")</f>
        <v/>
      </c>
      <c r="J58" s="74" t="str">
        <f>IFERROR(IF(VLOOKUP(TableHandbook[[#This Row],[UDC]],TableAvailabilities[],5,FALSE)&gt;0,"Y",""),"")</f>
        <v/>
      </c>
      <c r="K58" s="39"/>
      <c r="L58" s="86" t="str">
        <f>IFERROR(VLOOKUP(TableHandbook[[#This Row],[UDC]],TableBARCH[],7,FALSE),"")</f>
        <v>Core</v>
      </c>
      <c r="M58" s="86" t="str">
        <f>IFERROR(VLOOKUP(TableHandbook[[#This Row],[UDC]],TableSPUCANGAD[],7,FALSE),"")</f>
        <v/>
      </c>
      <c r="N58" s="86" t="str">
        <f>IFERROR(VLOOKUP(TableHandbook[[#This Row],[UDC]],TableSPUCCONMS[],7,FALSE),"")</f>
        <v/>
      </c>
      <c r="O58" s="86" t="str">
        <f>IFERROR(VLOOKUP(TableHandbook[[#This Row],[UDC]],TableSPUCDSGNF[],7,FALSE),"")</f>
        <v/>
      </c>
      <c r="P58" s="86" t="str">
        <f>IFERROR(VLOOKUP(TableHandbook[[#This Row],[UDC]],TableSPUCDSGNV[],7,FALSE),"")</f>
        <v/>
      </c>
      <c r="Q58" s="86" t="str">
        <f>IFERROR(VLOOKUP(TableHandbook[[#This Row],[UDC]],TableSPUCINARS[],7,FALSE),"")</f>
        <v/>
      </c>
      <c r="R58" s="86" t="str">
        <f>IFERROR(VLOOKUP(TableHandbook[[#This Row],[UDC]],TableSPUCPRINP[],7,FALSE),"")</f>
        <v/>
      </c>
    </row>
    <row r="59" spans="1:18" x14ac:dyDescent="0.25">
      <c r="A59" s="6" t="s">
        <v>76</v>
      </c>
      <c r="B59" s="7">
        <v>2</v>
      </c>
      <c r="C59" s="6"/>
      <c r="D59" s="6" t="s">
        <v>75</v>
      </c>
      <c r="E59" s="7">
        <v>100</v>
      </c>
      <c r="F59" s="38" t="s">
        <v>251</v>
      </c>
      <c r="G59" s="74" t="str">
        <f>IFERROR(IF(VLOOKUP(TableHandbook[[#This Row],[UDC]],TableAvailabilities[],2,FALSE)&gt;0,"Y",""),"")</f>
        <v/>
      </c>
      <c r="H59" s="74" t="str">
        <f>IFERROR(IF(VLOOKUP(TableHandbook[[#This Row],[UDC]],TableAvailabilities[],3,FALSE)&gt;0,"Y",""),"")</f>
        <v/>
      </c>
      <c r="I59" s="74" t="str">
        <f>IFERROR(IF(VLOOKUP(TableHandbook[[#This Row],[UDC]],TableAvailabilities[],4,FALSE)&gt;0,"Y",""),"")</f>
        <v/>
      </c>
      <c r="J59" s="74" t="str">
        <f>IFERROR(IF(VLOOKUP(TableHandbook[[#This Row],[UDC]],TableAvailabilities[],5,FALSE)&gt;0,"Y",""),"")</f>
        <v/>
      </c>
      <c r="K59" s="39"/>
      <c r="L59" s="86" t="str">
        <f>IFERROR(VLOOKUP(TableHandbook[[#This Row],[UDC]],TableBARCH[],7,FALSE),"")</f>
        <v>Core</v>
      </c>
      <c r="M59" s="86" t="str">
        <f>IFERROR(VLOOKUP(TableHandbook[[#This Row],[UDC]],TableSPUCANGAD[],7,FALSE),"")</f>
        <v/>
      </c>
      <c r="N59" s="86" t="str">
        <f>IFERROR(VLOOKUP(TableHandbook[[#This Row],[UDC]],TableSPUCCONMS[],7,FALSE),"")</f>
        <v/>
      </c>
      <c r="O59" s="86" t="str">
        <f>IFERROR(VLOOKUP(TableHandbook[[#This Row],[UDC]],TableSPUCDSGNF[],7,FALSE),"")</f>
        <v/>
      </c>
      <c r="P59" s="86" t="str">
        <f>IFERROR(VLOOKUP(TableHandbook[[#This Row],[UDC]],TableSPUCDSGNV[],7,FALSE),"")</f>
        <v/>
      </c>
      <c r="Q59" s="86" t="str">
        <f>IFERROR(VLOOKUP(TableHandbook[[#This Row],[UDC]],TableSPUCINARS[],7,FALSE),"")</f>
        <v/>
      </c>
      <c r="R59" s="86" t="str">
        <f>IFERROR(VLOOKUP(TableHandbook[[#This Row],[UDC]],TableSPUCPRINP[],7,FALSE),"")</f>
        <v/>
      </c>
    </row>
    <row r="60" spans="1:18" x14ac:dyDescent="0.25">
      <c r="A60" s="6" t="s">
        <v>81</v>
      </c>
      <c r="B60" s="7">
        <v>1</v>
      </c>
      <c r="C60" s="6"/>
      <c r="D60" s="6" t="s">
        <v>80</v>
      </c>
      <c r="E60" s="7">
        <v>100</v>
      </c>
      <c r="F60" s="38" t="s">
        <v>251</v>
      </c>
      <c r="G60" s="74" t="str">
        <f>IFERROR(IF(VLOOKUP(TableHandbook[[#This Row],[UDC]],TableAvailabilities[],2,FALSE)&gt;0,"Y",""),"")</f>
        <v/>
      </c>
      <c r="H60" s="74" t="str">
        <f>IFERROR(IF(VLOOKUP(TableHandbook[[#This Row],[UDC]],TableAvailabilities[],3,FALSE)&gt;0,"Y",""),"")</f>
        <v/>
      </c>
      <c r="I60" s="74" t="str">
        <f>IFERROR(IF(VLOOKUP(TableHandbook[[#This Row],[UDC]],TableAvailabilities[],4,FALSE)&gt;0,"Y",""),"")</f>
        <v/>
      </c>
      <c r="J60" s="74" t="str">
        <f>IFERROR(IF(VLOOKUP(TableHandbook[[#This Row],[UDC]],TableAvailabilities[],5,FALSE)&gt;0,"Y",""),"")</f>
        <v/>
      </c>
      <c r="K60" s="39"/>
      <c r="L60" s="86" t="str">
        <f>IFERROR(VLOOKUP(TableHandbook[[#This Row],[UDC]],TableBARCH[],7,FALSE),"")</f>
        <v>Core</v>
      </c>
      <c r="M60" s="86" t="str">
        <f>IFERROR(VLOOKUP(TableHandbook[[#This Row],[UDC]],TableSPUCANGAD[],7,FALSE),"")</f>
        <v/>
      </c>
      <c r="N60" s="86" t="str">
        <f>IFERROR(VLOOKUP(TableHandbook[[#This Row],[UDC]],TableSPUCCONMS[],7,FALSE),"")</f>
        <v/>
      </c>
      <c r="O60" s="86" t="str">
        <f>IFERROR(VLOOKUP(TableHandbook[[#This Row],[UDC]],TableSPUCDSGNF[],7,FALSE),"")</f>
        <v/>
      </c>
      <c r="P60" s="86" t="str">
        <f>IFERROR(VLOOKUP(TableHandbook[[#This Row],[UDC]],TableSPUCDSGNV[],7,FALSE),"")</f>
        <v/>
      </c>
      <c r="Q60" s="86" t="str">
        <f>IFERROR(VLOOKUP(TableHandbook[[#This Row],[UDC]],TableSPUCINARS[],7,FALSE),"")</f>
        <v/>
      </c>
      <c r="R60" s="86" t="str">
        <f>IFERROR(VLOOKUP(TableHandbook[[#This Row],[UDC]],TableSPUCPRINP[],7,FALSE),"")</f>
        <v/>
      </c>
    </row>
    <row r="61" spans="1:18" x14ac:dyDescent="0.25">
      <c r="A61" s="6" t="s">
        <v>84</v>
      </c>
      <c r="B61" s="7">
        <v>3</v>
      </c>
      <c r="C61" s="6"/>
      <c r="D61" s="6" t="s">
        <v>14</v>
      </c>
      <c r="E61" s="7">
        <v>100</v>
      </c>
      <c r="F61" s="38" t="s">
        <v>251</v>
      </c>
      <c r="G61" s="74" t="str">
        <f>IFERROR(IF(VLOOKUP(TableHandbook[[#This Row],[UDC]],TableAvailabilities[],2,FALSE)&gt;0,"Y",""),"")</f>
        <v/>
      </c>
      <c r="H61" s="74" t="str">
        <f>IFERROR(IF(VLOOKUP(TableHandbook[[#This Row],[UDC]],TableAvailabilities[],3,FALSE)&gt;0,"Y",""),"")</f>
        <v/>
      </c>
      <c r="I61" s="74" t="str">
        <f>IFERROR(IF(VLOOKUP(TableHandbook[[#This Row],[UDC]],TableAvailabilities[],4,FALSE)&gt;0,"Y",""),"")</f>
        <v/>
      </c>
      <c r="J61" s="74" t="str">
        <f>IFERROR(IF(VLOOKUP(TableHandbook[[#This Row],[UDC]],TableAvailabilities[],5,FALSE)&gt;0,"Y",""),"")</f>
        <v/>
      </c>
      <c r="K61" s="39"/>
      <c r="L61" s="86" t="str">
        <f>IFERROR(VLOOKUP(TableHandbook[[#This Row],[UDC]],TableBARCH[],7,FALSE),"")</f>
        <v>Core</v>
      </c>
      <c r="M61" s="86" t="str">
        <f>IFERROR(VLOOKUP(TableHandbook[[#This Row],[UDC]],TableSPUCANGAD[],7,FALSE),"")</f>
        <v/>
      </c>
      <c r="N61" s="86" t="str">
        <f>IFERROR(VLOOKUP(TableHandbook[[#This Row],[UDC]],TableSPUCCONMS[],7,FALSE),"")</f>
        <v/>
      </c>
      <c r="O61" s="86" t="str">
        <f>IFERROR(VLOOKUP(TableHandbook[[#This Row],[UDC]],TableSPUCDSGNF[],7,FALSE),"")</f>
        <v/>
      </c>
      <c r="P61" s="86" t="str">
        <f>IFERROR(VLOOKUP(TableHandbook[[#This Row],[UDC]],TableSPUCDSGNV[],7,FALSE),"")</f>
        <v/>
      </c>
      <c r="Q61" s="86" t="str">
        <f>IFERROR(VLOOKUP(TableHandbook[[#This Row],[UDC]],TableSPUCINARS[],7,FALSE),"")</f>
        <v/>
      </c>
      <c r="R61" s="86" t="str">
        <f>IFERROR(VLOOKUP(TableHandbook[[#This Row],[UDC]],TableSPUCPRINP[],7,FALSE),"")</f>
        <v/>
      </c>
    </row>
    <row r="62" spans="1:18" x14ac:dyDescent="0.25">
      <c r="A62" s="6" t="s">
        <v>86</v>
      </c>
      <c r="B62" s="7">
        <v>1</v>
      </c>
      <c r="C62" s="6"/>
      <c r="D62" s="6" t="s">
        <v>85</v>
      </c>
      <c r="E62" s="7">
        <v>100</v>
      </c>
      <c r="F62" s="38" t="s">
        <v>251</v>
      </c>
      <c r="G62" s="74" t="str">
        <f>IFERROR(IF(VLOOKUP(TableHandbook[[#This Row],[UDC]],TableAvailabilities[],2,FALSE)&gt;0,"Y",""),"")</f>
        <v/>
      </c>
      <c r="H62" s="74" t="str">
        <f>IFERROR(IF(VLOOKUP(TableHandbook[[#This Row],[UDC]],TableAvailabilities[],3,FALSE)&gt;0,"Y",""),"")</f>
        <v/>
      </c>
      <c r="I62" s="74" t="str">
        <f>IFERROR(IF(VLOOKUP(TableHandbook[[#This Row],[UDC]],TableAvailabilities[],4,FALSE)&gt;0,"Y",""),"")</f>
        <v/>
      </c>
      <c r="J62" s="74" t="str">
        <f>IFERROR(IF(VLOOKUP(TableHandbook[[#This Row],[UDC]],TableAvailabilities[],5,FALSE)&gt;0,"Y",""),"")</f>
        <v/>
      </c>
      <c r="K62" s="39"/>
      <c r="L62" s="86" t="str">
        <f>IFERROR(VLOOKUP(TableHandbook[[#This Row],[UDC]],TableBARCH[],7,FALSE),"")</f>
        <v>Core</v>
      </c>
      <c r="M62" s="86" t="str">
        <f>IFERROR(VLOOKUP(TableHandbook[[#This Row],[UDC]],TableSPUCANGAD[],7,FALSE),"")</f>
        <v/>
      </c>
      <c r="N62" s="86" t="str">
        <f>IFERROR(VLOOKUP(TableHandbook[[#This Row],[UDC]],TableSPUCCONMS[],7,FALSE),"")</f>
        <v/>
      </c>
      <c r="O62" s="86" t="str">
        <f>IFERROR(VLOOKUP(TableHandbook[[#This Row],[UDC]],TableSPUCDSGNF[],7,FALSE),"")</f>
        <v/>
      </c>
      <c r="P62" s="86" t="str">
        <f>IFERROR(VLOOKUP(TableHandbook[[#This Row],[UDC]],TableSPUCDSGNV[],7,FALSE),"")</f>
        <v/>
      </c>
      <c r="Q62" s="86" t="str">
        <f>IFERROR(VLOOKUP(TableHandbook[[#This Row],[UDC]],TableSPUCINARS[],7,FALSE),"")</f>
        <v/>
      </c>
      <c r="R62" s="86" t="str">
        <f>IFERROR(VLOOKUP(TableHandbook[[#This Row],[UDC]],TableSPUCPRINP[],7,FALSE),"")</f>
        <v/>
      </c>
    </row>
    <row r="63" spans="1:18" x14ac:dyDescent="0.25">
      <c r="A63" s="6" t="s">
        <v>125</v>
      </c>
      <c r="B63" s="7">
        <v>1</v>
      </c>
      <c r="C63" s="6"/>
      <c r="D63" s="6" t="s">
        <v>252</v>
      </c>
      <c r="E63" s="7">
        <v>25</v>
      </c>
      <c r="F63" s="38" t="s">
        <v>194</v>
      </c>
      <c r="G63" s="74" t="str">
        <f>IFERROR(IF(VLOOKUP(TableHandbook[[#This Row],[UDC]],TableAvailabilities[],2,FALSE)&gt;0,"Y",""),"")</f>
        <v>Y</v>
      </c>
      <c r="H63" s="74" t="str">
        <f>IFERROR(IF(VLOOKUP(TableHandbook[[#This Row],[UDC]],TableAvailabilities[],3,FALSE)&gt;0,"Y",""),"")</f>
        <v>Y</v>
      </c>
      <c r="I63" s="74" t="str">
        <f>IFERROR(IF(VLOOKUP(TableHandbook[[#This Row],[UDC]],TableAvailabilities[],4,FALSE)&gt;0,"Y",""),"")</f>
        <v>Y</v>
      </c>
      <c r="J63" s="74" t="str">
        <f>IFERROR(IF(VLOOKUP(TableHandbook[[#This Row],[UDC]],TableAvailabilities[],5,FALSE)&gt;0,"Y",""),"")</f>
        <v/>
      </c>
      <c r="K63" s="39"/>
      <c r="L63" s="86" t="str">
        <f>IFERROR(VLOOKUP(TableHandbook[[#This Row],[UDC]],TableBARCH[],7,FALSE),"")</f>
        <v/>
      </c>
      <c r="M63" s="86" t="str">
        <f>IFERROR(VLOOKUP(TableHandbook[[#This Row],[UDC]],TableSPUCANGAD[],7,FALSE),"")</f>
        <v/>
      </c>
      <c r="N63" s="86" t="str">
        <f>IFERROR(VLOOKUP(TableHandbook[[#This Row],[UDC]],TableSPUCCONMS[],7,FALSE),"")</f>
        <v/>
      </c>
      <c r="O63" s="86" t="str">
        <f>IFERROR(VLOOKUP(TableHandbook[[#This Row],[UDC]],TableSPUCDSGNF[],7,FALSE),"")</f>
        <v/>
      </c>
      <c r="P63" s="86" t="str">
        <f>IFERROR(VLOOKUP(TableHandbook[[#This Row],[UDC]],TableSPUCDSGNV[],7,FALSE),"")</f>
        <v/>
      </c>
      <c r="Q63" s="86" t="str">
        <f>IFERROR(VLOOKUP(TableHandbook[[#This Row],[UDC]],TableSPUCINARS[],7,FALSE),"")</f>
        <v/>
      </c>
      <c r="R63" s="86" t="str">
        <f>IFERROR(VLOOKUP(TableHandbook[[#This Row],[UDC]],TableSPUCPRINP[],7,FALSE),"")</f>
        <v>Core</v>
      </c>
    </row>
    <row r="64" spans="1:18" x14ac:dyDescent="0.25">
      <c r="A64" s="6" t="s">
        <v>132</v>
      </c>
      <c r="B64" s="7">
        <v>1</v>
      </c>
      <c r="C64" s="6"/>
      <c r="D64" s="6" t="s">
        <v>253</v>
      </c>
      <c r="E64" s="7">
        <v>25</v>
      </c>
      <c r="F64" s="38" t="s">
        <v>194</v>
      </c>
      <c r="G64" s="74" t="str">
        <f>IFERROR(IF(VLOOKUP(TableHandbook[[#This Row],[UDC]],TableAvailabilities[],2,FALSE)&gt;0,"Y",""),"")</f>
        <v>Y</v>
      </c>
      <c r="H64" s="74" t="str">
        <f>IFERROR(IF(VLOOKUP(TableHandbook[[#This Row],[UDC]],TableAvailabilities[],3,FALSE)&gt;0,"Y",""),"")</f>
        <v/>
      </c>
      <c r="I64" s="74" t="str">
        <f>IFERROR(IF(VLOOKUP(TableHandbook[[#This Row],[UDC]],TableAvailabilities[],4,FALSE)&gt;0,"Y",""),"")</f>
        <v>Y</v>
      </c>
      <c r="J64" s="74" t="str">
        <f>IFERROR(IF(VLOOKUP(TableHandbook[[#This Row],[UDC]],TableAvailabilities[],5,FALSE)&gt;0,"Y",""),"")</f>
        <v/>
      </c>
      <c r="K64" s="39"/>
      <c r="L64" s="86" t="str">
        <f>IFERROR(VLOOKUP(TableHandbook[[#This Row],[UDC]],TableBARCH[],7,FALSE),"")</f>
        <v/>
      </c>
      <c r="M64" s="86" t="str">
        <f>IFERROR(VLOOKUP(TableHandbook[[#This Row],[UDC]],TableSPUCANGAD[],7,FALSE),"")</f>
        <v/>
      </c>
      <c r="N64" s="86" t="str">
        <f>IFERROR(VLOOKUP(TableHandbook[[#This Row],[UDC]],TableSPUCCONMS[],7,FALSE),"")</f>
        <v/>
      </c>
      <c r="O64" s="86" t="str">
        <f>IFERROR(VLOOKUP(TableHandbook[[#This Row],[UDC]],TableSPUCDSGNF[],7,FALSE),"")</f>
        <v/>
      </c>
      <c r="P64" s="86" t="str">
        <f>IFERROR(VLOOKUP(TableHandbook[[#This Row],[UDC]],TableSPUCDSGNV[],7,FALSE),"")</f>
        <v/>
      </c>
      <c r="Q64" s="86" t="str">
        <f>IFERROR(VLOOKUP(TableHandbook[[#This Row],[UDC]],TableSPUCINARS[],7,FALSE),"")</f>
        <v/>
      </c>
      <c r="R64" s="86" t="str">
        <f>IFERROR(VLOOKUP(TableHandbook[[#This Row],[UDC]],TableSPUCPRINP[],7,FALSE),"")</f>
        <v>Core</v>
      </c>
    </row>
    <row r="65" spans="1:18" x14ac:dyDescent="0.25">
      <c r="A65" s="6" t="s">
        <v>139</v>
      </c>
      <c r="B65" s="7">
        <v>1</v>
      </c>
      <c r="C65" s="6"/>
      <c r="D65" s="6" t="s">
        <v>254</v>
      </c>
      <c r="E65" s="7">
        <v>25</v>
      </c>
      <c r="F65" s="100" t="s">
        <v>125</v>
      </c>
      <c r="G65" s="74" t="str">
        <f>IFERROR(IF(VLOOKUP(TableHandbook[[#This Row],[UDC]],TableAvailabilities[],2,FALSE)&gt;0,"Y",""),"")</f>
        <v/>
      </c>
      <c r="H65" s="74" t="str">
        <f>IFERROR(IF(VLOOKUP(TableHandbook[[#This Row],[UDC]],TableAvailabilities[],3,FALSE)&gt;0,"Y",""),"")</f>
        <v/>
      </c>
      <c r="I65" s="74" t="str">
        <f>IFERROR(IF(VLOOKUP(TableHandbook[[#This Row],[UDC]],TableAvailabilities[],4,FALSE)&gt;0,"Y",""),"")</f>
        <v>Y</v>
      </c>
      <c r="J65" s="74" t="str">
        <f>IFERROR(IF(VLOOKUP(TableHandbook[[#This Row],[UDC]],TableAvailabilities[],5,FALSE)&gt;0,"Y",""),"")</f>
        <v/>
      </c>
      <c r="K65" s="39"/>
      <c r="L65" s="86" t="str">
        <f>IFERROR(VLOOKUP(TableHandbook[[#This Row],[UDC]],TableBARCH[],7,FALSE),"")</f>
        <v/>
      </c>
      <c r="M65" s="86" t="str">
        <f>IFERROR(VLOOKUP(TableHandbook[[#This Row],[UDC]],TableSPUCANGAD[],7,FALSE),"")</f>
        <v/>
      </c>
      <c r="N65" s="86" t="str">
        <f>IFERROR(VLOOKUP(TableHandbook[[#This Row],[UDC]],TableSPUCCONMS[],7,FALSE),"")</f>
        <v/>
      </c>
      <c r="O65" s="86" t="str">
        <f>IFERROR(VLOOKUP(TableHandbook[[#This Row],[UDC]],TableSPUCDSGNF[],7,FALSE),"")</f>
        <v/>
      </c>
      <c r="P65" s="86" t="str">
        <f>IFERROR(VLOOKUP(TableHandbook[[#This Row],[UDC]],TableSPUCDSGNV[],7,FALSE),"")</f>
        <v/>
      </c>
      <c r="Q65" s="86" t="str">
        <f>IFERROR(VLOOKUP(TableHandbook[[#This Row],[UDC]],TableSPUCINARS[],7,FALSE),"")</f>
        <v/>
      </c>
      <c r="R65" s="86" t="str">
        <f>IFERROR(VLOOKUP(TableHandbook[[#This Row],[UDC]],TableSPUCPRINP[],7,FALSE),"")</f>
        <v>Core</v>
      </c>
    </row>
    <row r="66" spans="1:18" x14ac:dyDescent="0.25">
      <c r="A66" s="6" t="s">
        <v>144</v>
      </c>
      <c r="B66" s="7">
        <v>1</v>
      </c>
      <c r="C66" s="6"/>
      <c r="D66" s="6" t="s">
        <v>255</v>
      </c>
      <c r="E66" s="7">
        <v>25</v>
      </c>
      <c r="F66" s="100" t="s">
        <v>322</v>
      </c>
      <c r="G66" s="74" t="str">
        <f>IFERROR(IF(VLOOKUP(TableHandbook[[#This Row],[UDC]],TableAvailabilities[],2,FALSE)&gt;0,"Y",""),"")</f>
        <v>Y</v>
      </c>
      <c r="H66" s="74" t="str">
        <f>IFERROR(IF(VLOOKUP(TableHandbook[[#This Row],[UDC]],TableAvailabilities[],3,FALSE)&gt;0,"Y",""),"")</f>
        <v/>
      </c>
      <c r="I66" s="74" t="str">
        <f>IFERROR(IF(VLOOKUP(TableHandbook[[#This Row],[UDC]],TableAvailabilities[],4,FALSE)&gt;0,"Y",""),"")</f>
        <v/>
      </c>
      <c r="J66" s="74" t="str">
        <f>IFERROR(IF(VLOOKUP(TableHandbook[[#This Row],[UDC]],TableAvailabilities[],5,FALSE)&gt;0,"Y",""),"")</f>
        <v/>
      </c>
      <c r="K66" s="39"/>
      <c r="L66" s="86" t="str">
        <f>IFERROR(VLOOKUP(TableHandbook[[#This Row],[UDC]],TableBARCH[],7,FALSE),"")</f>
        <v/>
      </c>
      <c r="M66" s="86" t="str">
        <f>IFERROR(VLOOKUP(TableHandbook[[#This Row],[UDC]],TableSPUCANGAD[],7,FALSE),"")</f>
        <v/>
      </c>
      <c r="N66" s="86" t="str">
        <f>IFERROR(VLOOKUP(TableHandbook[[#This Row],[UDC]],TableSPUCCONMS[],7,FALSE),"")</f>
        <v/>
      </c>
      <c r="O66" s="86" t="str">
        <f>IFERROR(VLOOKUP(TableHandbook[[#This Row],[UDC]],TableSPUCDSGNF[],7,FALSE),"")</f>
        <v/>
      </c>
      <c r="P66" s="86" t="str">
        <f>IFERROR(VLOOKUP(TableHandbook[[#This Row],[UDC]],TableSPUCDSGNV[],7,FALSE),"")</f>
        <v/>
      </c>
      <c r="Q66" s="86" t="str">
        <f>IFERROR(VLOOKUP(TableHandbook[[#This Row],[UDC]],TableSPUCINARS[],7,FALSE),"")</f>
        <v/>
      </c>
      <c r="R66" s="86" t="str">
        <f>IFERROR(VLOOKUP(TableHandbook[[#This Row],[UDC]],TableSPUCPRINP[],7,FALSE),"")</f>
        <v>Core</v>
      </c>
    </row>
    <row r="67" spans="1:18" x14ac:dyDescent="0.25">
      <c r="A67" s="6" t="s">
        <v>166</v>
      </c>
      <c r="B67" s="7">
        <v>1</v>
      </c>
      <c r="C67" s="6"/>
      <c r="D67" s="6" t="s">
        <v>256</v>
      </c>
      <c r="E67" s="7">
        <v>25</v>
      </c>
      <c r="F67" s="38" t="s">
        <v>204</v>
      </c>
      <c r="G67" s="74" t="str">
        <f>IFERROR(IF(VLOOKUP(TableHandbook[[#This Row],[UDC]],TableAvailabilities[],2,FALSE)&gt;0,"Y",""),"")</f>
        <v/>
      </c>
      <c r="H67" s="74" t="str">
        <f>IFERROR(IF(VLOOKUP(TableHandbook[[#This Row],[UDC]],TableAvailabilities[],3,FALSE)&gt;0,"Y",""),"")</f>
        <v/>
      </c>
      <c r="I67" s="74" t="str">
        <f>IFERROR(IF(VLOOKUP(TableHandbook[[#This Row],[UDC]],TableAvailabilities[],4,FALSE)&gt;0,"Y",""),"")</f>
        <v/>
      </c>
      <c r="J67" s="74" t="str">
        <f>IFERROR(IF(VLOOKUP(TableHandbook[[#This Row],[UDC]],TableAvailabilities[],5,FALSE)&gt;0,"Y",""),"")</f>
        <v/>
      </c>
      <c r="K67" s="39"/>
      <c r="L67" s="86" t="str">
        <f>IFERROR(VLOOKUP(TableHandbook[[#This Row],[UDC]],TableBARCH[],7,FALSE),"")</f>
        <v/>
      </c>
      <c r="M67" s="86" t="str">
        <f>IFERROR(VLOOKUP(TableHandbook[[#This Row],[UDC]],TableSPUCANGAD[],7,FALSE),"")</f>
        <v/>
      </c>
      <c r="N67" s="86" t="str">
        <f>IFERROR(VLOOKUP(TableHandbook[[#This Row],[UDC]],TableSPUCCONMS[],7,FALSE),"")</f>
        <v/>
      </c>
      <c r="O67" s="86" t="str">
        <f>IFERROR(VLOOKUP(TableHandbook[[#This Row],[UDC]],TableSPUCDSGNF[],7,FALSE),"")</f>
        <v/>
      </c>
      <c r="P67" s="86" t="str">
        <f>IFERROR(VLOOKUP(TableHandbook[[#This Row],[UDC]],TableSPUCDSGNV[],7,FALSE),"")</f>
        <v/>
      </c>
      <c r="Q67" s="86" t="str">
        <f>IFERROR(VLOOKUP(TableHandbook[[#This Row],[UDC]],TableSPUCINARS[],7,FALSE),"")</f>
        <v>Option</v>
      </c>
      <c r="R67" s="86" t="str">
        <f>IFERROR(VLOOKUP(TableHandbook[[#This Row],[UDC]],TableSPUCPRINP[],7,FALSE),"")</f>
        <v/>
      </c>
    </row>
    <row r="68" spans="1:18" x14ac:dyDescent="0.25">
      <c r="A68" s="6" t="s">
        <v>168</v>
      </c>
      <c r="B68" s="7">
        <v>1</v>
      </c>
      <c r="C68" s="6"/>
      <c r="D68" s="6" t="s">
        <v>257</v>
      </c>
      <c r="E68" s="7">
        <v>25</v>
      </c>
      <c r="F68" s="38" t="s">
        <v>204</v>
      </c>
      <c r="G68" s="74" t="str">
        <f>IFERROR(IF(VLOOKUP(TableHandbook[[#This Row],[UDC]],TableAvailabilities[],2,FALSE)&gt;0,"Y",""),"")</f>
        <v/>
      </c>
      <c r="H68" s="74" t="str">
        <f>IFERROR(IF(VLOOKUP(TableHandbook[[#This Row],[UDC]],TableAvailabilities[],3,FALSE)&gt;0,"Y",""),"")</f>
        <v/>
      </c>
      <c r="I68" s="74" t="str">
        <f>IFERROR(IF(VLOOKUP(TableHandbook[[#This Row],[UDC]],TableAvailabilities[],4,FALSE)&gt;0,"Y",""),"")</f>
        <v/>
      </c>
      <c r="J68" s="74" t="str">
        <f>IFERROR(IF(VLOOKUP(TableHandbook[[#This Row],[UDC]],TableAvailabilities[],5,FALSE)&gt;0,"Y",""),"")</f>
        <v/>
      </c>
      <c r="K68" s="39"/>
      <c r="L68" s="86" t="str">
        <f>IFERROR(VLOOKUP(TableHandbook[[#This Row],[UDC]],TableBARCH[],7,FALSE),"")</f>
        <v/>
      </c>
      <c r="M68" s="86" t="str">
        <f>IFERROR(VLOOKUP(TableHandbook[[#This Row],[UDC]],TableSPUCANGAD[],7,FALSE),"")</f>
        <v/>
      </c>
      <c r="N68" s="86" t="str">
        <f>IFERROR(VLOOKUP(TableHandbook[[#This Row],[UDC]],TableSPUCCONMS[],7,FALSE),"")</f>
        <v/>
      </c>
      <c r="O68" s="86" t="str">
        <f>IFERROR(VLOOKUP(TableHandbook[[#This Row],[UDC]],TableSPUCDSGNF[],7,FALSE),"")</f>
        <v/>
      </c>
      <c r="P68" s="86" t="str">
        <f>IFERROR(VLOOKUP(TableHandbook[[#This Row],[UDC]],TableSPUCDSGNV[],7,FALSE),"")</f>
        <v/>
      </c>
      <c r="Q68" s="86" t="str">
        <f>IFERROR(VLOOKUP(TableHandbook[[#This Row],[UDC]],TableSPUCINARS[],7,FALSE),"")</f>
        <v>Option</v>
      </c>
      <c r="R68" s="86" t="str">
        <f>IFERROR(VLOOKUP(TableHandbook[[#This Row],[UDC]],TableSPUCPRINP[],7,FALSE),"")</f>
        <v/>
      </c>
    </row>
    <row r="69" spans="1:18" x14ac:dyDescent="0.25">
      <c r="A69" s="6" t="s">
        <v>170</v>
      </c>
      <c r="B69" s="7">
        <v>3</v>
      </c>
      <c r="C69" s="6"/>
      <c r="D69" s="6" t="s">
        <v>313</v>
      </c>
      <c r="E69" s="7">
        <v>25</v>
      </c>
      <c r="F69" s="38" t="s">
        <v>204</v>
      </c>
      <c r="G69" s="74" t="str">
        <f>IFERROR(IF(VLOOKUP(TableHandbook[[#This Row],[UDC]],TableAvailabilities[],2,FALSE)&gt;0,"Y",""),"")</f>
        <v/>
      </c>
      <c r="H69" s="74" t="str">
        <f>IFERROR(IF(VLOOKUP(TableHandbook[[#This Row],[UDC]],TableAvailabilities[],3,FALSE)&gt;0,"Y",""),"")</f>
        <v/>
      </c>
      <c r="I69" s="74" t="str">
        <f>IFERROR(IF(VLOOKUP(TableHandbook[[#This Row],[UDC]],TableAvailabilities[],4,FALSE)&gt;0,"Y",""),"")</f>
        <v/>
      </c>
      <c r="J69" s="74" t="str">
        <f>IFERROR(IF(VLOOKUP(TableHandbook[[#This Row],[UDC]],TableAvailabilities[],5,FALSE)&gt;0,"Y",""),"")</f>
        <v/>
      </c>
      <c r="K69" s="39" t="s">
        <v>264</v>
      </c>
      <c r="L69" s="86" t="str">
        <f>IFERROR(VLOOKUP(TableHandbook[[#This Row],[UDC]],TableBARCH[],7,FALSE),"")</f>
        <v/>
      </c>
      <c r="M69" s="86" t="str">
        <f>IFERROR(VLOOKUP(TableHandbook[[#This Row],[UDC]],TableSPUCANGAD[],7,FALSE),"")</f>
        <v/>
      </c>
      <c r="N69" s="86" t="str">
        <f>IFERROR(VLOOKUP(TableHandbook[[#This Row],[UDC]],TableSPUCCONMS[],7,FALSE),"")</f>
        <v/>
      </c>
      <c r="O69" s="86" t="str">
        <f>IFERROR(VLOOKUP(TableHandbook[[#This Row],[UDC]],TableSPUCDSGNF[],7,FALSE),"")</f>
        <v/>
      </c>
      <c r="P69" s="86" t="str">
        <f>IFERROR(VLOOKUP(TableHandbook[[#This Row],[UDC]],TableSPUCDSGNV[],7,FALSE),"")</f>
        <v/>
      </c>
      <c r="Q69" s="86" t="str">
        <f>IFERROR(VLOOKUP(TableHandbook[[#This Row],[UDC]],TableSPUCINARS[],7,FALSE),"")</f>
        <v>Option</v>
      </c>
      <c r="R69" s="86" t="str">
        <f>IFERROR(VLOOKUP(TableHandbook[[#This Row],[UDC]],TableSPUCPRINP[],7,FALSE),"")</f>
        <v/>
      </c>
    </row>
    <row r="70" spans="1:18" x14ac:dyDescent="0.25">
      <c r="A70" s="6" t="s">
        <v>312</v>
      </c>
      <c r="B70" s="7">
        <v>1</v>
      </c>
      <c r="C70" s="6"/>
      <c r="D70" s="6" t="s">
        <v>258</v>
      </c>
      <c r="E70" s="7">
        <v>25</v>
      </c>
      <c r="F70" s="38" t="s">
        <v>204</v>
      </c>
      <c r="G70" s="74" t="str">
        <f>IFERROR(IF(VLOOKUP(TableHandbook[[#This Row],[UDC]],TableAvailabilities[],2,FALSE)&gt;0,"Y",""),"")</f>
        <v/>
      </c>
      <c r="H70" s="74" t="str">
        <f>IFERROR(IF(VLOOKUP(TableHandbook[[#This Row],[UDC]],TableAvailabilities[],3,FALSE)&gt;0,"Y",""),"")</f>
        <v/>
      </c>
      <c r="I70" s="74" t="str">
        <f>IFERROR(IF(VLOOKUP(TableHandbook[[#This Row],[UDC]],TableAvailabilities[],4,FALSE)&gt;0,"Y",""),"")</f>
        <v/>
      </c>
      <c r="J70" s="74" t="str">
        <f>IFERROR(IF(VLOOKUP(TableHandbook[[#This Row],[UDC]],TableAvailabilities[],5,FALSE)&gt;0,"Y",""),"")</f>
        <v/>
      </c>
      <c r="K70" s="39" t="s">
        <v>261</v>
      </c>
      <c r="L70" s="86" t="str">
        <f>IFERROR(VLOOKUP(TableHandbook[[#This Row],[UDC]],TableBARCH[],7,FALSE),"")</f>
        <v/>
      </c>
      <c r="M70" s="86" t="str">
        <f>IFERROR(VLOOKUP(TableHandbook[[#This Row],[UDC]],TableSPUCANGAD[],7,FALSE),"")</f>
        <v/>
      </c>
      <c r="N70" s="86" t="str">
        <f>IFERROR(VLOOKUP(TableHandbook[[#This Row],[UDC]],TableSPUCCONMS[],7,FALSE),"")</f>
        <v/>
      </c>
      <c r="O70" s="86" t="str">
        <f>IFERROR(VLOOKUP(TableHandbook[[#This Row],[UDC]],TableSPUCDSGNF[],7,FALSE),"")</f>
        <v/>
      </c>
      <c r="P70" s="86" t="str">
        <f>IFERROR(VLOOKUP(TableHandbook[[#This Row],[UDC]],TableSPUCDSGNV[],7,FALSE),"")</f>
        <v/>
      </c>
      <c r="Q70" s="86" t="str">
        <f>IFERROR(VLOOKUP(TableHandbook[[#This Row],[UDC]],TableSPUCINARS[],7,FALSE),"")</f>
        <v/>
      </c>
      <c r="R70" s="86" t="str">
        <f>IFERROR(VLOOKUP(TableHandbook[[#This Row],[UDC]],TableSPUCPRINP[],7,FALSE),"")</f>
        <v/>
      </c>
    </row>
    <row r="71" spans="1:18" x14ac:dyDescent="0.25">
      <c r="A71" s="6" t="s">
        <v>172</v>
      </c>
      <c r="B71" s="7">
        <v>2</v>
      </c>
      <c r="C71" s="6"/>
      <c r="D71" s="6" t="s">
        <v>262</v>
      </c>
      <c r="E71" s="7">
        <v>25</v>
      </c>
      <c r="F71" s="100" t="s">
        <v>263</v>
      </c>
      <c r="G71" s="74" t="str">
        <f>IFERROR(IF(VLOOKUP(TableHandbook[[#This Row],[UDC]],TableAvailabilities[],2,FALSE)&gt;0,"Y",""),"")</f>
        <v/>
      </c>
      <c r="H71" s="74" t="str">
        <f>IFERROR(IF(VLOOKUP(TableHandbook[[#This Row],[UDC]],TableAvailabilities[],3,FALSE)&gt;0,"Y",""),"")</f>
        <v/>
      </c>
      <c r="I71" s="74" t="str">
        <f>IFERROR(IF(VLOOKUP(TableHandbook[[#This Row],[UDC]],TableAvailabilities[],4,FALSE)&gt;0,"Y",""),"")</f>
        <v/>
      </c>
      <c r="J71" s="74" t="str">
        <f>IFERROR(IF(VLOOKUP(TableHandbook[[#This Row],[UDC]],TableAvailabilities[],5,FALSE)&gt;0,"Y",""),"")</f>
        <v/>
      </c>
      <c r="K71" s="39" t="s">
        <v>264</v>
      </c>
      <c r="L71" s="86" t="str">
        <f>IFERROR(VLOOKUP(TableHandbook[[#This Row],[UDC]],TableBARCH[],7,FALSE),"")</f>
        <v/>
      </c>
      <c r="M71" s="86" t="str">
        <f>IFERROR(VLOOKUP(TableHandbook[[#This Row],[UDC]],TableSPUCANGAD[],7,FALSE),"")</f>
        <v/>
      </c>
      <c r="N71" s="86" t="str">
        <f>IFERROR(VLOOKUP(TableHandbook[[#This Row],[UDC]],TableSPUCCONMS[],7,FALSE),"")</f>
        <v/>
      </c>
      <c r="O71" s="86" t="str">
        <f>IFERROR(VLOOKUP(TableHandbook[[#This Row],[UDC]],TableSPUCDSGNF[],7,FALSE),"")</f>
        <v/>
      </c>
      <c r="P71" s="86" t="str">
        <f>IFERROR(VLOOKUP(TableHandbook[[#This Row],[UDC]],TableSPUCDSGNV[],7,FALSE),"")</f>
        <v/>
      </c>
      <c r="Q71" s="86" t="str">
        <f>IFERROR(VLOOKUP(TableHandbook[[#This Row],[UDC]],TableSPUCINARS[],7,FALSE),"")</f>
        <v>Option</v>
      </c>
      <c r="R71" s="86" t="str">
        <f>IFERROR(VLOOKUP(TableHandbook[[#This Row],[UDC]],TableSPUCPRINP[],7,FALSE),"")</f>
        <v/>
      </c>
    </row>
    <row r="72" spans="1:18" x14ac:dyDescent="0.25">
      <c r="A72" s="6" t="s">
        <v>259</v>
      </c>
      <c r="B72" s="7">
        <v>1</v>
      </c>
      <c r="C72" s="6"/>
      <c r="D72" s="6" t="s">
        <v>260</v>
      </c>
      <c r="E72" s="7">
        <v>25</v>
      </c>
      <c r="F72" s="38" t="s">
        <v>204</v>
      </c>
      <c r="G72" s="74" t="str">
        <f>IFERROR(IF(VLOOKUP(TableHandbook[[#This Row],[UDC]],TableAvailabilities[],2,FALSE)&gt;0,"Y",""),"")</f>
        <v/>
      </c>
      <c r="H72" s="74" t="str">
        <f>IFERROR(IF(VLOOKUP(TableHandbook[[#This Row],[UDC]],TableAvailabilities[],3,FALSE)&gt;0,"Y",""),"")</f>
        <v/>
      </c>
      <c r="I72" s="74" t="str">
        <f>IFERROR(IF(VLOOKUP(TableHandbook[[#This Row],[UDC]],TableAvailabilities[],4,FALSE)&gt;0,"Y",""),"")</f>
        <v/>
      </c>
      <c r="J72" s="74" t="str">
        <f>IFERROR(IF(VLOOKUP(TableHandbook[[#This Row],[UDC]],TableAvailabilities[],5,FALSE)&gt;0,"Y",""),"")</f>
        <v/>
      </c>
      <c r="K72" s="39" t="s">
        <v>261</v>
      </c>
      <c r="L72" s="86" t="str">
        <f>IFERROR(VLOOKUP(TableHandbook[[#This Row],[UDC]],TableBARCH[],7,FALSE),"")</f>
        <v/>
      </c>
      <c r="M72" s="86" t="str">
        <f>IFERROR(VLOOKUP(TableHandbook[[#This Row],[UDC]],TableSPUCANGAD[],7,FALSE),"")</f>
        <v/>
      </c>
      <c r="N72" s="86" t="str">
        <f>IFERROR(VLOOKUP(TableHandbook[[#This Row],[UDC]],TableSPUCCONMS[],7,FALSE),"")</f>
        <v/>
      </c>
      <c r="O72" s="86" t="str">
        <f>IFERROR(VLOOKUP(TableHandbook[[#This Row],[UDC]],TableSPUCDSGNF[],7,FALSE),"")</f>
        <v/>
      </c>
      <c r="P72" s="86" t="str">
        <f>IFERROR(VLOOKUP(TableHandbook[[#This Row],[UDC]],TableSPUCDSGNV[],7,FALSE),"")</f>
        <v/>
      </c>
      <c r="Q72" s="86" t="str">
        <f>IFERROR(VLOOKUP(TableHandbook[[#This Row],[UDC]],TableSPUCINARS[],7,FALSE),"")</f>
        <v/>
      </c>
      <c r="R72" s="86" t="str">
        <f>IFERROR(VLOOKUP(TableHandbook[[#This Row],[UDC]],TableSPUCPRINP[],7,FALSE),"")</f>
        <v/>
      </c>
    </row>
    <row r="73" spans="1:18" x14ac:dyDescent="0.25">
      <c r="A73" s="6" t="s">
        <v>174</v>
      </c>
      <c r="B73" s="7">
        <v>1</v>
      </c>
      <c r="C73" s="6"/>
      <c r="D73" s="6" t="s">
        <v>265</v>
      </c>
      <c r="E73" s="7">
        <v>25</v>
      </c>
      <c r="F73" s="38" t="s">
        <v>204</v>
      </c>
      <c r="G73" s="74" t="str">
        <f>IFERROR(IF(VLOOKUP(TableHandbook[[#This Row],[UDC]],TableAvailabilities[],2,FALSE)&gt;0,"Y",""),"")</f>
        <v/>
      </c>
      <c r="H73" s="74" t="str">
        <f>IFERROR(IF(VLOOKUP(TableHandbook[[#This Row],[UDC]],TableAvailabilities[],3,FALSE)&gt;0,"Y",""),"")</f>
        <v/>
      </c>
      <c r="I73" s="74" t="str">
        <f>IFERROR(IF(VLOOKUP(TableHandbook[[#This Row],[UDC]],TableAvailabilities[],4,FALSE)&gt;0,"Y",""),"")</f>
        <v/>
      </c>
      <c r="J73" s="74" t="str">
        <f>IFERROR(IF(VLOOKUP(TableHandbook[[#This Row],[UDC]],TableAvailabilities[],5,FALSE)&gt;0,"Y",""),"")</f>
        <v/>
      </c>
      <c r="K73" s="39"/>
      <c r="L73" s="86" t="str">
        <f>IFERROR(VLOOKUP(TableHandbook[[#This Row],[UDC]],TableBARCH[],7,FALSE),"")</f>
        <v/>
      </c>
      <c r="M73" s="86" t="str">
        <f>IFERROR(VLOOKUP(TableHandbook[[#This Row],[UDC]],TableSPUCANGAD[],7,FALSE),"")</f>
        <v/>
      </c>
      <c r="N73" s="86" t="str">
        <f>IFERROR(VLOOKUP(TableHandbook[[#This Row],[UDC]],TableSPUCCONMS[],7,FALSE),"")</f>
        <v/>
      </c>
      <c r="O73" s="86" t="str">
        <f>IFERROR(VLOOKUP(TableHandbook[[#This Row],[UDC]],TableSPUCDSGNF[],7,FALSE),"")</f>
        <v/>
      </c>
      <c r="P73" s="86" t="str">
        <f>IFERROR(VLOOKUP(TableHandbook[[#This Row],[UDC]],TableSPUCDSGNV[],7,FALSE),"")</f>
        <v/>
      </c>
      <c r="Q73" s="86" t="str">
        <f>IFERROR(VLOOKUP(TableHandbook[[#This Row],[UDC]],TableSPUCINARS[],7,FALSE),"")</f>
        <v>Option</v>
      </c>
      <c r="R73" s="86" t="str">
        <f>IFERROR(VLOOKUP(TableHandbook[[#This Row],[UDC]],TableSPUCPRINP[],7,FALSE),"")</f>
        <v/>
      </c>
    </row>
    <row r="74" spans="1:18" x14ac:dyDescent="0.25">
      <c r="A74" s="6" t="s">
        <v>154</v>
      </c>
      <c r="B74" s="7">
        <v>2</v>
      </c>
      <c r="C74" s="6"/>
      <c r="D74" s="6" t="s">
        <v>266</v>
      </c>
      <c r="E74" s="7">
        <v>25</v>
      </c>
      <c r="F74" s="38" t="s">
        <v>204</v>
      </c>
      <c r="G74" s="74" t="str">
        <f>IFERROR(IF(VLOOKUP(TableHandbook[[#This Row],[UDC]],TableAvailabilities[],2,FALSE)&gt;0,"Y",""),"")</f>
        <v/>
      </c>
      <c r="H74" s="74" t="str">
        <f>IFERROR(IF(VLOOKUP(TableHandbook[[#This Row],[UDC]],TableAvailabilities[],3,FALSE)&gt;0,"Y",""),"")</f>
        <v/>
      </c>
      <c r="I74" s="74" t="str">
        <f>IFERROR(IF(VLOOKUP(TableHandbook[[#This Row],[UDC]],TableAvailabilities[],4,FALSE)&gt;0,"Y",""),"")</f>
        <v/>
      </c>
      <c r="J74" s="74" t="str">
        <f>IFERROR(IF(VLOOKUP(TableHandbook[[#This Row],[UDC]],TableAvailabilities[],5,FALSE)&gt;0,"Y",""),"")</f>
        <v/>
      </c>
      <c r="K74" s="39"/>
      <c r="L74" s="86" t="str">
        <f>IFERROR(VLOOKUP(TableHandbook[[#This Row],[UDC]],TableBARCH[],7,FALSE),"")</f>
        <v/>
      </c>
      <c r="M74" s="86" t="str">
        <f>IFERROR(VLOOKUP(TableHandbook[[#This Row],[UDC]],TableSPUCANGAD[],7,FALSE),"")</f>
        <v>Core</v>
      </c>
      <c r="N74" s="86" t="str">
        <f>IFERROR(VLOOKUP(TableHandbook[[#This Row],[UDC]],TableSPUCCONMS[],7,FALSE),"")</f>
        <v/>
      </c>
      <c r="O74" s="86" t="str">
        <f>IFERROR(VLOOKUP(TableHandbook[[#This Row],[UDC]],TableSPUCDSGNF[],7,FALSE),"")</f>
        <v>Core</v>
      </c>
      <c r="P74" s="86" t="str">
        <f>IFERROR(VLOOKUP(TableHandbook[[#This Row],[UDC]],TableSPUCDSGNV[],7,FALSE),"")</f>
        <v/>
      </c>
      <c r="Q74" s="86" t="str">
        <f>IFERROR(VLOOKUP(TableHandbook[[#This Row],[UDC]],TableSPUCINARS[],7,FALSE),"")</f>
        <v>Option</v>
      </c>
      <c r="R74" s="86" t="str">
        <f>IFERROR(VLOOKUP(TableHandbook[[#This Row],[UDC]],TableSPUCPRINP[],7,FALSE),"")</f>
        <v/>
      </c>
    </row>
    <row r="75" spans="1:18" x14ac:dyDescent="0.25">
      <c r="A75" s="6" t="s">
        <v>177</v>
      </c>
      <c r="B75" s="7">
        <v>1</v>
      </c>
      <c r="C75" s="6"/>
      <c r="D75" s="6" t="s">
        <v>267</v>
      </c>
      <c r="E75" s="7">
        <v>25</v>
      </c>
      <c r="F75" s="38" t="s">
        <v>204</v>
      </c>
      <c r="G75" s="74" t="str">
        <f>IFERROR(IF(VLOOKUP(TableHandbook[[#This Row],[UDC]],TableAvailabilities[],2,FALSE)&gt;0,"Y",""),"")</f>
        <v/>
      </c>
      <c r="H75" s="74" t="str">
        <f>IFERROR(IF(VLOOKUP(TableHandbook[[#This Row],[UDC]],TableAvailabilities[],3,FALSE)&gt;0,"Y",""),"")</f>
        <v/>
      </c>
      <c r="I75" s="74" t="str">
        <f>IFERROR(IF(VLOOKUP(TableHandbook[[#This Row],[UDC]],TableAvailabilities[],4,FALSE)&gt;0,"Y",""),"")</f>
        <v/>
      </c>
      <c r="J75" s="74" t="str">
        <f>IFERROR(IF(VLOOKUP(TableHandbook[[#This Row],[UDC]],TableAvailabilities[],5,FALSE)&gt;0,"Y",""),"")</f>
        <v/>
      </c>
      <c r="K75" s="39"/>
      <c r="L75" s="86" t="str">
        <f>IFERROR(VLOOKUP(TableHandbook[[#This Row],[UDC]],TableBARCH[],7,FALSE),"")</f>
        <v/>
      </c>
      <c r="M75" s="86" t="str">
        <f>IFERROR(VLOOKUP(TableHandbook[[#This Row],[UDC]],TableSPUCANGAD[],7,FALSE),"")</f>
        <v/>
      </c>
      <c r="N75" s="86" t="str">
        <f>IFERROR(VLOOKUP(TableHandbook[[#This Row],[UDC]],TableSPUCCONMS[],7,FALSE),"")</f>
        <v/>
      </c>
      <c r="O75" s="86" t="str">
        <f>IFERROR(VLOOKUP(TableHandbook[[#This Row],[UDC]],TableSPUCDSGNF[],7,FALSE),"")</f>
        <v/>
      </c>
      <c r="P75" s="86" t="str">
        <f>IFERROR(VLOOKUP(TableHandbook[[#This Row],[UDC]],TableSPUCDSGNV[],7,FALSE),"")</f>
        <v/>
      </c>
      <c r="Q75" s="86" t="str">
        <f>IFERROR(VLOOKUP(TableHandbook[[#This Row],[UDC]],TableSPUCINARS[],7,FALSE),"")</f>
        <v>Option</v>
      </c>
      <c r="R75" s="86" t="str">
        <f>IFERROR(VLOOKUP(TableHandbook[[#This Row],[UDC]],TableSPUCPRINP[],7,FALSE),"")</f>
        <v/>
      </c>
    </row>
    <row r="76" spans="1:18" x14ac:dyDescent="0.25">
      <c r="A76" s="6" t="s">
        <v>179</v>
      </c>
      <c r="B76" s="7">
        <v>1</v>
      </c>
      <c r="C76" s="6"/>
      <c r="D76" s="6" t="s">
        <v>268</v>
      </c>
      <c r="E76" s="7">
        <v>25</v>
      </c>
      <c r="F76" s="38" t="s">
        <v>204</v>
      </c>
      <c r="G76" s="74" t="str">
        <f>IFERROR(IF(VLOOKUP(TableHandbook[[#This Row],[UDC]],TableAvailabilities[],2,FALSE)&gt;0,"Y",""),"")</f>
        <v/>
      </c>
      <c r="H76" s="74" t="str">
        <f>IFERROR(IF(VLOOKUP(TableHandbook[[#This Row],[UDC]],TableAvailabilities[],3,FALSE)&gt;0,"Y",""),"")</f>
        <v/>
      </c>
      <c r="I76" s="74" t="str">
        <f>IFERROR(IF(VLOOKUP(TableHandbook[[#This Row],[UDC]],TableAvailabilities[],4,FALSE)&gt;0,"Y",""),"")</f>
        <v/>
      </c>
      <c r="J76" s="74" t="str">
        <f>IFERROR(IF(VLOOKUP(TableHandbook[[#This Row],[UDC]],TableAvailabilities[],5,FALSE)&gt;0,"Y",""),"")</f>
        <v/>
      </c>
      <c r="K76" s="39"/>
      <c r="L76" s="86" t="str">
        <f>IFERROR(VLOOKUP(TableHandbook[[#This Row],[UDC]],TableBARCH[],7,FALSE),"")</f>
        <v/>
      </c>
      <c r="M76" s="86" t="str">
        <f>IFERROR(VLOOKUP(TableHandbook[[#This Row],[UDC]],TableSPUCANGAD[],7,FALSE),"")</f>
        <v/>
      </c>
      <c r="N76" s="86" t="str">
        <f>IFERROR(VLOOKUP(TableHandbook[[#This Row],[UDC]],TableSPUCCONMS[],7,FALSE),"")</f>
        <v/>
      </c>
      <c r="O76" s="86" t="str">
        <f>IFERROR(VLOOKUP(TableHandbook[[#This Row],[UDC]],TableSPUCDSGNF[],7,FALSE),"")</f>
        <v/>
      </c>
      <c r="P76" s="86" t="str">
        <f>IFERROR(VLOOKUP(TableHandbook[[#This Row],[UDC]],TableSPUCDSGNV[],7,FALSE),"")</f>
        <v/>
      </c>
      <c r="Q76" s="86" t="str">
        <f>IFERROR(VLOOKUP(TableHandbook[[#This Row],[UDC]],TableSPUCINARS[],7,FALSE),"")</f>
        <v>Option</v>
      </c>
      <c r="R76" s="86" t="str">
        <f>IFERROR(VLOOKUP(TableHandbook[[#This Row],[UDC]],TableSPUCPRINP[],7,FALSE),"")</f>
        <v/>
      </c>
    </row>
  </sheetData>
  <sortState xmlns:xlrd2="http://schemas.microsoft.com/office/spreadsheetml/2017/richdata2" ref="A24:D37">
    <sortCondition ref="A24"/>
  </sortState>
  <conditionalFormatting sqref="A3:A76">
    <cfRule type="duplicateValues" dxfId="30" priority="70"/>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9"/>
  <sheetViews>
    <sheetView zoomScale="70" zoomScaleNormal="70" workbookViewId="0">
      <selection activeCell="B34" sqref="B34"/>
    </sheetView>
  </sheetViews>
  <sheetFormatPr defaultRowHeight="15.75" x14ac:dyDescent="0.25"/>
  <cols>
    <col min="1" max="1" width="13.375" bestFit="1" customWidth="1"/>
    <col min="2" max="2" width="8.125" style="2" bestFit="1" customWidth="1"/>
    <col min="3" max="3" width="12.5" bestFit="1" customWidth="1"/>
    <col min="4" max="4" width="60.875" customWidth="1"/>
    <col min="5" max="5" width="9.75" style="2"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61.25" customWidth="1"/>
    <col min="13" max="13" width="14.75" bestFit="1" customWidth="1"/>
    <col min="14" max="14" width="12.5" style="37" bestFit="1" customWidth="1"/>
    <col min="15" max="15" width="11.25" bestFit="1" customWidth="1"/>
    <col min="16" max="16" width="10.125" bestFit="1" customWidth="1"/>
    <col min="17" max="17" width="20.5" bestFit="1" customWidth="1"/>
    <col min="18" max="18" width="7.125" bestFit="1" customWidth="1"/>
    <col min="19" max="19" width="9.125" customWidth="1"/>
  </cols>
  <sheetData>
    <row r="1" spans="1:18" ht="18.75" x14ac:dyDescent="0.3">
      <c r="A1" s="79" t="s">
        <v>269</v>
      </c>
      <c r="B1" s="80"/>
      <c r="C1" s="81"/>
      <c r="D1" s="81"/>
      <c r="E1" s="80"/>
      <c r="F1" s="28"/>
      <c r="G1" s="29" t="s">
        <v>270</v>
      </c>
      <c r="H1" s="94">
        <v>44197</v>
      </c>
      <c r="I1" s="29"/>
      <c r="J1" s="95" t="s">
        <v>56</v>
      </c>
      <c r="K1" s="96" t="s">
        <v>57</v>
      </c>
      <c r="L1" s="36" t="s">
        <v>11</v>
      </c>
      <c r="M1" s="29"/>
      <c r="N1" s="60" t="s">
        <v>271</v>
      </c>
      <c r="O1" s="37">
        <v>45597</v>
      </c>
      <c r="P1" s="91">
        <v>45292</v>
      </c>
      <c r="Q1" t="s">
        <v>272</v>
      </c>
    </row>
    <row r="2" spans="1:18" x14ac:dyDescent="0.25">
      <c r="A2" s="82" t="s">
        <v>0</v>
      </c>
      <c r="B2" s="83" t="s">
        <v>273</v>
      </c>
      <c r="C2" s="82" t="s">
        <v>274</v>
      </c>
      <c r="D2" s="82" t="s">
        <v>3</v>
      </c>
      <c r="E2" s="84" t="s">
        <v>275</v>
      </c>
      <c r="F2" t="s">
        <v>276</v>
      </c>
      <c r="G2" t="s">
        <v>277</v>
      </c>
      <c r="H2" t="s">
        <v>278</v>
      </c>
      <c r="I2" t="s">
        <v>21</v>
      </c>
      <c r="J2" t="s">
        <v>279</v>
      </c>
      <c r="K2" t="s">
        <v>1</v>
      </c>
      <c r="L2" t="s">
        <v>280</v>
      </c>
      <c r="M2" t="s">
        <v>52</v>
      </c>
      <c r="N2" t="s">
        <v>281</v>
      </c>
      <c r="O2" s="37" t="s">
        <v>282</v>
      </c>
      <c r="Q2" t="s">
        <v>279</v>
      </c>
      <c r="R2" t="s">
        <v>1</v>
      </c>
    </row>
    <row r="3" spans="1:18" x14ac:dyDescent="0.25">
      <c r="A3" s="82" t="str">
        <f>TableBARCH[[#This Row],[Study Package Code]]</f>
        <v>Spec</v>
      </c>
      <c r="B3" s="83">
        <f>TableBARCH[[#This Row],[Ver]]</f>
        <v>0</v>
      </c>
      <c r="C3" s="82"/>
      <c r="D3" s="82" t="str">
        <f>TableBARCH[[#This Row],[Structure Line]]</f>
        <v>Choose a Specialisation</v>
      </c>
      <c r="E3" s="84" t="str">
        <f>TableBARCH[[#This Row],[Credit Points]]</f>
        <v/>
      </c>
      <c r="F3">
        <v>1</v>
      </c>
      <c r="G3" t="s">
        <v>283</v>
      </c>
      <c r="H3">
        <v>0</v>
      </c>
      <c r="I3" t="s">
        <v>284</v>
      </c>
      <c r="J3" t="s">
        <v>61</v>
      </c>
      <c r="K3">
        <v>0</v>
      </c>
      <c r="L3" t="s">
        <v>285</v>
      </c>
      <c r="M3" t="s">
        <v>291</v>
      </c>
      <c r="N3" s="61"/>
      <c r="O3" s="61"/>
      <c r="Q3" t="s">
        <v>61</v>
      </c>
      <c r="R3">
        <v>0</v>
      </c>
    </row>
    <row r="4" spans="1:18" x14ac:dyDescent="0.25">
      <c r="A4" s="82" t="str">
        <f>TableBARCH[[#This Row],[Study Package Code]]</f>
        <v>COMS1010</v>
      </c>
      <c r="B4" s="83">
        <f>TableBARCH[[#This Row],[Ver]]</f>
        <v>2</v>
      </c>
      <c r="C4" s="82"/>
      <c r="D4" s="82" t="str">
        <f>TableBARCH[[#This Row],[Structure Line]]</f>
        <v>Academic and Professional Communications</v>
      </c>
      <c r="E4" s="84">
        <f>TableBARCH[[#This Row],[Credit Points]]</f>
        <v>25</v>
      </c>
      <c r="F4">
        <v>2</v>
      </c>
      <c r="G4" t="s">
        <v>283</v>
      </c>
      <c r="H4">
        <v>1</v>
      </c>
      <c r="I4" t="s">
        <v>286</v>
      </c>
      <c r="J4" t="s">
        <v>41</v>
      </c>
      <c r="K4">
        <v>2</v>
      </c>
      <c r="L4" t="s">
        <v>226</v>
      </c>
      <c r="M4">
        <v>25</v>
      </c>
      <c r="N4" s="61">
        <v>42917</v>
      </c>
      <c r="O4" s="61"/>
      <c r="Q4" t="s">
        <v>41</v>
      </c>
      <c r="R4">
        <v>2</v>
      </c>
    </row>
    <row r="5" spans="1:18" x14ac:dyDescent="0.25">
      <c r="A5" s="82" t="str">
        <f>TableBARCH[[#This Row],[Study Package Code]]</f>
        <v>ARCH1018</v>
      </c>
      <c r="B5" s="83">
        <f>TableBARCH[[#This Row],[Ver]]</f>
        <v>3</v>
      </c>
      <c r="C5" s="82"/>
      <c r="D5" s="82" t="str">
        <f>TableBARCH[[#This Row],[Structure Line]]</f>
        <v>Architecture and Interior Architecture Methods 1A - Analogue Literacy</v>
      </c>
      <c r="E5" s="84">
        <f>TableBARCH[[#This Row],[Credit Points]]</f>
        <v>25</v>
      </c>
      <c r="F5">
        <v>3</v>
      </c>
      <c r="G5" t="s">
        <v>283</v>
      </c>
      <c r="H5">
        <v>1</v>
      </c>
      <c r="I5" t="s">
        <v>286</v>
      </c>
      <c r="J5" t="s">
        <v>45</v>
      </c>
      <c r="K5">
        <v>3</v>
      </c>
      <c r="L5" t="s">
        <v>199</v>
      </c>
      <c r="M5">
        <v>25</v>
      </c>
      <c r="N5" s="61">
        <v>44562</v>
      </c>
      <c r="O5" s="61"/>
      <c r="Q5" t="s">
        <v>45</v>
      </c>
      <c r="R5">
        <v>3</v>
      </c>
    </row>
    <row r="6" spans="1:18" x14ac:dyDescent="0.25">
      <c r="A6" s="82" t="str">
        <f>TableBARCH[[#This Row],[Study Package Code]]</f>
        <v>ARCH1004</v>
      </c>
      <c r="B6" s="83">
        <f>TableBARCH[[#This Row],[Ver]]</f>
        <v>2</v>
      </c>
      <c r="C6" s="82"/>
      <c r="D6" s="82" t="str">
        <f>TableBARCH[[#This Row],[Structure Line]]</f>
        <v>Sustainability and Structures in Architecture</v>
      </c>
      <c r="E6" s="84">
        <f>TableBARCH[[#This Row],[Credit Points]]</f>
        <v>25</v>
      </c>
      <c r="F6">
        <v>4</v>
      </c>
      <c r="G6" t="s">
        <v>283</v>
      </c>
      <c r="H6">
        <v>1</v>
      </c>
      <c r="I6" t="s">
        <v>286</v>
      </c>
      <c r="J6" t="s">
        <v>54</v>
      </c>
      <c r="K6">
        <v>2</v>
      </c>
      <c r="L6" t="s">
        <v>195</v>
      </c>
      <c r="M6">
        <v>25</v>
      </c>
      <c r="N6" s="61">
        <v>44562</v>
      </c>
      <c r="O6" s="61"/>
      <c r="Q6" t="s">
        <v>54</v>
      </c>
      <c r="R6">
        <v>2</v>
      </c>
    </row>
    <row r="7" spans="1:18" x14ac:dyDescent="0.25">
      <c r="A7" s="82" t="str">
        <f>TableBARCH[[#This Row],[Study Package Code]]</f>
        <v>ARCH1003</v>
      </c>
      <c r="B7" s="83">
        <f>TableBARCH[[#This Row],[Ver]]</f>
        <v>2</v>
      </c>
      <c r="C7" s="82"/>
      <c r="D7" s="82" t="str">
        <f>TableBARCH[[#This Row],[Structure Line]]</f>
        <v>Reading Architecture Globally</v>
      </c>
      <c r="E7" s="84">
        <f>TableBARCH[[#This Row],[Credit Points]]</f>
        <v>25</v>
      </c>
      <c r="F7">
        <v>5</v>
      </c>
      <c r="G7" t="s">
        <v>283</v>
      </c>
      <c r="H7">
        <v>1</v>
      </c>
      <c r="I7" t="s">
        <v>287</v>
      </c>
      <c r="J7" t="s">
        <v>55</v>
      </c>
      <c r="K7">
        <v>2</v>
      </c>
      <c r="L7" t="s">
        <v>193</v>
      </c>
      <c r="M7">
        <v>25</v>
      </c>
      <c r="N7" s="61">
        <v>44562</v>
      </c>
      <c r="O7" s="61"/>
      <c r="Q7" t="s">
        <v>55</v>
      </c>
      <c r="R7">
        <v>2</v>
      </c>
    </row>
    <row r="8" spans="1:18" x14ac:dyDescent="0.25">
      <c r="A8" s="82" t="str">
        <f>TableBARCH[[#This Row],[Study Package Code]]</f>
        <v>ARCH1015</v>
      </c>
      <c r="B8" s="83">
        <f>TableBARCH[[#This Row],[Ver]]</f>
        <v>3</v>
      </c>
      <c r="C8" s="82"/>
      <c r="D8" s="82" t="str">
        <f>TableBARCH[[#This Row],[Structure Line]]</f>
        <v>Architecture and Interior Architecture Design Studio 1 - Small Structures</v>
      </c>
      <c r="E8" s="84">
        <f>TableBARCH[[#This Row],[Credit Points]]</f>
        <v>25</v>
      </c>
      <c r="F8">
        <v>6</v>
      </c>
      <c r="G8" t="s">
        <v>283</v>
      </c>
      <c r="H8">
        <v>1</v>
      </c>
      <c r="I8" t="s">
        <v>287</v>
      </c>
      <c r="J8" t="s">
        <v>46</v>
      </c>
      <c r="K8">
        <v>3</v>
      </c>
      <c r="L8" t="s">
        <v>196</v>
      </c>
      <c r="M8">
        <v>25</v>
      </c>
      <c r="N8" s="61">
        <v>44562</v>
      </c>
      <c r="O8" s="61"/>
      <c r="Q8" t="s">
        <v>46</v>
      </c>
      <c r="R8">
        <v>3</v>
      </c>
    </row>
    <row r="9" spans="1:18" x14ac:dyDescent="0.25">
      <c r="A9" s="82" t="str">
        <f>TableBARCH[[#This Row],[Study Package Code]]</f>
        <v>ARCH1025</v>
      </c>
      <c r="B9" s="83">
        <f>TableBARCH[[#This Row],[Ver]]</f>
        <v>2</v>
      </c>
      <c r="C9" s="82"/>
      <c r="D9" s="82" t="str">
        <f>TableBARCH[[#This Row],[Structure Line]]</f>
        <v>Architectural Science in Context</v>
      </c>
      <c r="E9" s="84">
        <f>TableBARCH[[#This Row],[Credit Points]]</f>
        <v>25</v>
      </c>
      <c r="F9">
        <v>7</v>
      </c>
      <c r="G9" t="s">
        <v>283</v>
      </c>
      <c r="H9">
        <v>1</v>
      </c>
      <c r="I9" t="s">
        <v>287</v>
      </c>
      <c r="J9" t="s">
        <v>62</v>
      </c>
      <c r="K9">
        <v>2</v>
      </c>
      <c r="L9" t="s">
        <v>200</v>
      </c>
      <c r="M9">
        <v>25</v>
      </c>
      <c r="N9" s="61">
        <v>44562</v>
      </c>
      <c r="O9" s="61"/>
      <c r="Q9" t="s">
        <v>62</v>
      </c>
      <c r="R9">
        <v>2</v>
      </c>
    </row>
    <row r="10" spans="1:18" x14ac:dyDescent="0.25">
      <c r="A10" s="82" t="str">
        <f>TableBARCH[[#This Row],[Study Package Code]]</f>
        <v>ARCH1016</v>
      </c>
      <c r="B10" s="83">
        <f>TableBARCH[[#This Row],[Ver]]</f>
        <v>3</v>
      </c>
      <c r="C10" s="82"/>
      <c r="D10" s="82" t="str">
        <f>TableBARCH[[#This Row],[Structure Line]]</f>
        <v>Architecture and Interior Architecture Methods 1B - Digital Literacy</v>
      </c>
      <c r="E10" s="84">
        <f>TableBARCH[[#This Row],[Credit Points]]</f>
        <v>25</v>
      </c>
      <c r="F10">
        <v>8</v>
      </c>
      <c r="G10" t="s">
        <v>283</v>
      </c>
      <c r="H10">
        <v>1</v>
      </c>
      <c r="I10" t="s">
        <v>287</v>
      </c>
      <c r="J10" t="s">
        <v>43</v>
      </c>
      <c r="K10">
        <v>3</v>
      </c>
      <c r="L10" t="s">
        <v>198</v>
      </c>
      <c r="M10">
        <v>25</v>
      </c>
      <c r="N10" s="61">
        <v>44562</v>
      </c>
      <c r="O10" s="61"/>
      <c r="Q10" t="s">
        <v>43</v>
      </c>
      <c r="R10">
        <v>3</v>
      </c>
    </row>
    <row r="11" spans="1:18" x14ac:dyDescent="0.25">
      <c r="A11" s="82" t="str">
        <f>TableBARCH[[#This Row],[Study Package Code]]</f>
        <v>ARCH2024</v>
      </c>
      <c r="B11" s="83">
        <f>TableBARCH[[#This Row],[Ver]]</f>
        <v>3</v>
      </c>
      <c r="C11" s="82"/>
      <c r="D11" s="82" t="str">
        <f>TableBARCH[[#This Row],[Structure Line]]</f>
        <v>Architecture and Interior Architecture Design Studio 2A - Residential Typology and Grammar</v>
      </c>
      <c r="E11" s="84">
        <f>TableBARCH[[#This Row],[Credit Points]]</f>
        <v>25</v>
      </c>
      <c r="F11">
        <v>9</v>
      </c>
      <c r="G11" t="s">
        <v>283</v>
      </c>
      <c r="H11">
        <v>2</v>
      </c>
      <c r="I11" t="s">
        <v>286</v>
      </c>
      <c r="J11" t="s">
        <v>72</v>
      </c>
      <c r="K11">
        <v>3</v>
      </c>
      <c r="L11" t="s">
        <v>208</v>
      </c>
      <c r="M11">
        <v>25</v>
      </c>
      <c r="N11" s="61">
        <v>44562</v>
      </c>
      <c r="O11" s="61"/>
      <c r="Q11" t="s">
        <v>72</v>
      </c>
      <c r="R11">
        <v>3</v>
      </c>
    </row>
    <row r="12" spans="1:18" x14ac:dyDescent="0.25">
      <c r="A12" s="82" t="str">
        <f>TableBARCH[[#This Row],[Study Package Code]]</f>
        <v>ARCH2025</v>
      </c>
      <c r="B12" s="83">
        <f>TableBARCH[[#This Row],[Ver]]</f>
        <v>3</v>
      </c>
      <c r="C12" s="82"/>
      <c r="D12" s="82" t="str">
        <f>TableBARCH[[#This Row],[Structure Line]]</f>
        <v>Architecture Methods 2A - Digital Fabrication</v>
      </c>
      <c r="E12" s="84">
        <f>TableBARCH[[#This Row],[Credit Points]]</f>
        <v>25</v>
      </c>
      <c r="F12">
        <v>10</v>
      </c>
      <c r="G12" t="s">
        <v>283</v>
      </c>
      <c r="H12">
        <v>2</v>
      </c>
      <c r="I12" t="s">
        <v>286</v>
      </c>
      <c r="J12" t="s">
        <v>78</v>
      </c>
      <c r="K12">
        <v>3</v>
      </c>
      <c r="L12" t="s">
        <v>210</v>
      </c>
      <c r="M12">
        <v>25</v>
      </c>
      <c r="N12" s="61">
        <v>44562</v>
      </c>
      <c r="O12" s="61"/>
      <c r="Q12" t="s">
        <v>78</v>
      </c>
      <c r="R12">
        <v>3</v>
      </c>
    </row>
    <row r="13" spans="1:18" x14ac:dyDescent="0.25">
      <c r="A13" s="82" t="str">
        <f>TableBARCH[[#This Row],[Study Package Code]]</f>
        <v>ARCH2003</v>
      </c>
      <c r="B13" s="83">
        <f>TableBARCH[[#This Row],[Ver]]</f>
        <v>2</v>
      </c>
      <c r="C13" s="82"/>
      <c r="D13" s="82" t="str">
        <f>TableBARCH[[#This Row],[Structure Line]]</f>
        <v>Architectural Documentation and Detailing</v>
      </c>
      <c r="E13" s="84">
        <f>TableBARCH[[#This Row],[Credit Points]]</f>
        <v>25</v>
      </c>
      <c r="F13">
        <v>11</v>
      </c>
      <c r="G13" t="s">
        <v>283</v>
      </c>
      <c r="H13">
        <v>2</v>
      </c>
      <c r="I13" t="s">
        <v>286</v>
      </c>
      <c r="J13" t="s">
        <v>82</v>
      </c>
      <c r="K13">
        <v>2</v>
      </c>
      <c r="L13" t="s">
        <v>201</v>
      </c>
      <c r="M13">
        <v>25</v>
      </c>
      <c r="N13" s="61">
        <v>44562</v>
      </c>
      <c r="O13" s="61"/>
      <c r="Q13" t="s">
        <v>82</v>
      </c>
      <c r="R13">
        <v>2</v>
      </c>
    </row>
    <row r="14" spans="1:18" x14ac:dyDescent="0.25">
      <c r="A14" s="82" t="str">
        <f>TableBARCH[[#This Row],[Study Package Code]]</f>
        <v>ARCH2022</v>
      </c>
      <c r="B14" s="83">
        <f>TableBARCH[[#This Row],[Ver]]</f>
        <v>3</v>
      </c>
      <c r="C14" s="82"/>
      <c r="D14" s="82" t="str">
        <f>TableBARCH[[#This Row],[Structure Line]]</f>
        <v>Architecture Design Studio 2B - Regional Studio</v>
      </c>
      <c r="E14" s="84">
        <f>TableBARCH[[#This Row],[Credit Points]]</f>
        <v>25</v>
      </c>
      <c r="F14">
        <v>12</v>
      </c>
      <c r="G14" t="s">
        <v>283</v>
      </c>
      <c r="H14">
        <v>2</v>
      </c>
      <c r="I14" t="s">
        <v>287</v>
      </c>
      <c r="J14" t="s">
        <v>74</v>
      </c>
      <c r="K14">
        <v>3</v>
      </c>
      <c r="L14" t="s">
        <v>205</v>
      </c>
      <c r="M14">
        <v>25</v>
      </c>
      <c r="N14" s="61">
        <v>44562</v>
      </c>
      <c r="O14" s="61"/>
      <c r="Q14" t="s">
        <v>74</v>
      </c>
      <c r="R14">
        <v>3</v>
      </c>
    </row>
    <row r="15" spans="1:18" x14ac:dyDescent="0.25">
      <c r="A15" s="82" t="str">
        <f>TableBARCH[[#This Row],[Study Package Code]]</f>
        <v>ARCH2023</v>
      </c>
      <c r="B15" s="83">
        <f>TableBARCH[[#This Row],[Ver]]</f>
        <v>3</v>
      </c>
      <c r="C15" s="82"/>
      <c r="D15" s="82" t="str">
        <f>TableBARCH[[#This Row],[Structure Line]]</f>
        <v>Architecture Methods 2B - Information Visualisation</v>
      </c>
      <c r="E15" s="84">
        <f>TableBARCH[[#This Row],[Credit Points]]</f>
        <v>25</v>
      </c>
      <c r="F15">
        <v>13</v>
      </c>
      <c r="G15" t="s">
        <v>283</v>
      </c>
      <c r="H15">
        <v>2</v>
      </c>
      <c r="I15" t="s">
        <v>287</v>
      </c>
      <c r="J15" t="s">
        <v>79</v>
      </c>
      <c r="K15">
        <v>3</v>
      </c>
      <c r="L15" t="s">
        <v>207</v>
      </c>
      <c r="M15">
        <v>25</v>
      </c>
      <c r="N15" s="61">
        <v>44562</v>
      </c>
      <c r="O15" s="61"/>
      <c r="Q15" t="s">
        <v>79</v>
      </c>
      <c r="R15">
        <v>3</v>
      </c>
    </row>
    <row r="16" spans="1:18" x14ac:dyDescent="0.25">
      <c r="A16" s="82" t="str">
        <f>TableBARCH[[#This Row],[Study Package Code]]</f>
        <v>ARCH2004</v>
      </c>
      <c r="B16" s="83">
        <f>TableBARCH[[#This Row],[Ver]]</f>
        <v>2</v>
      </c>
      <c r="C16" s="82"/>
      <c r="D16" s="82" t="str">
        <f>TableBARCH[[#This Row],[Structure Line]]</f>
        <v>Architecture History and Identity</v>
      </c>
      <c r="E16" s="84">
        <f>TableBARCH[[#This Row],[Credit Points]]</f>
        <v>25</v>
      </c>
      <c r="F16">
        <v>14</v>
      </c>
      <c r="G16" t="s">
        <v>283</v>
      </c>
      <c r="H16">
        <v>2</v>
      </c>
      <c r="I16" t="s">
        <v>287</v>
      </c>
      <c r="J16" t="s">
        <v>83</v>
      </c>
      <c r="K16">
        <v>2</v>
      </c>
      <c r="L16" t="s">
        <v>202</v>
      </c>
      <c r="M16">
        <v>25</v>
      </c>
      <c r="N16" s="61">
        <v>44562</v>
      </c>
      <c r="O16" s="61"/>
      <c r="Q16" t="s">
        <v>83</v>
      </c>
      <c r="R16">
        <v>2</v>
      </c>
    </row>
    <row r="17" spans="1:18" x14ac:dyDescent="0.25">
      <c r="A17" s="82" t="str">
        <f>TableBARCH[[#This Row],[Study Package Code]]</f>
        <v>ARCH3026</v>
      </c>
      <c r="B17" s="83">
        <f>TableBARCH[[#This Row],[Ver]]</f>
        <v>3</v>
      </c>
      <c r="C17" s="82"/>
      <c r="D17" s="82" t="str">
        <f>TableBARCH[[#This Row],[Structure Line]]</f>
        <v>Architecture Design Studio 3A - Multi Residential</v>
      </c>
      <c r="E17" s="84">
        <f>TableBARCH[[#This Row],[Credit Points]]</f>
        <v>25</v>
      </c>
      <c r="F17">
        <v>15</v>
      </c>
      <c r="G17" t="s">
        <v>283</v>
      </c>
      <c r="H17">
        <v>3</v>
      </c>
      <c r="I17" t="s">
        <v>286</v>
      </c>
      <c r="J17" t="s">
        <v>95</v>
      </c>
      <c r="K17">
        <v>3</v>
      </c>
      <c r="L17" t="s">
        <v>220</v>
      </c>
      <c r="M17">
        <v>25</v>
      </c>
      <c r="N17" s="61">
        <v>44562</v>
      </c>
      <c r="O17" s="61"/>
      <c r="Q17" t="s">
        <v>95</v>
      </c>
      <c r="R17">
        <v>3</v>
      </c>
    </row>
    <row r="18" spans="1:18" x14ac:dyDescent="0.25">
      <c r="A18" s="82" t="str">
        <f>TableBARCH[[#This Row],[Study Package Code]]</f>
        <v>ARCH3027</v>
      </c>
      <c r="B18" s="83">
        <f>TableBARCH[[#This Row],[Ver]]</f>
        <v>3</v>
      </c>
      <c r="C18" s="82"/>
      <c r="D18" s="82" t="str">
        <f>TableBARCH[[#This Row],[Structure Line]]</f>
        <v>Architecture Methods 3A - Digital Futures</v>
      </c>
      <c r="E18" s="84">
        <f>TableBARCH[[#This Row],[Credit Points]]</f>
        <v>25</v>
      </c>
      <c r="F18">
        <v>16</v>
      </c>
      <c r="G18" t="s">
        <v>283</v>
      </c>
      <c r="H18">
        <v>3</v>
      </c>
      <c r="I18" t="s">
        <v>286</v>
      </c>
      <c r="J18" t="s">
        <v>98</v>
      </c>
      <c r="K18">
        <v>3</v>
      </c>
      <c r="L18" t="s">
        <v>221</v>
      </c>
      <c r="M18">
        <v>25</v>
      </c>
      <c r="N18" s="61">
        <v>44562</v>
      </c>
      <c r="O18" s="61"/>
      <c r="Q18" t="s">
        <v>98</v>
      </c>
      <c r="R18">
        <v>3</v>
      </c>
    </row>
    <row r="19" spans="1:18" x14ac:dyDescent="0.25">
      <c r="A19" s="82" t="str">
        <f>TableBARCH[[#This Row],[Study Package Code]]</f>
        <v>ARCH3006</v>
      </c>
      <c r="B19" s="83">
        <f>TableBARCH[[#This Row],[Ver]]</f>
        <v>3</v>
      </c>
      <c r="C19" s="82"/>
      <c r="D19" s="82" t="str">
        <f>TableBARCH[[#This Row],[Structure Line]]</f>
        <v>Environmental and Building Systems in Architecture</v>
      </c>
      <c r="E19" s="84">
        <f>TableBARCH[[#This Row],[Credit Points]]</f>
        <v>25</v>
      </c>
      <c r="F19">
        <v>17</v>
      </c>
      <c r="G19" t="s">
        <v>283</v>
      </c>
      <c r="H19">
        <v>3</v>
      </c>
      <c r="I19" t="s">
        <v>286</v>
      </c>
      <c r="J19" t="s">
        <v>100</v>
      </c>
      <c r="K19">
        <v>3</v>
      </c>
      <c r="L19" t="s">
        <v>212</v>
      </c>
      <c r="M19">
        <v>25</v>
      </c>
      <c r="N19" s="61">
        <v>44562</v>
      </c>
      <c r="O19" s="61"/>
      <c r="Q19" t="s">
        <v>100</v>
      </c>
      <c r="R19">
        <v>3</v>
      </c>
    </row>
    <row r="20" spans="1:18" x14ac:dyDescent="0.25">
      <c r="A20" s="82" t="str">
        <f>TableBARCH[[#This Row],[Study Package Code]]</f>
        <v>ARCH3009</v>
      </c>
      <c r="B20" s="83">
        <f>TableBARCH[[#This Row],[Ver]]</f>
        <v>2</v>
      </c>
      <c r="C20" s="82"/>
      <c r="D20" s="82" t="str">
        <f>TableBARCH[[#This Row],[Structure Line]]</f>
        <v>Twentieth and Twenty-First Century Architectural Theories</v>
      </c>
      <c r="E20" s="84">
        <f>TableBARCH[[#This Row],[Credit Points]]</f>
        <v>25</v>
      </c>
      <c r="F20">
        <v>18</v>
      </c>
      <c r="G20" t="s">
        <v>283</v>
      </c>
      <c r="H20">
        <v>3</v>
      </c>
      <c r="I20" t="s">
        <v>286</v>
      </c>
      <c r="J20" t="s">
        <v>102</v>
      </c>
      <c r="K20">
        <v>2</v>
      </c>
      <c r="L20" t="s">
        <v>217</v>
      </c>
      <c r="M20">
        <v>25</v>
      </c>
      <c r="N20" s="61">
        <v>44562</v>
      </c>
      <c r="O20" s="61"/>
      <c r="Q20" t="s">
        <v>102</v>
      </c>
      <c r="R20">
        <v>2</v>
      </c>
    </row>
    <row r="21" spans="1:18" x14ac:dyDescent="0.25">
      <c r="A21" s="82" t="str">
        <f>TableBARCH[[#This Row],[Study Package Code]]</f>
        <v>ARCH3024</v>
      </c>
      <c r="B21" s="83">
        <f>TableBARCH[[#This Row],[Ver]]</f>
        <v>3</v>
      </c>
      <c r="C21" s="82"/>
      <c r="D21" s="82" t="str">
        <f>TableBARCH[[#This Row],[Structure Line]]</f>
        <v>Architecture Design Studio 3B - Civic</v>
      </c>
      <c r="E21" s="84">
        <f>TableBARCH[[#This Row],[Credit Points]]</f>
        <v>25</v>
      </c>
      <c r="F21">
        <v>19</v>
      </c>
      <c r="G21" t="s">
        <v>283</v>
      </c>
      <c r="H21">
        <v>3</v>
      </c>
      <c r="I21" t="s">
        <v>287</v>
      </c>
      <c r="J21" t="s">
        <v>97</v>
      </c>
      <c r="K21">
        <v>3</v>
      </c>
      <c r="L21" t="s">
        <v>218</v>
      </c>
      <c r="M21">
        <v>25</v>
      </c>
      <c r="N21" s="61">
        <v>44562</v>
      </c>
      <c r="O21" s="61"/>
      <c r="Q21" t="s">
        <v>97</v>
      </c>
      <c r="R21">
        <v>3</v>
      </c>
    </row>
    <row r="22" spans="1:18" x14ac:dyDescent="0.25">
      <c r="A22" s="82" t="str">
        <f>TableBARCH[[#This Row],[Study Package Code]]</f>
        <v>ARCH3007</v>
      </c>
      <c r="B22" s="83">
        <f>TableBARCH[[#This Row],[Ver]]</f>
        <v>4</v>
      </c>
      <c r="C22" s="82"/>
      <c r="D22" s="82" t="str">
        <f>TableBARCH[[#This Row],[Structure Line]]</f>
        <v>Advanced Construction and Sustainability</v>
      </c>
      <c r="E22" s="84">
        <f>TableBARCH[[#This Row],[Credit Points]]</f>
        <v>25</v>
      </c>
      <c r="F22">
        <v>20</v>
      </c>
      <c r="G22" t="s">
        <v>283</v>
      </c>
      <c r="H22">
        <v>3</v>
      </c>
      <c r="I22" t="s">
        <v>287</v>
      </c>
      <c r="J22" t="s">
        <v>99</v>
      </c>
      <c r="K22">
        <v>4</v>
      </c>
      <c r="L22" t="s">
        <v>309</v>
      </c>
      <c r="M22">
        <v>25</v>
      </c>
      <c r="N22" s="61">
        <v>45658</v>
      </c>
      <c r="O22" s="61"/>
      <c r="Q22" t="s">
        <v>99</v>
      </c>
      <c r="R22">
        <v>3</v>
      </c>
    </row>
    <row r="23" spans="1:18" x14ac:dyDescent="0.25">
      <c r="A23" s="82" t="str">
        <f>TableBARCH[[#This Row],[Study Package Code]]</f>
        <v>ARCH3008</v>
      </c>
      <c r="B23" s="83">
        <f>TableBARCH[[#This Row],[Ver]]</f>
        <v>1</v>
      </c>
      <c r="C23" s="82"/>
      <c r="D23" s="82" t="str">
        <f>TableBARCH[[#This Row],[Structure Line]]</f>
        <v>Urban Contexts</v>
      </c>
      <c r="E23" s="84">
        <f>TableBARCH[[#This Row],[Credit Points]]</f>
        <v>25</v>
      </c>
      <c r="F23">
        <v>21</v>
      </c>
      <c r="G23" t="s">
        <v>283</v>
      </c>
      <c r="H23">
        <v>3</v>
      </c>
      <c r="I23" t="s">
        <v>287</v>
      </c>
      <c r="J23" t="s">
        <v>101</v>
      </c>
      <c r="K23">
        <v>1</v>
      </c>
      <c r="L23" t="s">
        <v>216</v>
      </c>
      <c r="M23">
        <v>25</v>
      </c>
      <c r="N23" s="61">
        <v>42005</v>
      </c>
      <c r="O23" s="61"/>
      <c r="Q23" t="s">
        <v>101</v>
      </c>
      <c r="R23">
        <v>1</v>
      </c>
    </row>
    <row r="24" spans="1:18" x14ac:dyDescent="0.25">
      <c r="A24" s="82" t="str">
        <f>TableBARCH[[#This Row],[Study Package Code]]</f>
        <v>SPUC-ANGAD</v>
      </c>
      <c r="B24" s="83">
        <f>TableBARCH[[#This Row],[Ver]]</f>
        <v>1</v>
      </c>
      <c r="C24" s="82"/>
      <c r="D24" s="82" t="str">
        <f>TableBARCH[[#This Row],[Structure Line]]</f>
        <v>Animation and Game Architecture Design Specialisation</v>
      </c>
      <c r="E24" s="84">
        <f>TableBARCH[[#This Row],[Credit Points]]</f>
        <v>100</v>
      </c>
      <c r="F24">
        <v>1</v>
      </c>
      <c r="G24" t="s">
        <v>283</v>
      </c>
      <c r="H24">
        <v>0</v>
      </c>
      <c r="I24" t="s">
        <v>284</v>
      </c>
      <c r="J24" t="s">
        <v>66</v>
      </c>
      <c r="K24">
        <v>1</v>
      </c>
      <c r="L24" t="s">
        <v>65</v>
      </c>
      <c r="M24">
        <v>100</v>
      </c>
      <c r="N24" s="61">
        <v>44562</v>
      </c>
      <c r="O24" s="61"/>
      <c r="Q24" t="s">
        <v>66</v>
      </c>
      <c r="R24">
        <v>1</v>
      </c>
    </row>
    <row r="25" spans="1:18" x14ac:dyDescent="0.25">
      <c r="A25" s="82" t="str">
        <f>TableBARCH[[#This Row],[Study Package Code]]</f>
        <v>SPUC-CONMS</v>
      </c>
      <c r="B25" s="83">
        <f>TableBARCH[[#This Row],[Ver]]</f>
        <v>1</v>
      </c>
      <c r="C25" s="82"/>
      <c r="D25" s="82" t="str">
        <f>TableBARCH[[#This Row],[Structure Line]]</f>
        <v>Construction Management Specialisation</v>
      </c>
      <c r="E25" s="84">
        <f>TableBARCH[[#This Row],[Credit Points]]</f>
        <v>100</v>
      </c>
      <c r="F25">
        <v>1</v>
      </c>
      <c r="G25" t="s">
        <v>283</v>
      </c>
      <c r="H25">
        <v>0</v>
      </c>
      <c r="I25" t="s">
        <v>284</v>
      </c>
      <c r="J25" t="s">
        <v>70</v>
      </c>
      <c r="K25">
        <v>1</v>
      </c>
      <c r="L25" t="s">
        <v>69</v>
      </c>
      <c r="M25">
        <v>100</v>
      </c>
      <c r="N25" s="61">
        <v>44197</v>
      </c>
      <c r="O25" s="61"/>
      <c r="Q25" t="s">
        <v>70</v>
      </c>
      <c r="R25">
        <v>1</v>
      </c>
    </row>
    <row r="26" spans="1:18" x14ac:dyDescent="0.25">
      <c r="A26" s="82" t="str">
        <f>TableBARCH[[#This Row],[Study Package Code]]</f>
        <v>SPUC-DSGNF</v>
      </c>
      <c r="B26" s="83">
        <f>TableBARCH[[#This Row],[Ver]]</f>
        <v>2</v>
      </c>
      <c r="C26" s="82"/>
      <c r="D26" s="82" t="str">
        <f>TableBARCH[[#This Row],[Structure Line]]</f>
        <v>Designing Fashion Specialisation</v>
      </c>
      <c r="E26" s="84">
        <f>TableBARCH[[#This Row],[Credit Points]]</f>
        <v>100</v>
      </c>
      <c r="F26">
        <v>1</v>
      </c>
      <c r="G26" t="s">
        <v>283</v>
      </c>
      <c r="H26">
        <v>0</v>
      </c>
      <c r="I26" t="s">
        <v>284</v>
      </c>
      <c r="J26" t="s">
        <v>76</v>
      </c>
      <c r="K26">
        <v>2</v>
      </c>
      <c r="L26" t="s">
        <v>75</v>
      </c>
      <c r="M26">
        <v>100</v>
      </c>
      <c r="N26" s="61">
        <v>44927</v>
      </c>
      <c r="O26" s="61"/>
      <c r="Q26" t="s">
        <v>76</v>
      </c>
      <c r="R26">
        <v>2</v>
      </c>
    </row>
    <row r="27" spans="1:18" x14ac:dyDescent="0.25">
      <c r="A27" s="82" t="str">
        <f>TableBARCH[[#This Row],[Study Package Code]]</f>
        <v>SPUC-DSGNV</v>
      </c>
      <c r="B27" s="83">
        <f>TableBARCH[[#This Row],[Ver]]</f>
        <v>1</v>
      </c>
      <c r="C27" s="82"/>
      <c r="D27" s="82" t="str">
        <f>TableBARCH[[#This Row],[Structure Line]]</f>
        <v>Design Thinking and Visual Communication Specialisation</v>
      </c>
      <c r="E27" s="84">
        <f>TableBARCH[[#This Row],[Credit Points]]</f>
        <v>100</v>
      </c>
      <c r="F27">
        <v>1</v>
      </c>
      <c r="G27" t="s">
        <v>283</v>
      </c>
      <c r="H27">
        <v>0</v>
      </c>
      <c r="I27" t="s">
        <v>284</v>
      </c>
      <c r="J27" t="s">
        <v>81</v>
      </c>
      <c r="K27">
        <v>1</v>
      </c>
      <c r="L27" t="s">
        <v>80</v>
      </c>
      <c r="M27">
        <v>100</v>
      </c>
      <c r="N27" s="61">
        <v>44197</v>
      </c>
      <c r="O27" s="61"/>
      <c r="Q27" t="s">
        <v>81</v>
      </c>
      <c r="R27">
        <v>1</v>
      </c>
    </row>
    <row r="28" spans="1:18" x14ac:dyDescent="0.25">
      <c r="A28" s="82" t="str">
        <f>TableBARCH[[#This Row],[Study Package Code]]</f>
        <v>SPUC-INARS</v>
      </c>
      <c r="B28" s="83">
        <f>TableBARCH[[#This Row],[Ver]]</f>
        <v>3</v>
      </c>
      <c r="C28" s="82"/>
      <c r="D28" s="82" t="str">
        <f>TableBARCH[[#This Row],[Structure Line]]</f>
        <v>Interior Architecture Specialisation</v>
      </c>
      <c r="E28" s="84">
        <f>TableBARCH[[#This Row],[Credit Points]]</f>
        <v>100</v>
      </c>
      <c r="F28">
        <v>1</v>
      </c>
      <c r="G28" t="s">
        <v>283</v>
      </c>
      <c r="H28">
        <v>0</v>
      </c>
      <c r="I28" t="s">
        <v>284</v>
      </c>
      <c r="J28" t="s">
        <v>84</v>
      </c>
      <c r="K28">
        <v>3</v>
      </c>
      <c r="L28" t="s">
        <v>14</v>
      </c>
      <c r="M28">
        <v>100</v>
      </c>
      <c r="N28" s="61">
        <v>45292</v>
      </c>
      <c r="O28" s="61"/>
      <c r="Q28" t="s">
        <v>84</v>
      </c>
      <c r="R28">
        <v>3</v>
      </c>
    </row>
    <row r="29" spans="1:18" x14ac:dyDescent="0.25">
      <c r="A29" s="82" t="str">
        <f>TableBARCH[[#This Row],[Study Package Code]]</f>
        <v>SPUC-PRINP</v>
      </c>
      <c r="B29" s="83">
        <f>TableBARCH[[#This Row],[Ver]]</f>
        <v>1</v>
      </c>
      <c r="C29" s="82"/>
      <c r="D29" s="82" t="str">
        <f>TableBARCH[[#This Row],[Structure Line]]</f>
        <v>Principles of Planning Specialisation</v>
      </c>
      <c r="E29" s="84">
        <f>TableBARCH[[#This Row],[Credit Points]]</f>
        <v>100</v>
      </c>
      <c r="F29">
        <v>1</v>
      </c>
      <c r="G29" t="s">
        <v>283</v>
      </c>
      <c r="H29">
        <v>0</v>
      </c>
      <c r="I29" t="s">
        <v>284</v>
      </c>
      <c r="J29" t="s">
        <v>86</v>
      </c>
      <c r="K29">
        <v>1</v>
      </c>
      <c r="L29" t="s">
        <v>85</v>
      </c>
      <c r="M29">
        <v>100</v>
      </c>
      <c r="N29" s="61">
        <v>44197</v>
      </c>
      <c r="O29" s="61"/>
      <c r="Q29" t="s">
        <v>86</v>
      </c>
      <c r="R29">
        <v>1</v>
      </c>
    </row>
    <row r="30" spans="1:18" x14ac:dyDescent="0.25">
      <c r="A30" s="82"/>
      <c r="B30" s="83"/>
      <c r="C30" s="82"/>
      <c r="D30" s="82"/>
      <c r="E30" s="83"/>
    </row>
    <row r="31" spans="1:18" x14ac:dyDescent="0.25">
      <c r="A31" s="81"/>
      <c r="B31" s="80"/>
      <c r="C31" s="81"/>
      <c r="D31" s="81"/>
      <c r="E31" s="80"/>
      <c r="F31" s="28"/>
      <c r="G31" s="29" t="s">
        <v>270</v>
      </c>
      <c r="H31" s="94">
        <v>44562</v>
      </c>
      <c r="I31" s="29"/>
      <c r="J31" s="95" t="s">
        <v>66</v>
      </c>
      <c r="K31" s="96" t="s">
        <v>67</v>
      </c>
      <c r="L31" s="36" t="s">
        <v>65</v>
      </c>
      <c r="M31" s="29"/>
      <c r="N31" s="60" t="s">
        <v>271</v>
      </c>
      <c r="O31" s="37">
        <v>45533</v>
      </c>
    </row>
    <row r="32" spans="1:18" x14ac:dyDescent="0.25">
      <c r="A32" s="82" t="s">
        <v>0</v>
      </c>
      <c r="B32" s="83" t="s">
        <v>273</v>
      </c>
      <c r="C32" s="82" t="s">
        <v>274</v>
      </c>
      <c r="D32" s="82" t="s">
        <v>3</v>
      </c>
      <c r="E32" s="84" t="s">
        <v>275</v>
      </c>
      <c r="F32" t="s">
        <v>276</v>
      </c>
      <c r="G32" t="s">
        <v>277</v>
      </c>
      <c r="H32" t="s">
        <v>278</v>
      </c>
      <c r="I32" t="s">
        <v>21</v>
      </c>
      <c r="J32" t="s">
        <v>279</v>
      </c>
      <c r="K32" t="s">
        <v>1</v>
      </c>
      <c r="L32" t="s">
        <v>280</v>
      </c>
      <c r="M32" t="s">
        <v>52</v>
      </c>
      <c r="N32" t="s">
        <v>281</v>
      </c>
      <c r="O32" s="37" t="s">
        <v>282</v>
      </c>
      <c r="Q32" t="s">
        <v>279</v>
      </c>
      <c r="R32" t="s">
        <v>1</v>
      </c>
    </row>
    <row r="33" spans="1:18" x14ac:dyDescent="0.25">
      <c r="A33" s="82" t="str">
        <f>TableSPUCANGAD[[#This Row],[Study Package Code]]</f>
        <v>GRDE1001</v>
      </c>
      <c r="B33" s="83">
        <f>TableSPUCANGAD[[#This Row],[Ver]]</f>
        <v>1</v>
      </c>
      <c r="C33" s="82"/>
      <c r="D33" s="82" t="str">
        <f>TableSPUCANGAD[[#This Row],[Structure Line]]</f>
        <v>Animation Design Introduction</v>
      </c>
      <c r="E33" s="84">
        <f>TableSPUCANGAD[[#This Row],[Credit Points]]</f>
        <v>25</v>
      </c>
      <c r="F33">
        <v>1</v>
      </c>
      <c r="G33" t="s">
        <v>283</v>
      </c>
      <c r="H33">
        <v>1</v>
      </c>
      <c r="I33" t="s">
        <v>284</v>
      </c>
      <c r="J33" t="s">
        <v>120</v>
      </c>
      <c r="K33">
        <v>1</v>
      </c>
      <c r="L33" t="s">
        <v>230</v>
      </c>
      <c r="M33">
        <v>25</v>
      </c>
      <c r="N33" s="61">
        <v>42005</v>
      </c>
      <c r="O33" s="61"/>
      <c r="Q33" t="s">
        <v>120</v>
      </c>
      <c r="R33">
        <v>1</v>
      </c>
    </row>
    <row r="34" spans="1:18" x14ac:dyDescent="0.25">
      <c r="A34" s="82" t="str">
        <f>TableSPUCANGAD[[#This Row],[Study Package Code]]</f>
        <v>GRDE1020</v>
      </c>
      <c r="B34" s="83">
        <f>TableSPUCANGAD[[#This Row],[Ver]]</f>
        <v>1</v>
      </c>
      <c r="C34" s="82"/>
      <c r="D34" s="82" t="str">
        <f>TableSPUCANGAD[[#This Row],[Structure Line]]</f>
        <v>Game Design Introduction</v>
      </c>
      <c r="E34" s="84">
        <f>TableSPUCANGAD[[#This Row],[Credit Points]]</f>
        <v>25</v>
      </c>
      <c r="F34">
        <v>2</v>
      </c>
      <c r="G34" t="s">
        <v>283</v>
      </c>
      <c r="H34">
        <v>1</v>
      </c>
      <c r="I34" t="s">
        <v>284</v>
      </c>
      <c r="J34" t="s">
        <v>127</v>
      </c>
      <c r="K34">
        <v>1</v>
      </c>
      <c r="L34" t="s">
        <v>234</v>
      </c>
      <c r="M34">
        <v>25</v>
      </c>
      <c r="N34" s="61">
        <v>42736</v>
      </c>
      <c r="O34" s="61"/>
      <c r="Q34" t="s">
        <v>127</v>
      </c>
      <c r="R34">
        <v>1</v>
      </c>
    </row>
    <row r="35" spans="1:18" x14ac:dyDescent="0.25">
      <c r="A35" s="82" t="str">
        <f>TableSPUCANGAD[[#This Row],[Study Package Code]]</f>
        <v>GRDE2037</v>
      </c>
      <c r="B35" s="83">
        <f>TableSPUCANGAD[[#This Row],[Ver]]</f>
        <v>2</v>
      </c>
      <c r="C35" s="82"/>
      <c r="D35" s="82" t="str">
        <f>TableSPUCANGAD[[#This Row],[Structure Line]]</f>
        <v>3D Level Design</v>
      </c>
      <c r="E35" s="84">
        <f>TableSPUCANGAD[[#This Row],[Credit Points]]</f>
        <v>25</v>
      </c>
      <c r="F35">
        <v>3</v>
      </c>
      <c r="G35" t="s">
        <v>283</v>
      </c>
      <c r="H35">
        <v>2</v>
      </c>
      <c r="I35" t="s">
        <v>284</v>
      </c>
      <c r="J35" t="s">
        <v>134</v>
      </c>
      <c r="K35">
        <v>2</v>
      </c>
      <c r="L35" t="s">
        <v>237</v>
      </c>
      <c r="M35">
        <v>25</v>
      </c>
      <c r="N35" s="61">
        <v>43466</v>
      </c>
      <c r="O35" s="61"/>
      <c r="Q35" t="s">
        <v>134</v>
      </c>
      <c r="R35">
        <v>2</v>
      </c>
    </row>
    <row r="36" spans="1:18" x14ac:dyDescent="0.25">
      <c r="A36" s="82" t="str">
        <f>TableSPUCANGAD[[#This Row],[Study Package Code]]</f>
        <v>AC-ANGAD</v>
      </c>
      <c r="B36" s="83">
        <f>TableSPUCANGAD[[#This Row],[Ver]]</f>
        <v>0</v>
      </c>
      <c r="C36" s="82"/>
      <c r="D36" s="82" t="str">
        <f>TableSPUCANGAD[[#This Row],[Structure Line]]</f>
        <v>Choose GRDE3030 or WORK3000</v>
      </c>
      <c r="E36" s="84">
        <f>TableSPUCANGAD[[#This Row],[Credit Points]]</f>
        <v>25</v>
      </c>
      <c r="F36">
        <v>4</v>
      </c>
      <c r="G36" t="s">
        <v>283</v>
      </c>
      <c r="H36">
        <v>3</v>
      </c>
      <c r="I36" t="s">
        <v>284</v>
      </c>
      <c r="J36" t="s">
        <v>146</v>
      </c>
      <c r="K36">
        <v>0</v>
      </c>
      <c r="L36" t="s">
        <v>288</v>
      </c>
      <c r="M36">
        <v>25</v>
      </c>
      <c r="N36" s="61"/>
      <c r="O36" s="61"/>
      <c r="Q36" t="s">
        <v>146</v>
      </c>
    </row>
    <row r="37" spans="1:18" x14ac:dyDescent="0.25">
      <c r="A37" s="82" t="str">
        <f>TableSPUCANGAD[[#This Row],[Study Package Code]]</f>
        <v>GRDE3030</v>
      </c>
      <c r="B37" s="83">
        <f>TableSPUCANGAD[[#This Row],[Ver]]</f>
        <v>2</v>
      </c>
      <c r="C37" s="82"/>
      <c r="D37" s="82" t="str">
        <f>TableSPUCANGAD[[#This Row],[Structure Line]]</f>
        <v>Industry Project Development</v>
      </c>
      <c r="E37" s="84">
        <f>TableSPUCANGAD[[#This Row],[Credit Points]]</f>
        <v>25</v>
      </c>
      <c r="F37">
        <v>4</v>
      </c>
      <c r="G37" t="s">
        <v>283</v>
      </c>
      <c r="H37">
        <v>3</v>
      </c>
      <c r="I37" t="s">
        <v>284</v>
      </c>
      <c r="J37" t="s">
        <v>150</v>
      </c>
      <c r="K37">
        <v>2</v>
      </c>
      <c r="L37" t="s">
        <v>239</v>
      </c>
      <c r="M37">
        <v>25</v>
      </c>
      <c r="N37" s="61">
        <v>43831</v>
      </c>
      <c r="O37" s="61"/>
      <c r="Q37" t="s">
        <v>150</v>
      </c>
      <c r="R37">
        <v>2</v>
      </c>
    </row>
    <row r="38" spans="1:18" x14ac:dyDescent="0.25">
      <c r="A38" s="82" t="str">
        <f>TableSPUCANGAD[[#This Row],[Study Package Code]]</f>
        <v>WORK3000</v>
      </c>
      <c r="B38" s="83">
        <f>TableSPUCANGAD[[#This Row],[Ver]]</f>
        <v>2</v>
      </c>
      <c r="C38" s="82"/>
      <c r="D38" s="82" t="str">
        <f>TableSPUCANGAD[[#This Row],[Structure Line]]</f>
        <v>Work Based Project</v>
      </c>
      <c r="E38" s="84">
        <f>TableSPUCANGAD[[#This Row],[Credit Points]]</f>
        <v>25</v>
      </c>
      <c r="F38">
        <v>4</v>
      </c>
      <c r="G38" t="s">
        <v>283</v>
      </c>
      <c r="H38">
        <v>3</v>
      </c>
      <c r="I38" t="s">
        <v>284</v>
      </c>
      <c r="J38" t="s">
        <v>154</v>
      </c>
      <c r="K38">
        <v>2</v>
      </c>
      <c r="L38" t="s">
        <v>289</v>
      </c>
      <c r="M38">
        <v>25</v>
      </c>
      <c r="N38" s="61">
        <v>42736</v>
      </c>
      <c r="O38" s="61"/>
      <c r="Q38" t="s">
        <v>154</v>
      </c>
      <c r="R38">
        <v>2</v>
      </c>
    </row>
    <row r="39" spans="1:18" x14ac:dyDescent="0.25">
      <c r="A39" s="82"/>
      <c r="B39" s="83"/>
      <c r="C39" s="82"/>
      <c r="D39" s="82"/>
      <c r="E39" s="83"/>
    </row>
    <row r="40" spans="1:18" x14ac:dyDescent="0.25">
      <c r="A40" s="81"/>
      <c r="B40" s="80"/>
      <c r="C40" s="81"/>
      <c r="D40" s="81"/>
      <c r="E40" s="80"/>
      <c r="F40" s="28"/>
      <c r="G40" s="29" t="s">
        <v>270</v>
      </c>
      <c r="H40" s="94">
        <v>44197</v>
      </c>
      <c r="I40" s="29"/>
      <c r="J40" s="95" t="s">
        <v>70</v>
      </c>
      <c r="K40" s="96" t="s">
        <v>67</v>
      </c>
      <c r="L40" s="36" t="s">
        <v>69</v>
      </c>
      <c r="M40" s="29"/>
      <c r="N40" s="60" t="s">
        <v>271</v>
      </c>
      <c r="O40" s="37">
        <v>45533</v>
      </c>
    </row>
    <row r="41" spans="1:18" x14ac:dyDescent="0.25">
      <c r="A41" s="82" t="s">
        <v>0</v>
      </c>
      <c r="B41" s="83" t="s">
        <v>273</v>
      </c>
      <c r="C41" s="82" t="s">
        <v>274</v>
      </c>
      <c r="D41" s="82" t="s">
        <v>3</v>
      </c>
      <c r="E41" s="84" t="s">
        <v>275</v>
      </c>
      <c r="F41" t="s">
        <v>276</v>
      </c>
      <c r="G41" t="s">
        <v>277</v>
      </c>
      <c r="H41" t="s">
        <v>278</v>
      </c>
      <c r="I41" t="s">
        <v>21</v>
      </c>
      <c r="J41" t="s">
        <v>279</v>
      </c>
      <c r="K41" t="s">
        <v>1</v>
      </c>
      <c r="L41" t="s">
        <v>280</v>
      </c>
      <c r="M41" t="s">
        <v>52</v>
      </c>
      <c r="N41" t="s">
        <v>281</v>
      </c>
      <c r="O41" s="37" t="s">
        <v>282</v>
      </c>
      <c r="Q41" t="s">
        <v>279</v>
      </c>
      <c r="R41" t="s">
        <v>1</v>
      </c>
    </row>
    <row r="42" spans="1:18" x14ac:dyDescent="0.25">
      <c r="A42" s="82" t="str">
        <f>TableSPUCCONMS[[#This Row],[Study Package Code]]</f>
        <v>BLDG2024</v>
      </c>
      <c r="B42" s="83">
        <f>TableSPUCCONMS[[#This Row],[Ver]]</f>
        <v>2</v>
      </c>
      <c r="C42" s="82"/>
      <c r="D42" s="82" t="str">
        <f>TableSPUCCONMS[[#This Row],[Structure Line]]</f>
        <v>Building Surveying</v>
      </c>
      <c r="E42" s="84">
        <f>TableSPUCCONMS[[#This Row],[Credit Points]]</f>
        <v>25</v>
      </c>
      <c r="F42">
        <v>1</v>
      </c>
      <c r="G42" t="s">
        <v>283</v>
      </c>
      <c r="H42">
        <v>1</v>
      </c>
      <c r="I42" t="s">
        <v>284</v>
      </c>
      <c r="J42" t="s">
        <v>135</v>
      </c>
      <c r="K42">
        <v>2</v>
      </c>
      <c r="L42" t="s">
        <v>225</v>
      </c>
      <c r="M42">
        <v>25</v>
      </c>
      <c r="N42" s="61">
        <v>43466</v>
      </c>
      <c r="O42" s="61"/>
      <c r="Q42" t="s">
        <v>135</v>
      </c>
      <c r="R42">
        <v>2</v>
      </c>
    </row>
    <row r="43" spans="1:18" x14ac:dyDescent="0.25">
      <c r="A43" s="82" t="str">
        <f>TableSPUCCONMS[[#This Row],[Study Package Code]]</f>
        <v>BLAW3030</v>
      </c>
      <c r="B43" s="83">
        <f>TableSPUCCONMS[[#This Row],[Ver]]</f>
        <v>1</v>
      </c>
      <c r="C43" s="82"/>
      <c r="D43" s="82" t="str">
        <f>TableSPUCCONMS[[#This Row],[Structure Line]]</f>
        <v>Construction Contracts and Law</v>
      </c>
      <c r="E43" s="84">
        <f>TableSPUCCONMS[[#This Row],[Credit Points]]</f>
        <v>25</v>
      </c>
      <c r="F43">
        <v>2</v>
      </c>
      <c r="G43" t="s">
        <v>283</v>
      </c>
      <c r="H43">
        <v>1</v>
      </c>
      <c r="I43" t="s">
        <v>284</v>
      </c>
      <c r="J43" s="97" t="s">
        <v>141</v>
      </c>
      <c r="K43" s="97">
        <v>1</v>
      </c>
      <c r="L43" s="97" t="s">
        <v>222</v>
      </c>
      <c r="M43">
        <v>25</v>
      </c>
      <c r="N43" s="61">
        <v>43466</v>
      </c>
      <c r="O43" s="61"/>
      <c r="Q43" t="s">
        <v>141</v>
      </c>
      <c r="R43">
        <v>1</v>
      </c>
    </row>
    <row r="44" spans="1:18" x14ac:dyDescent="0.25">
      <c r="A44" s="82" t="str">
        <f>TableSPUCCONMS[[#This Row],[Study Package Code]]</f>
        <v>BLDG1001</v>
      </c>
      <c r="B44" s="83">
        <f>TableSPUCCONMS[[#This Row],[Ver]]</f>
        <v>3</v>
      </c>
      <c r="C44" s="82"/>
      <c r="D44" s="82" t="str">
        <f>TableSPUCCONMS[[#This Row],[Structure Line]]</f>
        <v>High-rise Construction</v>
      </c>
      <c r="E44" s="84">
        <f>TableSPUCCONMS[[#This Row],[Credit Points]]</f>
        <v>25</v>
      </c>
      <c r="F44">
        <v>3</v>
      </c>
      <c r="G44" t="s">
        <v>283</v>
      </c>
      <c r="H44">
        <v>1</v>
      </c>
      <c r="I44" t="s">
        <v>284</v>
      </c>
      <c r="J44" t="s">
        <v>128</v>
      </c>
      <c r="K44">
        <v>3</v>
      </c>
      <c r="L44" t="s">
        <v>224</v>
      </c>
      <c r="M44">
        <v>25</v>
      </c>
      <c r="N44" s="61">
        <v>44927</v>
      </c>
      <c r="O44" s="61"/>
      <c r="Q44" t="s">
        <v>128</v>
      </c>
      <c r="R44">
        <v>3</v>
      </c>
    </row>
    <row r="45" spans="1:18" x14ac:dyDescent="0.25">
      <c r="A45" s="82" t="str">
        <f>TableSPUCCONMS[[#This Row],[Study Package Code]]</f>
        <v>BLDG1000</v>
      </c>
      <c r="B45" s="83">
        <f>TableSPUCCONMS[[#This Row],[Ver]]</f>
        <v>2</v>
      </c>
      <c r="C45" s="82"/>
      <c r="D45" s="82" t="str">
        <f>TableSPUCCONMS[[#This Row],[Structure Line]]</f>
        <v>Low Rise Construction</v>
      </c>
      <c r="E45" s="84">
        <f>TableSPUCCONMS[[#This Row],[Credit Points]]</f>
        <v>25</v>
      </c>
      <c r="F45">
        <v>4</v>
      </c>
      <c r="G45" t="s">
        <v>283</v>
      </c>
      <c r="H45">
        <v>1</v>
      </c>
      <c r="I45" t="s">
        <v>284</v>
      </c>
      <c r="J45" t="s">
        <v>121</v>
      </c>
      <c r="K45">
        <v>2</v>
      </c>
      <c r="L45" t="s">
        <v>223</v>
      </c>
      <c r="M45">
        <v>25</v>
      </c>
      <c r="N45" s="61">
        <v>43466</v>
      </c>
      <c r="O45" s="61"/>
      <c r="Q45" t="s">
        <v>121</v>
      </c>
      <c r="R45">
        <v>2</v>
      </c>
    </row>
    <row r="46" spans="1:18" x14ac:dyDescent="0.25">
      <c r="A46" s="82"/>
      <c r="B46" s="83"/>
      <c r="C46" s="82"/>
      <c r="D46" s="82"/>
      <c r="E46" s="83"/>
    </row>
    <row r="47" spans="1:18" x14ac:dyDescent="0.25">
      <c r="A47" s="81"/>
      <c r="B47" s="80"/>
      <c r="C47" s="81"/>
      <c r="D47" s="81"/>
      <c r="E47" s="80"/>
      <c r="F47" s="28"/>
      <c r="G47" s="29" t="s">
        <v>270</v>
      </c>
      <c r="H47" s="94">
        <v>44197</v>
      </c>
      <c r="I47" s="29"/>
      <c r="J47" s="95" t="s">
        <v>76</v>
      </c>
      <c r="K47" s="96" t="s">
        <v>77</v>
      </c>
      <c r="L47" s="36" t="s">
        <v>75</v>
      </c>
      <c r="M47" s="29"/>
      <c r="N47" s="60" t="s">
        <v>271</v>
      </c>
      <c r="O47" s="37">
        <v>45533</v>
      </c>
    </row>
    <row r="48" spans="1:18" x14ac:dyDescent="0.25">
      <c r="A48" s="82" t="s">
        <v>0</v>
      </c>
      <c r="B48" s="83" t="s">
        <v>273</v>
      </c>
      <c r="C48" s="82" t="s">
        <v>274</v>
      </c>
      <c r="D48" s="82" t="s">
        <v>3</v>
      </c>
      <c r="E48" s="84" t="s">
        <v>275</v>
      </c>
      <c r="F48" t="s">
        <v>276</v>
      </c>
      <c r="G48" t="s">
        <v>277</v>
      </c>
      <c r="H48" t="s">
        <v>278</v>
      </c>
      <c r="I48" t="s">
        <v>21</v>
      </c>
      <c r="J48" t="s">
        <v>279</v>
      </c>
      <c r="K48" t="s">
        <v>1</v>
      </c>
      <c r="L48" t="s">
        <v>280</v>
      </c>
      <c r="M48" t="s">
        <v>52</v>
      </c>
      <c r="N48" t="s">
        <v>281</v>
      </c>
      <c r="O48" s="37" t="s">
        <v>282</v>
      </c>
      <c r="Q48" t="s">
        <v>279</v>
      </c>
      <c r="R48" t="s">
        <v>1</v>
      </c>
    </row>
    <row r="49" spans="1:18" x14ac:dyDescent="0.25">
      <c r="A49" s="82" t="str">
        <f>TableSPUCDSGNF[[#This Row],[Study Package Code]]</f>
        <v>GRDE1003</v>
      </c>
      <c r="B49" s="83">
        <f>TableSPUCDSGNF[[#This Row],[Ver]]</f>
        <v>2</v>
      </c>
      <c r="C49" s="82"/>
      <c r="D49" s="82" t="str">
        <f>TableSPUCDSGNF[[#This Row],[Structure Line]]</f>
        <v>3D Design Practice</v>
      </c>
      <c r="E49" s="84">
        <f>TableSPUCDSGNF[[#This Row],[Credit Points]]</f>
        <v>25</v>
      </c>
      <c r="F49">
        <v>1</v>
      </c>
      <c r="G49" t="s">
        <v>283</v>
      </c>
      <c r="H49">
        <v>1</v>
      </c>
      <c r="I49" t="s">
        <v>284</v>
      </c>
      <c r="J49" t="s">
        <v>122</v>
      </c>
      <c r="K49">
        <v>2</v>
      </c>
      <c r="L49" t="s">
        <v>231</v>
      </c>
      <c r="M49">
        <v>25</v>
      </c>
      <c r="N49" s="61">
        <v>45292</v>
      </c>
      <c r="O49" s="61"/>
      <c r="Q49" t="s">
        <v>122</v>
      </c>
      <c r="R49">
        <v>2</v>
      </c>
    </row>
    <row r="50" spans="1:18" x14ac:dyDescent="0.25">
      <c r="A50" s="82" t="str">
        <f>TableSPUCDSGNF[[#This Row],[Study Package Code]]</f>
        <v>FASH2004</v>
      </c>
      <c r="B50" s="83">
        <f>TableSPUCDSGNF[[#This Row],[Ver]]</f>
        <v>1</v>
      </c>
      <c r="C50" s="82"/>
      <c r="D50" s="82" t="str">
        <f>TableSPUCDSGNF[[#This Row],[Structure Line]]</f>
        <v>Fashion Design and Illustration</v>
      </c>
      <c r="E50" s="84">
        <f>TableSPUCDSGNF[[#This Row],[Credit Points]]</f>
        <v>25</v>
      </c>
      <c r="F50">
        <v>2</v>
      </c>
      <c r="G50" t="s">
        <v>283</v>
      </c>
      <c r="H50">
        <v>1</v>
      </c>
      <c r="I50" t="s">
        <v>284</v>
      </c>
      <c r="J50" t="s">
        <v>136</v>
      </c>
      <c r="K50">
        <v>1</v>
      </c>
      <c r="L50" t="s">
        <v>228</v>
      </c>
      <c r="M50">
        <v>25</v>
      </c>
      <c r="N50" s="61">
        <v>42005</v>
      </c>
      <c r="O50" s="61"/>
      <c r="Q50" t="s">
        <v>136</v>
      </c>
      <c r="R50">
        <v>1</v>
      </c>
    </row>
    <row r="51" spans="1:18" x14ac:dyDescent="0.25">
      <c r="A51" s="82" t="str">
        <f>TableSPUCDSGNF[[#This Row],[Study Package Code]]</f>
        <v>AC-DSGNF</v>
      </c>
      <c r="B51" s="83">
        <f>TableSPUCDSGNF[[#This Row],[Ver]]</f>
        <v>0</v>
      </c>
      <c r="C51" s="82"/>
      <c r="D51" s="82" t="str">
        <f>TableSPUCDSGNF[[#This Row],[Structure Line]]</f>
        <v>Choose WORK3000 or FASH3003</v>
      </c>
      <c r="E51" s="84" t="str">
        <f>TableSPUCDSGNF[[#This Row],[Credit Points]]</f>
        <v/>
      </c>
      <c r="F51">
        <v>3</v>
      </c>
      <c r="G51" t="s">
        <v>283</v>
      </c>
      <c r="H51">
        <v>1</v>
      </c>
      <c r="I51" t="s">
        <v>284</v>
      </c>
      <c r="J51" t="s">
        <v>147</v>
      </c>
      <c r="K51">
        <v>0</v>
      </c>
      <c r="L51" t="s">
        <v>290</v>
      </c>
      <c r="M51" t="s">
        <v>291</v>
      </c>
      <c r="N51" s="61"/>
      <c r="O51" s="61"/>
      <c r="Q51" t="s">
        <v>147</v>
      </c>
      <c r="R51">
        <v>0</v>
      </c>
    </row>
    <row r="52" spans="1:18" x14ac:dyDescent="0.25">
      <c r="A52" s="82" t="str">
        <f>TableSPUCDSGNF[[#This Row],[Study Package Code]]</f>
        <v>FASH1001</v>
      </c>
      <c r="B52" s="83">
        <f>TableSPUCDSGNF[[#This Row],[Ver]]</f>
        <v>1</v>
      </c>
      <c r="C52" s="82"/>
      <c r="D52" s="82" t="str">
        <f>TableSPUCDSGNF[[#This Row],[Structure Line]]</f>
        <v>Style Hunting</v>
      </c>
      <c r="E52" s="84">
        <f>TableSPUCDSGNF[[#This Row],[Credit Points]]</f>
        <v>25</v>
      </c>
      <c r="F52">
        <v>4</v>
      </c>
      <c r="G52" t="s">
        <v>283</v>
      </c>
      <c r="H52">
        <v>1</v>
      </c>
      <c r="I52" t="s">
        <v>284</v>
      </c>
      <c r="J52" t="s">
        <v>129</v>
      </c>
      <c r="K52">
        <v>1</v>
      </c>
      <c r="L52" t="s">
        <v>227</v>
      </c>
      <c r="M52">
        <v>25</v>
      </c>
      <c r="N52" s="61">
        <v>42005</v>
      </c>
      <c r="O52" s="61"/>
      <c r="Q52" t="s">
        <v>129</v>
      </c>
      <c r="R52">
        <v>1</v>
      </c>
    </row>
    <row r="53" spans="1:18" x14ac:dyDescent="0.25">
      <c r="A53" s="82" t="str">
        <f>TableSPUCDSGNF[[#This Row],[Study Package Code]]</f>
        <v>FASH3003</v>
      </c>
      <c r="B53" s="83">
        <f>TableSPUCDSGNF[[#This Row],[Ver]]</f>
        <v>1</v>
      </c>
      <c r="C53" s="82"/>
      <c r="D53" s="82" t="str">
        <f>TableSPUCDSGNF[[#This Row],[Structure Line]]</f>
        <v>Clothing in Context -The Business of Fashion</v>
      </c>
      <c r="E53" s="84">
        <f>TableSPUCDSGNF[[#This Row],[Credit Points]]</f>
        <v>25</v>
      </c>
      <c r="F53">
        <v>3</v>
      </c>
      <c r="G53" t="s">
        <v>283</v>
      </c>
      <c r="H53">
        <v>1</v>
      </c>
      <c r="I53" t="s">
        <v>284</v>
      </c>
      <c r="J53" t="s">
        <v>151</v>
      </c>
      <c r="K53">
        <v>1</v>
      </c>
      <c r="L53" t="s">
        <v>229</v>
      </c>
      <c r="M53">
        <v>25</v>
      </c>
      <c r="N53" s="61">
        <v>42005</v>
      </c>
      <c r="O53" s="61"/>
      <c r="Q53" t="s">
        <v>151</v>
      </c>
      <c r="R53">
        <v>1</v>
      </c>
    </row>
    <row r="54" spans="1:18" x14ac:dyDescent="0.25">
      <c r="A54" s="82" t="str">
        <f>TableSPUCDSGNF[[#This Row],[Study Package Code]]</f>
        <v>WORK3000</v>
      </c>
      <c r="B54" s="83">
        <f>TableSPUCDSGNF[[#This Row],[Ver]]</f>
        <v>2</v>
      </c>
      <c r="C54" s="82"/>
      <c r="D54" s="82" t="str">
        <f>TableSPUCDSGNF[[#This Row],[Structure Line]]</f>
        <v>Work Based Project</v>
      </c>
      <c r="E54" s="84">
        <f>TableSPUCDSGNF[[#This Row],[Credit Points]]</f>
        <v>25</v>
      </c>
      <c r="F54">
        <v>3</v>
      </c>
      <c r="G54" t="s">
        <v>283</v>
      </c>
      <c r="H54">
        <v>1</v>
      </c>
      <c r="I54" t="s">
        <v>284</v>
      </c>
      <c r="J54" t="s">
        <v>154</v>
      </c>
      <c r="K54">
        <v>2</v>
      </c>
      <c r="L54" t="s">
        <v>289</v>
      </c>
      <c r="M54">
        <v>25</v>
      </c>
      <c r="N54" s="61">
        <v>42736</v>
      </c>
      <c r="O54" s="61"/>
      <c r="Q54" t="s">
        <v>154</v>
      </c>
      <c r="R54">
        <v>2</v>
      </c>
    </row>
    <row r="55" spans="1:18" x14ac:dyDescent="0.25">
      <c r="A55" s="82"/>
      <c r="B55" s="83"/>
      <c r="C55" s="82"/>
      <c r="D55" s="82"/>
      <c r="E55" s="83"/>
    </row>
    <row r="56" spans="1:18" x14ac:dyDescent="0.25">
      <c r="A56" s="81"/>
      <c r="B56" s="80"/>
      <c r="C56" s="81"/>
      <c r="D56" s="81"/>
      <c r="E56" s="80"/>
      <c r="F56" s="28"/>
      <c r="G56" s="29" t="s">
        <v>270</v>
      </c>
      <c r="H56" s="94">
        <v>44197</v>
      </c>
      <c r="I56" s="29"/>
      <c r="J56" s="95" t="s">
        <v>81</v>
      </c>
      <c r="K56" s="96" t="s">
        <v>67</v>
      </c>
      <c r="L56" s="36" t="s">
        <v>80</v>
      </c>
      <c r="M56" s="29"/>
      <c r="N56" s="60" t="s">
        <v>271</v>
      </c>
      <c r="O56" s="37">
        <v>45533</v>
      </c>
    </row>
    <row r="57" spans="1:18" x14ac:dyDescent="0.25">
      <c r="A57" s="82" t="s">
        <v>0</v>
      </c>
      <c r="B57" s="83" t="s">
        <v>273</v>
      </c>
      <c r="C57" s="82" t="s">
        <v>274</v>
      </c>
      <c r="D57" s="82" t="s">
        <v>3</v>
      </c>
      <c r="E57" s="84" t="s">
        <v>275</v>
      </c>
      <c r="F57" t="s">
        <v>276</v>
      </c>
      <c r="G57" t="s">
        <v>277</v>
      </c>
      <c r="H57" t="s">
        <v>278</v>
      </c>
      <c r="I57" t="s">
        <v>21</v>
      </c>
      <c r="J57" t="s">
        <v>279</v>
      </c>
      <c r="K57" t="s">
        <v>1</v>
      </c>
      <c r="L57" t="s">
        <v>280</v>
      </c>
      <c r="M57" t="s">
        <v>52</v>
      </c>
      <c r="N57" t="s">
        <v>281</v>
      </c>
      <c r="O57" s="37" t="s">
        <v>282</v>
      </c>
      <c r="Q57" t="s">
        <v>279</v>
      </c>
      <c r="R57" t="s">
        <v>1</v>
      </c>
    </row>
    <row r="58" spans="1:18" x14ac:dyDescent="0.25">
      <c r="A58" s="82" t="str">
        <f>TableSPUCDSGNV[[#This Row],[Study Package Code]]</f>
        <v>GRDE2008</v>
      </c>
      <c r="B58" s="83">
        <f>TableSPUCDSGNV[[#This Row],[Ver]]</f>
        <v>3</v>
      </c>
      <c r="C58" s="82"/>
      <c r="D58" s="82" t="str">
        <f>TableSPUCDSGNV[[#This Row],[Structure Line]]</f>
        <v>Design Thinking and Visual Narrative</v>
      </c>
      <c r="E58" s="84">
        <f>TableSPUCDSGNV[[#This Row],[Credit Points]]</f>
        <v>25</v>
      </c>
      <c r="F58">
        <v>1</v>
      </c>
      <c r="G58" t="s">
        <v>283</v>
      </c>
      <c r="H58">
        <v>1</v>
      </c>
      <c r="I58" t="s">
        <v>284</v>
      </c>
      <c r="J58" t="s">
        <v>137</v>
      </c>
      <c r="K58">
        <v>3</v>
      </c>
      <c r="L58" t="s">
        <v>235</v>
      </c>
      <c r="M58">
        <v>25</v>
      </c>
      <c r="N58" s="61">
        <v>43831</v>
      </c>
      <c r="O58" s="61"/>
      <c r="Q58" t="s">
        <v>137</v>
      </c>
      <c r="R58">
        <v>3</v>
      </c>
    </row>
    <row r="59" spans="1:18" x14ac:dyDescent="0.25">
      <c r="A59" s="82" t="str">
        <f>TableSPUCDSGNV[[#This Row],[Study Package Code]]</f>
        <v>GRDE1004</v>
      </c>
      <c r="B59" s="83">
        <f>TableSPUCDSGNV[[#This Row],[Ver]]</f>
        <v>2</v>
      </c>
      <c r="C59" s="82"/>
      <c r="D59" s="82" t="str">
        <f>TableSPUCDSGNV[[#This Row],[Structure Line]]</f>
        <v>Design Computing</v>
      </c>
      <c r="E59" s="84">
        <f>TableSPUCDSGNV[[#This Row],[Credit Points]]</f>
        <v>25</v>
      </c>
      <c r="F59">
        <v>2</v>
      </c>
      <c r="G59" t="s">
        <v>283</v>
      </c>
      <c r="H59">
        <v>1</v>
      </c>
      <c r="I59" t="s">
        <v>284</v>
      </c>
      <c r="J59" t="s">
        <v>123</v>
      </c>
      <c r="K59">
        <v>2</v>
      </c>
      <c r="L59" t="s">
        <v>232</v>
      </c>
      <c r="M59">
        <v>25</v>
      </c>
      <c r="N59" s="61">
        <v>43101</v>
      </c>
      <c r="O59" s="61"/>
      <c r="Q59" t="s">
        <v>123</v>
      </c>
      <c r="R59">
        <v>2</v>
      </c>
    </row>
    <row r="60" spans="1:18" x14ac:dyDescent="0.25">
      <c r="A60" s="82" t="str">
        <f>TableSPUCDSGNV[[#This Row],[Study Package Code]]</f>
        <v>GRDE2027</v>
      </c>
      <c r="B60" s="83">
        <f>TableSPUCDSGNV[[#This Row],[Ver]]</f>
        <v>1</v>
      </c>
      <c r="C60" s="82"/>
      <c r="D60" s="82" t="str">
        <f>TableSPUCDSGNV[[#This Row],[Structure Line]]</f>
        <v>Photography Contexts and Practice</v>
      </c>
      <c r="E60" s="84">
        <f>TableSPUCDSGNV[[#This Row],[Credit Points]]</f>
        <v>25</v>
      </c>
      <c r="F60">
        <v>3</v>
      </c>
      <c r="G60" t="s">
        <v>283</v>
      </c>
      <c r="H60">
        <v>1</v>
      </c>
      <c r="I60" t="s">
        <v>284</v>
      </c>
      <c r="J60" t="s">
        <v>142</v>
      </c>
      <c r="K60">
        <v>1</v>
      </c>
      <c r="L60" t="s">
        <v>236</v>
      </c>
      <c r="M60">
        <v>25</v>
      </c>
      <c r="N60" s="61">
        <v>42005</v>
      </c>
      <c r="O60" s="61"/>
      <c r="Q60" t="s">
        <v>142</v>
      </c>
      <c r="R60">
        <v>1</v>
      </c>
    </row>
    <row r="61" spans="1:18" x14ac:dyDescent="0.25">
      <c r="A61" s="82" t="str">
        <f>TableSPUCDSGNV[[#This Row],[Study Package Code]]</f>
        <v>GRDE1018</v>
      </c>
      <c r="B61" s="83">
        <f>TableSPUCDSGNV[[#This Row],[Ver]]</f>
        <v>2</v>
      </c>
      <c r="C61" s="82"/>
      <c r="D61" s="82" t="str">
        <f>TableSPUCDSGNV[[#This Row],[Structure Line]]</f>
        <v>UX Design 1</v>
      </c>
      <c r="E61" s="84">
        <f>TableSPUCDSGNV[[#This Row],[Credit Points]]</f>
        <v>25</v>
      </c>
      <c r="F61">
        <v>4</v>
      </c>
      <c r="G61" t="s">
        <v>283</v>
      </c>
      <c r="H61">
        <v>1</v>
      </c>
      <c r="I61" t="s">
        <v>284</v>
      </c>
      <c r="J61" t="s">
        <v>130</v>
      </c>
      <c r="K61">
        <v>2</v>
      </c>
      <c r="L61" t="s">
        <v>233</v>
      </c>
      <c r="M61">
        <v>25</v>
      </c>
      <c r="N61" s="61">
        <v>44197</v>
      </c>
      <c r="O61" s="61"/>
      <c r="Q61" t="s">
        <v>130</v>
      </c>
      <c r="R61">
        <v>2</v>
      </c>
    </row>
    <row r="62" spans="1:18" x14ac:dyDescent="0.25">
      <c r="A62" s="82"/>
      <c r="B62" s="83"/>
      <c r="C62" s="82"/>
      <c r="D62" s="82"/>
      <c r="E62" s="83"/>
    </row>
    <row r="63" spans="1:18" x14ac:dyDescent="0.25">
      <c r="A63" s="81"/>
      <c r="B63" s="80"/>
      <c r="C63" s="81"/>
      <c r="D63" s="81"/>
      <c r="E63" s="80"/>
      <c r="F63" s="28"/>
      <c r="G63" s="29" t="s">
        <v>270</v>
      </c>
      <c r="H63" s="94">
        <v>45292</v>
      </c>
      <c r="I63" s="29"/>
      <c r="J63" s="95" t="s">
        <v>84</v>
      </c>
      <c r="K63" s="96" t="s">
        <v>57</v>
      </c>
      <c r="L63" s="36" t="s">
        <v>14</v>
      </c>
      <c r="M63" s="29"/>
      <c r="N63" s="60" t="s">
        <v>271</v>
      </c>
      <c r="O63" s="37">
        <v>45597</v>
      </c>
    </row>
    <row r="64" spans="1:18" x14ac:dyDescent="0.25">
      <c r="A64" s="82" t="s">
        <v>0</v>
      </c>
      <c r="B64" s="83" t="s">
        <v>273</v>
      </c>
      <c r="C64" s="82" t="s">
        <v>274</v>
      </c>
      <c r="D64" s="82" t="s">
        <v>3</v>
      </c>
      <c r="E64" s="84" t="s">
        <v>275</v>
      </c>
      <c r="F64" t="s">
        <v>276</v>
      </c>
      <c r="G64" t="s">
        <v>277</v>
      </c>
      <c r="H64" t="s">
        <v>278</v>
      </c>
      <c r="I64" t="s">
        <v>21</v>
      </c>
      <c r="J64" t="s">
        <v>279</v>
      </c>
      <c r="K64" t="s">
        <v>1</v>
      </c>
      <c r="L64" t="s">
        <v>280</v>
      </c>
      <c r="M64" t="s">
        <v>52</v>
      </c>
      <c r="N64" t="s">
        <v>281</v>
      </c>
      <c r="O64" s="37" t="s">
        <v>282</v>
      </c>
      <c r="Q64" t="s">
        <v>279</v>
      </c>
      <c r="R64" t="s">
        <v>1</v>
      </c>
    </row>
    <row r="65" spans="1:18" x14ac:dyDescent="0.25">
      <c r="A65" s="82" t="str">
        <f>TableSPUCINARS[[#This Row],[Study Package Code]]</f>
        <v>INAR3020</v>
      </c>
      <c r="B65" s="83">
        <f>TableSPUCINARS[[#This Row],[Ver]]</f>
        <v>1</v>
      </c>
      <c r="C65" s="82"/>
      <c r="D65" s="82" t="str">
        <f>TableSPUCINARS[[#This Row],[Structure Line]]</f>
        <v>Furniture Design</v>
      </c>
      <c r="E65" s="84">
        <f>TableSPUCINARS[[#This Row],[Credit Points]]</f>
        <v>25</v>
      </c>
      <c r="F65">
        <v>1</v>
      </c>
      <c r="G65" t="s">
        <v>283</v>
      </c>
      <c r="H65">
        <v>0</v>
      </c>
      <c r="I65" t="s">
        <v>284</v>
      </c>
      <c r="J65" t="s">
        <v>152</v>
      </c>
      <c r="K65">
        <v>1</v>
      </c>
      <c r="L65" t="s">
        <v>247</v>
      </c>
      <c r="M65">
        <v>25</v>
      </c>
      <c r="N65" s="61">
        <v>45292</v>
      </c>
      <c r="O65" s="61"/>
      <c r="Q65" t="s">
        <v>152</v>
      </c>
      <c r="R65">
        <v>1</v>
      </c>
    </row>
    <row r="66" spans="1:18" x14ac:dyDescent="0.25">
      <c r="A66" s="82" t="str">
        <f>TableSPUCINARS[[#This Row],[Study Package Code]]</f>
        <v>INAR2022</v>
      </c>
      <c r="B66" s="83">
        <f>TableSPUCINARS[[#This Row],[Ver]]</f>
        <v>1</v>
      </c>
      <c r="C66" s="82"/>
      <c r="D66" s="82" t="str">
        <f>TableSPUCINARS[[#This Row],[Structure Line]]</f>
        <v>Philosophy and Practice</v>
      </c>
      <c r="E66" s="84">
        <f>TableSPUCINARS[[#This Row],[Credit Points]]</f>
        <v>25</v>
      </c>
      <c r="F66">
        <v>2</v>
      </c>
      <c r="G66" t="s">
        <v>283</v>
      </c>
      <c r="H66">
        <v>0</v>
      </c>
      <c r="I66" t="s">
        <v>284</v>
      </c>
      <c r="J66" t="s">
        <v>148</v>
      </c>
      <c r="K66">
        <v>1</v>
      </c>
      <c r="L66" t="s">
        <v>245</v>
      </c>
      <c r="M66">
        <v>25</v>
      </c>
      <c r="N66" s="61">
        <v>44562</v>
      </c>
      <c r="O66" s="61"/>
      <c r="Q66" t="s">
        <v>148</v>
      </c>
      <c r="R66">
        <v>1</v>
      </c>
    </row>
    <row r="67" spans="1:18" x14ac:dyDescent="0.25">
      <c r="A67" s="82" t="str">
        <f>TableSPUCINARS[[#This Row],[Study Package Code]]</f>
        <v>AC-INARS</v>
      </c>
      <c r="B67" s="83">
        <f>TableSPUCINARS[[#This Row],[Ver]]</f>
        <v>0</v>
      </c>
      <c r="C67" s="82"/>
      <c r="D67" s="82" t="str">
        <f>TableSPUCINARS[[#This Row],[Structure Line]]</f>
        <v>Choose INAR1012 or INAR1010</v>
      </c>
      <c r="E67" s="84" t="str">
        <f>TableSPUCINARS[[#This Row],[Credit Points]]</f>
        <v/>
      </c>
      <c r="F67">
        <v>3</v>
      </c>
      <c r="G67" t="s">
        <v>283</v>
      </c>
      <c r="H67">
        <v>0</v>
      </c>
      <c r="I67" t="s">
        <v>284</v>
      </c>
      <c r="J67" t="s">
        <v>117</v>
      </c>
      <c r="K67">
        <v>0</v>
      </c>
      <c r="L67" t="s">
        <v>292</v>
      </c>
      <c r="M67" t="s">
        <v>291</v>
      </c>
      <c r="N67" s="61"/>
      <c r="O67" s="61"/>
      <c r="Q67" t="s">
        <v>117</v>
      </c>
      <c r="R67">
        <v>0</v>
      </c>
    </row>
    <row r="68" spans="1:18" x14ac:dyDescent="0.25">
      <c r="A68" s="82" t="str">
        <f>TableSPUCINARS[[#This Row],[Study Package Code]]</f>
        <v>Opt-INARS</v>
      </c>
      <c r="B68" s="83">
        <f>TableSPUCINARS[[#This Row],[Ver]]</f>
        <v>0</v>
      </c>
      <c r="C68" s="82"/>
      <c r="D68" s="82" t="str">
        <f>TableSPUCINARS[[#This Row],[Structure Line]]</f>
        <v>Choose an Option</v>
      </c>
      <c r="E68" s="84" t="str">
        <f>TableSPUCINARS[[#This Row],[Credit Points]]</f>
        <v/>
      </c>
      <c r="F68">
        <v>4</v>
      </c>
      <c r="G68" t="s">
        <v>293</v>
      </c>
      <c r="H68">
        <v>0</v>
      </c>
      <c r="I68" t="s">
        <v>284</v>
      </c>
      <c r="J68" t="s">
        <v>156</v>
      </c>
      <c r="K68">
        <v>0</v>
      </c>
      <c r="L68" t="s">
        <v>294</v>
      </c>
      <c r="M68" t="s">
        <v>291</v>
      </c>
      <c r="N68" s="61"/>
      <c r="O68" s="61"/>
      <c r="Q68" t="s">
        <v>156</v>
      </c>
      <c r="R68">
        <v>0</v>
      </c>
    </row>
    <row r="69" spans="1:18" x14ac:dyDescent="0.25">
      <c r="A69" s="82" t="str">
        <f>TableSPUCINARS[[#This Row],[Study Package Code]]</f>
        <v>INAR1010</v>
      </c>
      <c r="B69" s="83">
        <f>TableSPUCINARS[[#This Row],[Ver]]</f>
        <v>4</v>
      </c>
      <c r="C69" s="82"/>
      <c r="D69" s="82" t="str">
        <f>TableSPUCINARS[[#This Row],[Structure Line]]</f>
        <v>Interior Architecture Studio - Foundation</v>
      </c>
      <c r="E69" s="84">
        <f>TableSPUCINARS[[#This Row],[Credit Points]]</f>
        <v>25</v>
      </c>
      <c r="F69">
        <v>3</v>
      </c>
      <c r="G69" t="s">
        <v>283</v>
      </c>
      <c r="H69">
        <v>0</v>
      </c>
      <c r="I69" t="s">
        <v>284</v>
      </c>
      <c r="J69" t="s">
        <v>124</v>
      </c>
      <c r="K69">
        <v>4</v>
      </c>
      <c r="L69" t="s">
        <v>242</v>
      </c>
      <c r="M69">
        <v>25</v>
      </c>
      <c r="N69" s="61">
        <v>45292</v>
      </c>
      <c r="O69" s="61"/>
      <c r="Q69" t="s">
        <v>124</v>
      </c>
      <c r="R69">
        <v>4</v>
      </c>
    </row>
    <row r="70" spans="1:18" x14ac:dyDescent="0.25">
      <c r="A70" s="82" t="str">
        <f>TableSPUCINARS[[#This Row],[Study Package Code]]</f>
        <v>INAR1012</v>
      </c>
      <c r="B70" s="83">
        <f>TableSPUCINARS[[#This Row],[Ver]]</f>
        <v>1</v>
      </c>
      <c r="C70" s="82"/>
      <c r="D70" s="82" t="str">
        <f>TableSPUCINARS[[#This Row],[Structure Line]]</f>
        <v>History of the Interior</v>
      </c>
      <c r="E70" s="84">
        <f>TableSPUCINARS[[#This Row],[Credit Points]]</f>
        <v>25</v>
      </c>
      <c r="F70">
        <v>3</v>
      </c>
      <c r="G70" t="s">
        <v>283</v>
      </c>
      <c r="H70">
        <v>0</v>
      </c>
      <c r="I70" t="s">
        <v>284</v>
      </c>
      <c r="J70" t="s">
        <v>131</v>
      </c>
      <c r="K70">
        <v>1</v>
      </c>
      <c r="L70" t="s">
        <v>243</v>
      </c>
      <c r="M70">
        <v>25</v>
      </c>
      <c r="N70" s="61">
        <v>43101</v>
      </c>
      <c r="O70" s="61"/>
      <c r="Q70" t="s">
        <v>131</v>
      </c>
      <c r="R70">
        <v>1</v>
      </c>
    </row>
    <row r="71" spans="1:18" x14ac:dyDescent="0.25">
      <c r="A71" s="82" t="str">
        <f>TableSPUCINARS[[#This Row],[Study Package Code]]</f>
        <v>ARCH2012</v>
      </c>
      <c r="B71" s="83">
        <f>TableSPUCINARS[[#This Row],[Ver]]</f>
        <v>1</v>
      </c>
      <c r="C71" s="82"/>
      <c r="D71" s="82" t="str">
        <f>TableSPUCINARS[[#This Row],[Structure Line]]</f>
        <v>Built Environment Special Topic</v>
      </c>
      <c r="E71" s="84">
        <f>TableSPUCINARS[[#This Row],[Credit Points]]</f>
        <v>25</v>
      </c>
      <c r="F71">
        <v>4</v>
      </c>
      <c r="G71" t="s">
        <v>293</v>
      </c>
      <c r="H71">
        <v>0</v>
      </c>
      <c r="I71" t="s">
        <v>284</v>
      </c>
      <c r="J71" t="s">
        <v>162</v>
      </c>
      <c r="K71">
        <v>1</v>
      </c>
      <c r="L71" t="s">
        <v>295</v>
      </c>
      <c r="M71">
        <v>25</v>
      </c>
      <c r="N71" s="61">
        <v>42005</v>
      </c>
      <c r="O71" s="61"/>
      <c r="Q71" t="s">
        <v>162</v>
      </c>
      <c r="R71">
        <v>1</v>
      </c>
    </row>
    <row r="72" spans="1:18" x14ac:dyDescent="0.25">
      <c r="A72" s="82" t="str">
        <f>TableSPUCINARS[[#This Row],[Study Package Code]]</f>
        <v>ARCH3001</v>
      </c>
      <c r="B72" s="83">
        <f>TableSPUCINARS[[#This Row],[Ver]]</f>
        <v>1</v>
      </c>
      <c r="C72" s="82"/>
      <c r="D72" s="82" t="str">
        <f>TableSPUCINARS[[#This Row],[Structure Line]]</f>
        <v>Special Topics in Architecture Construction and Planning</v>
      </c>
      <c r="E72" s="84">
        <f>TableSPUCINARS[[#This Row],[Credit Points]]</f>
        <v>25</v>
      </c>
      <c r="F72">
        <v>4</v>
      </c>
      <c r="G72" t="s">
        <v>293</v>
      </c>
      <c r="H72">
        <v>0</v>
      </c>
      <c r="I72" t="s">
        <v>284</v>
      </c>
      <c r="J72" t="s">
        <v>164</v>
      </c>
      <c r="K72">
        <v>1</v>
      </c>
      <c r="L72" t="s">
        <v>296</v>
      </c>
      <c r="M72">
        <v>25</v>
      </c>
      <c r="N72" s="61">
        <v>42005</v>
      </c>
      <c r="O72" s="61"/>
      <c r="Q72" t="s">
        <v>164</v>
      </c>
      <c r="R72">
        <v>1</v>
      </c>
    </row>
    <row r="73" spans="1:18" x14ac:dyDescent="0.25">
      <c r="A73" s="82" t="str">
        <f>TableSPUCINARS[[#This Row],[Study Package Code]]</f>
        <v>INAR2012</v>
      </c>
      <c r="B73" s="83">
        <f>TableSPUCINARS[[#This Row],[Ver]]</f>
        <v>4</v>
      </c>
      <c r="C73" s="82"/>
      <c r="D73" s="82" t="str">
        <f>TableSPUCINARS[[#This Row],[Structure Line]]</f>
        <v>Interior Architecture Studio – Community</v>
      </c>
      <c r="E73" s="84">
        <f>TableSPUCINARS[[#This Row],[Credit Points]]</f>
        <v>25</v>
      </c>
      <c r="F73">
        <v>4</v>
      </c>
      <c r="G73" t="s">
        <v>293</v>
      </c>
      <c r="H73">
        <v>0</v>
      </c>
      <c r="I73" t="s">
        <v>284</v>
      </c>
      <c r="J73" t="s">
        <v>158</v>
      </c>
      <c r="K73">
        <v>4</v>
      </c>
      <c r="L73" t="s">
        <v>244</v>
      </c>
      <c r="M73">
        <v>25</v>
      </c>
      <c r="N73" s="61">
        <v>45292</v>
      </c>
      <c r="O73" s="61"/>
      <c r="Q73" t="s">
        <v>158</v>
      </c>
      <c r="R73">
        <v>4</v>
      </c>
    </row>
    <row r="74" spans="1:18" x14ac:dyDescent="0.25">
      <c r="A74" s="82" t="str">
        <f>TableSPUCINARS[[#This Row],[Study Package Code]]</f>
        <v>INAR2024</v>
      </c>
      <c r="B74" s="83">
        <f>TableSPUCINARS[[#This Row],[Ver]]</f>
        <v>1</v>
      </c>
      <c r="C74" s="82"/>
      <c r="D74" s="82" t="str">
        <f>TableSPUCINARS[[#This Row],[Structure Line]]</f>
        <v>Design Fabrication</v>
      </c>
      <c r="E74" s="84">
        <f>TableSPUCINARS[[#This Row],[Credit Points]]</f>
        <v>25</v>
      </c>
      <c r="F74">
        <v>4</v>
      </c>
      <c r="G74" t="s">
        <v>293</v>
      </c>
      <c r="H74">
        <v>0</v>
      </c>
      <c r="I74" t="s">
        <v>284</v>
      </c>
      <c r="J74" t="s">
        <v>160</v>
      </c>
      <c r="K74">
        <v>1</v>
      </c>
      <c r="L74" t="s">
        <v>246</v>
      </c>
      <c r="M74">
        <v>25</v>
      </c>
      <c r="N74" s="61">
        <v>45292</v>
      </c>
      <c r="O74" s="61"/>
      <c r="Q74" t="s">
        <v>160</v>
      </c>
      <c r="R74">
        <v>1</v>
      </c>
    </row>
    <row r="75" spans="1:18" x14ac:dyDescent="0.25">
      <c r="A75" s="82" t="str">
        <f>TableSPUCINARS[[#This Row],[Study Package Code]]</f>
        <v>URDE3005</v>
      </c>
      <c r="B75" s="83">
        <f>TableSPUCINARS[[#This Row],[Ver]]</f>
        <v>1</v>
      </c>
      <c r="C75" s="82"/>
      <c r="D75" s="82" t="str">
        <f>TableSPUCINARS[[#This Row],[Structure Line]]</f>
        <v>Special Topics in Urban &amp; Regional Planning</v>
      </c>
      <c r="E75" s="84">
        <f>TableSPUCINARS[[#This Row],[Credit Points]]</f>
        <v>25</v>
      </c>
      <c r="F75">
        <v>4</v>
      </c>
      <c r="G75" t="s">
        <v>293</v>
      </c>
      <c r="H75">
        <v>0</v>
      </c>
      <c r="I75" t="s">
        <v>284</v>
      </c>
      <c r="J75" t="s">
        <v>166</v>
      </c>
      <c r="K75">
        <v>1</v>
      </c>
      <c r="L75" t="s">
        <v>297</v>
      </c>
      <c r="M75">
        <v>25</v>
      </c>
      <c r="N75" s="61">
        <v>42005</v>
      </c>
      <c r="O75" s="61"/>
      <c r="Q75" t="s">
        <v>166</v>
      </c>
      <c r="R75">
        <v>1</v>
      </c>
    </row>
    <row r="76" spans="1:18" x14ac:dyDescent="0.25">
      <c r="A76" s="82" t="str">
        <f>TableSPUCINARS[[#This Row],[Study Package Code]]</f>
        <v>WORK2001</v>
      </c>
      <c r="B76" s="83">
        <f>TableSPUCINARS[[#This Row],[Ver]]</f>
        <v>1</v>
      </c>
      <c r="C76" s="82"/>
      <c r="D76" s="82" t="str">
        <f>TableSPUCINARS[[#This Row],[Structure Line]]</f>
        <v>Balance of the Planet</v>
      </c>
      <c r="E76" s="84">
        <f>TableSPUCINARS[[#This Row],[Credit Points]]</f>
        <v>25</v>
      </c>
      <c r="F76">
        <v>4</v>
      </c>
      <c r="G76" t="s">
        <v>293</v>
      </c>
      <c r="H76">
        <v>0</v>
      </c>
      <c r="I76" t="s">
        <v>284</v>
      </c>
      <c r="J76" t="s">
        <v>168</v>
      </c>
      <c r="K76">
        <v>1</v>
      </c>
      <c r="L76" t="s">
        <v>298</v>
      </c>
      <c r="M76">
        <v>25</v>
      </c>
      <c r="N76" s="61">
        <v>44743</v>
      </c>
      <c r="O76" s="61"/>
      <c r="Q76" t="s">
        <v>168</v>
      </c>
      <c r="R76">
        <v>1</v>
      </c>
    </row>
    <row r="77" spans="1:18" x14ac:dyDescent="0.25">
      <c r="A77" s="82" t="str">
        <f>TableSPUCINARS[[#This Row],[Study Package Code]]</f>
        <v>WORK2002</v>
      </c>
      <c r="B77" s="83">
        <f>TableSPUCINARS[[#This Row],[Ver]]</f>
        <v>3</v>
      </c>
      <c r="C77" s="82"/>
      <c r="D77" s="82" t="str">
        <f>TableSPUCINARS[[#This Row],[Structure Line]]</f>
        <v>Changemakers Innovation Lab</v>
      </c>
      <c r="E77" s="84">
        <f>TableSPUCINARS[[#This Row],[Credit Points]]</f>
        <v>25</v>
      </c>
      <c r="F77">
        <v>4</v>
      </c>
      <c r="G77" t="s">
        <v>293</v>
      </c>
      <c r="H77">
        <v>0</v>
      </c>
      <c r="I77" t="s">
        <v>284</v>
      </c>
      <c r="J77" t="s">
        <v>170</v>
      </c>
      <c r="K77">
        <v>3</v>
      </c>
      <c r="L77" t="s">
        <v>311</v>
      </c>
      <c r="M77">
        <v>25</v>
      </c>
      <c r="N77" s="61">
        <v>45474</v>
      </c>
      <c r="O77" s="61"/>
      <c r="Q77" t="s">
        <v>170</v>
      </c>
      <c r="R77">
        <v>1</v>
      </c>
    </row>
    <row r="78" spans="1:18" x14ac:dyDescent="0.25">
      <c r="A78" s="82" t="str">
        <f>TableSPUCINARS[[#This Row],[Study Package Code]]</f>
        <v>WORK2003</v>
      </c>
      <c r="B78" s="83">
        <f>TableSPUCINARS[[#This Row],[Ver]]</f>
        <v>2</v>
      </c>
      <c r="C78" s="82"/>
      <c r="D78" s="82" t="str">
        <f>TableSPUCINARS[[#This Row],[Structure Line]]</f>
        <v>Regional Industry Internship</v>
      </c>
      <c r="E78" s="84">
        <f>TableSPUCINARS[[#This Row],[Credit Points]]</f>
        <v>25</v>
      </c>
      <c r="F78">
        <v>4</v>
      </c>
      <c r="G78" t="s">
        <v>293</v>
      </c>
      <c r="H78">
        <v>0</v>
      </c>
      <c r="I78" t="s">
        <v>284</v>
      </c>
      <c r="J78" t="s">
        <v>172</v>
      </c>
      <c r="K78">
        <v>2</v>
      </c>
      <c r="L78" t="s">
        <v>299</v>
      </c>
      <c r="M78">
        <v>25</v>
      </c>
      <c r="N78" s="61">
        <v>45474</v>
      </c>
      <c r="O78" s="61"/>
      <c r="Q78" t="s">
        <v>172</v>
      </c>
      <c r="R78">
        <v>1</v>
      </c>
    </row>
    <row r="79" spans="1:18" x14ac:dyDescent="0.25">
      <c r="A79" s="82" t="str">
        <f>TableSPUCINARS[[#This Row],[Study Package Code]]</f>
        <v>WORK2005</v>
      </c>
      <c r="B79" s="83">
        <f>TableSPUCINARS[[#This Row],[Ver]]</f>
        <v>1</v>
      </c>
      <c r="C79" s="82"/>
      <c r="D79" s="82" t="str">
        <f>TableSPUCINARS[[#This Row],[Structure Line]]</f>
        <v>Go Global - Internship 2</v>
      </c>
      <c r="E79" s="84">
        <f>TableSPUCINARS[[#This Row],[Credit Points]]</f>
        <v>25</v>
      </c>
      <c r="F79">
        <v>4</v>
      </c>
      <c r="G79" t="s">
        <v>293</v>
      </c>
      <c r="H79">
        <v>0</v>
      </c>
      <c r="I79" t="s">
        <v>284</v>
      </c>
      <c r="J79" t="s">
        <v>174</v>
      </c>
      <c r="K79">
        <v>1</v>
      </c>
      <c r="L79" t="s">
        <v>300</v>
      </c>
      <c r="M79">
        <v>25</v>
      </c>
      <c r="N79" s="61">
        <v>44743</v>
      </c>
      <c r="O79" s="61"/>
      <c r="Q79" t="s">
        <v>174</v>
      </c>
      <c r="R79">
        <v>1</v>
      </c>
    </row>
    <row r="80" spans="1:18" x14ac:dyDescent="0.25">
      <c r="A80" s="82" t="str">
        <f>TableSPUCINARS[[#This Row],[Study Package Code]]</f>
        <v>WORK3000</v>
      </c>
      <c r="B80" s="83">
        <f>TableSPUCINARS[[#This Row],[Ver]]</f>
        <v>2</v>
      </c>
      <c r="C80" s="82"/>
      <c r="D80" s="82" t="str">
        <f>TableSPUCINARS[[#This Row],[Structure Line]]</f>
        <v>Work Based Project</v>
      </c>
      <c r="E80" s="84">
        <f>TableSPUCINARS[[#This Row],[Credit Points]]</f>
        <v>25</v>
      </c>
      <c r="F80">
        <v>4</v>
      </c>
      <c r="G80" t="s">
        <v>293</v>
      </c>
      <c r="H80">
        <v>0</v>
      </c>
      <c r="I80" t="s">
        <v>284</v>
      </c>
      <c r="J80" t="s">
        <v>154</v>
      </c>
      <c r="K80">
        <v>2</v>
      </c>
      <c r="L80" t="s">
        <v>289</v>
      </c>
      <c r="M80">
        <v>25</v>
      </c>
      <c r="N80" s="61">
        <v>42736</v>
      </c>
      <c r="O80" s="61"/>
      <c r="Q80" t="s">
        <v>154</v>
      </c>
      <c r="R80">
        <v>2</v>
      </c>
    </row>
    <row r="81" spans="1:18" x14ac:dyDescent="0.25">
      <c r="A81" s="82" t="str">
        <f>TableSPUCINARS[[#This Row],[Study Package Code]]</f>
        <v>WORK3004</v>
      </c>
      <c r="B81" s="83">
        <f>TableSPUCINARS[[#This Row],[Ver]]</f>
        <v>1</v>
      </c>
      <c r="C81" s="82"/>
      <c r="D81" s="82" t="str">
        <f>TableSPUCINARS[[#This Row],[Structure Line]]</f>
        <v>Go Practice - Internship</v>
      </c>
      <c r="E81" s="84">
        <f>TableSPUCINARS[[#This Row],[Credit Points]]</f>
        <v>25</v>
      </c>
      <c r="F81">
        <v>4</v>
      </c>
      <c r="G81" t="s">
        <v>293</v>
      </c>
      <c r="H81">
        <v>0</v>
      </c>
      <c r="I81" t="s">
        <v>284</v>
      </c>
      <c r="J81" t="s">
        <v>177</v>
      </c>
      <c r="K81">
        <v>1</v>
      </c>
      <c r="L81" t="s">
        <v>301</v>
      </c>
      <c r="M81">
        <v>25</v>
      </c>
      <c r="N81" s="61">
        <v>44562</v>
      </c>
      <c r="O81" s="61"/>
      <c r="Q81" t="s">
        <v>177</v>
      </c>
      <c r="R81">
        <v>1</v>
      </c>
    </row>
    <row r="82" spans="1:18" x14ac:dyDescent="0.25">
      <c r="A82" s="82" t="str">
        <f>TableSPUCINARS[[#This Row],[Study Package Code]]</f>
        <v>WORK3006</v>
      </c>
      <c r="B82" s="83">
        <f>TableSPUCINARS[[#This Row],[Ver]]</f>
        <v>1</v>
      </c>
      <c r="C82" s="82"/>
      <c r="D82" s="82" t="str">
        <f>TableSPUCINARS[[#This Row],[Structure Line]]</f>
        <v>Go Global - Internship 4</v>
      </c>
      <c r="E82" s="84">
        <f>TableSPUCINARS[[#This Row],[Credit Points]]</f>
        <v>25</v>
      </c>
      <c r="F82">
        <v>4</v>
      </c>
      <c r="G82" t="s">
        <v>293</v>
      </c>
      <c r="H82">
        <v>0</v>
      </c>
      <c r="I82" t="s">
        <v>284</v>
      </c>
      <c r="J82" t="s">
        <v>179</v>
      </c>
      <c r="K82">
        <v>1</v>
      </c>
      <c r="L82" t="s">
        <v>302</v>
      </c>
      <c r="M82">
        <v>25</v>
      </c>
      <c r="N82" s="61">
        <v>44743</v>
      </c>
      <c r="O82" s="61"/>
      <c r="Q82" t="s">
        <v>179</v>
      </c>
      <c r="R82">
        <v>1</v>
      </c>
    </row>
    <row r="83" spans="1:18" x14ac:dyDescent="0.25">
      <c r="A83" s="82"/>
      <c r="B83" s="83"/>
      <c r="C83" s="82"/>
      <c r="D83" s="82"/>
      <c r="E83" s="83"/>
      <c r="N83" s="61"/>
      <c r="O83" s="61"/>
    </row>
    <row r="84" spans="1:18" x14ac:dyDescent="0.25">
      <c r="A84" s="81"/>
      <c r="B84" s="80"/>
      <c r="C84" s="81"/>
      <c r="D84" s="81"/>
      <c r="E84" s="80"/>
      <c r="F84" s="28"/>
      <c r="G84" s="29" t="s">
        <v>270</v>
      </c>
      <c r="H84" s="94">
        <v>44197</v>
      </c>
      <c r="I84" s="29"/>
      <c r="J84" s="95" t="s">
        <v>86</v>
      </c>
      <c r="K84" s="96" t="s">
        <v>67</v>
      </c>
      <c r="L84" s="36" t="s">
        <v>85</v>
      </c>
      <c r="M84" s="29"/>
      <c r="N84" s="60" t="s">
        <v>271</v>
      </c>
      <c r="O84" s="37">
        <v>45533</v>
      </c>
    </row>
    <row r="85" spans="1:18" x14ac:dyDescent="0.25">
      <c r="A85" s="82" t="s">
        <v>0</v>
      </c>
      <c r="B85" s="83" t="s">
        <v>273</v>
      </c>
      <c r="C85" s="82" t="s">
        <v>274</v>
      </c>
      <c r="D85" s="82" t="s">
        <v>3</v>
      </c>
      <c r="E85" s="84" t="s">
        <v>275</v>
      </c>
      <c r="F85" t="s">
        <v>276</v>
      </c>
      <c r="G85" t="s">
        <v>277</v>
      </c>
      <c r="H85" t="s">
        <v>278</v>
      </c>
      <c r="I85" t="s">
        <v>21</v>
      </c>
      <c r="J85" t="s">
        <v>279</v>
      </c>
      <c r="K85" t="s">
        <v>1</v>
      </c>
      <c r="L85" t="s">
        <v>280</v>
      </c>
      <c r="M85" t="s">
        <v>52</v>
      </c>
      <c r="N85" t="s">
        <v>281</v>
      </c>
      <c r="O85" s="37" t="s">
        <v>282</v>
      </c>
      <c r="Q85" t="s">
        <v>279</v>
      </c>
      <c r="R85" t="s">
        <v>1</v>
      </c>
    </row>
    <row r="86" spans="1:18" x14ac:dyDescent="0.25">
      <c r="A86" s="82" t="str">
        <f>TableSPUCPRINP[[#This Row],[Study Package Code]]</f>
        <v>URDE1003</v>
      </c>
      <c r="B86" s="83">
        <f>TableSPUCPRINP[[#This Row],[Ver]]</f>
        <v>1</v>
      </c>
      <c r="C86" s="82"/>
      <c r="D86" s="82" t="str">
        <f>TableSPUCPRINP[[#This Row],[Structure Line]]</f>
        <v>Governance for Planning</v>
      </c>
      <c r="E86" s="84">
        <f>TableSPUCPRINP[[#This Row],[Credit Points]]</f>
        <v>25</v>
      </c>
      <c r="F86">
        <v>1</v>
      </c>
      <c r="G86" t="s">
        <v>283</v>
      </c>
      <c r="H86">
        <v>1</v>
      </c>
      <c r="I86" t="s">
        <v>284</v>
      </c>
      <c r="J86" t="s">
        <v>125</v>
      </c>
      <c r="K86">
        <v>1</v>
      </c>
      <c r="L86" t="s">
        <v>252</v>
      </c>
      <c r="M86">
        <v>25</v>
      </c>
      <c r="N86" s="61">
        <v>42005</v>
      </c>
      <c r="O86" s="61"/>
      <c r="Q86" t="s">
        <v>125</v>
      </c>
      <c r="R86">
        <v>1</v>
      </c>
    </row>
    <row r="87" spans="1:18" x14ac:dyDescent="0.25">
      <c r="A87" s="82" t="str">
        <f>TableSPUCPRINP[[#This Row],[Study Package Code]]</f>
        <v>URDE1006</v>
      </c>
      <c r="B87" s="83">
        <f>TableSPUCPRINP[[#This Row],[Ver]]</f>
        <v>1</v>
      </c>
      <c r="C87" s="82"/>
      <c r="D87" s="82" t="str">
        <f>TableSPUCPRINP[[#This Row],[Structure Line]]</f>
        <v>Introduction to Planning</v>
      </c>
      <c r="E87" s="84">
        <f>TableSPUCPRINP[[#This Row],[Credit Points]]</f>
        <v>25</v>
      </c>
      <c r="F87">
        <v>2</v>
      </c>
      <c r="G87" t="s">
        <v>283</v>
      </c>
      <c r="H87">
        <v>1</v>
      </c>
      <c r="I87" t="s">
        <v>284</v>
      </c>
      <c r="J87" t="s">
        <v>132</v>
      </c>
      <c r="K87">
        <v>1</v>
      </c>
      <c r="L87" t="s">
        <v>253</v>
      </c>
      <c r="M87">
        <v>25</v>
      </c>
      <c r="N87" s="61">
        <v>42005</v>
      </c>
      <c r="O87" s="61"/>
      <c r="Q87" t="s">
        <v>132</v>
      </c>
      <c r="R87">
        <v>1</v>
      </c>
    </row>
    <row r="88" spans="1:18" x14ac:dyDescent="0.25">
      <c r="A88" s="82" t="str">
        <f>TableSPUCPRINP[[#This Row],[Study Package Code]]</f>
        <v>URDE2001</v>
      </c>
      <c r="B88" s="83">
        <f>TableSPUCPRINP[[#This Row],[Ver]]</f>
        <v>1</v>
      </c>
      <c r="C88" s="82"/>
      <c r="D88" s="82" t="str">
        <f>TableSPUCPRINP[[#This Row],[Structure Line]]</f>
        <v>Participatory Planning</v>
      </c>
      <c r="E88" s="84">
        <f>TableSPUCPRINP[[#This Row],[Credit Points]]</f>
        <v>25</v>
      </c>
      <c r="F88">
        <v>3</v>
      </c>
      <c r="G88" t="s">
        <v>283</v>
      </c>
      <c r="H88">
        <v>1</v>
      </c>
      <c r="I88" t="s">
        <v>284</v>
      </c>
      <c r="J88" t="s">
        <v>139</v>
      </c>
      <c r="K88">
        <v>1</v>
      </c>
      <c r="L88" t="s">
        <v>254</v>
      </c>
      <c r="M88">
        <v>25</v>
      </c>
      <c r="N88" s="61">
        <v>42005</v>
      </c>
      <c r="O88" s="61"/>
      <c r="Q88" t="s">
        <v>139</v>
      </c>
      <c r="R88">
        <v>1</v>
      </c>
    </row>
    <row r="89" spans="1:18" x14ac:dyDescent="0.25">
      <c r="A89" s="82" t="str">
        <f>TableSPUCPRINP[[#This Row],[Study Package Code]]</f>
        <v>URDE3002</v>
      </c>
      <c r="B89" s="83">
        <f>TableSPUCPRINP[[#This Row],[Ver]]</f>
        <v>1</v>
      </c>
      <c r="C89" s="82"/>
      <c r="D89" s="82" t="str">
        <f>TableSPUCPRINP[[#This Row],[Structure Line]]</f>
        <v>Urban Regeneration</v>
      </c>
      <c r="E89" s="84">
        <f>TableSPUCPRINP[[#This Row],[Credit Points]]</f>
        <v>25</v>
      </c>
      <c r="F89">
        <v>4</v>
      </c>
      <c r="G89" t="s">
        <v>283</v>
      </c>
      <c r="H89">
        <v>1</v>
      </c>
      <c r="I89" t="s">
        <v>284</v>
      </c>
      <c r="J89" t="s">
        <v>144</v>
      </c>
      <c r="K89">
        <v>1</v>
      </c>
      <c r="L89" t="s">
        <v>255</v>
      </c>
      <c r="M89">
        <v>25</v>
      </c>
      <c r="N89" s="61">
        <v>42005</v>
      </c>
      <c r="O89" s="61"/>
      <c r="Q89" t="s">
        <v>144</v>
      </c>
      <c r="R89">
        <v>1</v>
      </c>
    </row>
  </sheetData>
  <conditionalFormatting sqref="J3:J29">
    <cfRule type="duplicateValues" dxfId="29" priority="37"/>
  </conditionalFormatting>
  <conditionalFormatting sqref="J33:J38">
    <cfRule type="duplicateValues" dxfId="28" priority="16"/>
  </conditionalFormatting>
  <conditionalFormatting sqref="J42:J45">
    <cfRule type="duplicateValues" dxfId="27" priority="13"/>
  </conditionalFormatting>
  <conditionalFormatting sqref="J49:J54">
    <cfRule type="duplicateValues" dxfId="26" priority="10"/>
  </conditionalFormatting>
  <conditionalFormatting sqref="J58:J61">
    <cfRule type="duplicateValues" dxfId="25" priority="7"/>
  </conditionalFormatting>
  <conditionalFormatting sqref="J65:J82">
    <cfRule type="duplicateValues" dxfId="24" priority="4"/>
  </conditionalFormatting>
  <conditionalFormatting sqref="J86:J89">
    <cfRule type="duplicateValues" dxfId="23" priority="1"/>
  </conditionalFormatting>
  <conditionalFormatting sqref="N3:N29">
    <cfRule type="cellIs" dxfId="22" priority="45" operator="greaterThan">
      <formula>$P$1</formula>
    </cfRule>
  </conditionalFormatting>
  <conditionalFormatting sqref="N33:N38">
    <cfRule type="cellIs" dxfId="21" priority="17" operator="greaterThan">
      <formula>$P$1</formula>
    </cfRule>
  </conditionalFormatting>
  <conditionalFormatting sqref="N42:N45">
    <cfRule type="cellIs" dxfId="20" priority="14" operator="greaterThan">
      <formula>$P$1</formula>
    </cfRule>
  </conditionalFormatting>
  <conditionalFormatting sqref="N49:N54">
    <cfRule type="cellIs" dxfId="19" priority="11" operator="greaterThan">
      <formula>$P$1</formula>
    </cfRule>
  </conditionalFormatting>
  <conditionalFormatting sqref="N58:N61">
    <cfRule type="cellIs" dxfId="18" priority="8" operator="greaterThan">
      <formula>$P$1</formula>
    </cfRule>
  </conditionalFormatting>
  <conditionalFormatting sqref="N65:N82">
    <cfRule type="cellIs" dxfId="17" priority="5" operator="greaterThan">
      <formula>$P$1</formula>
    </cfRule>
  </conditionalFormatting>
  <conditionalFormatting sqref="N86:N89">
    <cfRule type="cellIs" dxfId="16" priority="2" operator="greaterThan">
      <formula>$P$1</formula>
    </cfRule>
  </conditionalFormatting>
  <conditionalFormatting sqref="O3:O29">
    <cfRule type="notContainsBlanks" dxfId="15" priority="59">
      <formula>LEN(TRIM(O3))&gt;0</formula>
    </cfRule>
  </conditionalFormatting>
  <conditionalFormatting sqref="O33:O38">
    <cfRule type="notContainsBlanks" dxfId="14" priority="18">
      <formula>LEN(TRIM(O33))&gt;0</formula>
    </cfRule>
  </conditionalFormatting>
  <conditionalFormatting sqref="O42:O45">
    <cfRule type="notContainsBlanks" dxfId="13" priority="15">
      <formula>LEN(TRIM(O42))&gt;0</formula>
    </cfRule>
  </conditionalFormatting>
  <conditionalFormatting sqref="O49:O54">
    <cfRule type="notContainsBlanks" dxfId="12" priority="12">
      <formula>LEN(TRIM(O49))&gt;0</formula>
    </cfRule>
  </conditionalFormatting>
  <conditionalFormatting sqref="O58:O61">
    <cfRule type="notContainsBlanks" dxfId="11" priority="9">
      <formula>LEN(TRIM(O58))&gt;0</formula>
    </cfRule>
  </conditionalFormatting>
  <conditionalFormatting sqref="O65:O82">
    <cfRule type="notContainsBlanks" dxfId="10" priority="6">
      <formula>LEN(TRIM(O65))&gt;0</formula>
    </cfRule>
  </conditionalFormatting>
  <conditionalFormatting sqref="O83">
    <cfRule type="notContainsBlanks" dxfId="9" priority="54">
      <formula>LEN(TRIM(O83))&gt;0</formula>
    </cfRule>
  </conditionalFormatting>
  <conditionalFormatting sqref="O86:O89">
    <cfRule type="notContainsBlanks" dxfId="8" priority="3">
      <formula>LEN(TRIM(O86))&gt;0</formula>
    </cfRule>
  </conditionalFormatting>
  <conditionalFormatting sqref="Q3:R29">
    <cfRule type="expression" dxfId="7" priority="63">
      <formula>Q3&lt;&gt;J3</formula>
    </cfRule>
  </conditionalFormatting>
  <conditionalFormatting sqref="Q33:R38">
    <cfRule type="expression" dxfId="6" priority="60">
      <formula>Q33&lt;&gt;J33</formula>
    </cfRule>
  </conditionalFormatting>
  <conditionalFormatting sqref="Q42:R45">
    <cfRule type="expression" dxfId="5" priority="52">
      <formula>Q42&lt;&gt;J42</formula>
    </cfRule>
  </conditionalFormatting>
  <conditionalFormatting sqref="Q49:R54">
    <cfRule type="expression" dxfId="4" priority="47">
      <formula>Q49&lt;&gt;J49</formula>
    </cfRule>
  </conditionalFormatting>
  <conditionalFormatting sqref="Q58:R61">
    <cfRule type="expression" dxfId="3" priority="50">
      <formula>Q58&lt;&gt;J58</formula>
    </cfRule>
  </conditionalFormatting>
  <conditionalFormatting sqref="Q65:R82">
    <cfRule type="expression" dxfId="2" priority="38">
      <formula>Q65&lt;&gt;J65</formula>
    </cfRule>
  </conditionalFormatting>
  <conditionalFormatting sqref="Q86:R89">
    <cfRule type="expression" dxfId="1" priority="48">
      <formula>Q86&lt;&gt;J86</formula>
    </cfRule>
  </conditionalFormatting>
  <pageMargins left="0.7" right="0.7" top="0.75" bottom="0.75" header="0.3" footer="0.3"/>
  <pageSetup paperSize="9"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5"/>
  <sheetViews>
    <sheetView zoomScale="85" zoomScaleNormal="85" workbookViewId="0">
      <selection activeCell="B34" sqref="B34"/>
    </sheetView>
  </sheetViews>
  <sheetFormatPr defaultRowHeight="15.75" x14ac:dyDescent="0.25"/>
  <cols>
    <col min="1" max="1" width="13.125" bestFit="1" customWidth="1"/>
    <col min="2" max="5" width="5.375" bestFit="1" customWidth="1"/>
    <col min="6" max="6" width="16.125" bestFit="1" customWidth="1"/>
    <col min="7" max="7" width="10.375" bestFit="1" customWidth="1"/>
  </cols>
  <sheetData>
    <row r="1" spans="1:10" x14ac:dyDescent="0.25">
      <c r="F1" s="58" t="s">
        <v>303</v>
      </c>
      <c r="G1" s="57">
        <v>45533</v>
      </c>
    </row>
    <row r="3" spans="1:10" ht="72" x14ac:dyDescent="0.25">
      <c r="A3" t="s">
        <v>304</v>
      </c>
      <c r="B3" s="92" t="s">
        <v>305</v>
      </c>
      <c r="C3" s="92" t="s">
        <v>306</v>
      </c>
      <c r="D3" s="92" t="s">
        <v>307</v>
      </c>
      <c r="E3" s="92" t="s">
        <v>308</v>
      </c>
    </row>
    <row r="4" spans="1:10" x14ac:dyDescent="0.25">
      <c r="A4" t="s">
        <v>55</v>
      </c>
      <c r="B4" s="2"/>
      <c r="C4" s="2"/>
      <c r="D4" s="2">
        <v>1</v>
      </c>
      <c r="E4" s="2"/>
      <c r="G4" s="40" t="s">
        <v>55</v>
      </c>
      <c r="J4">
        <v>1</v>
      </c>
    </row>
    <row r="5" spans="1:10" x14ac:dyDescent="0.25">
      <c r="A5" t="s">
        <v>54</v>
      </c>
      <c r="B5" s="2">
        <v>1</v>
      </c>
      <c r="C5" s="2"/>
      <c r="D5" s="2"/>
      <c r="E5" s="2"/>
      <c r="G5" s="40" t="s">
        <v>54</v>
      </c>
      <c r="H5">
        <v>1</v>
      </c>
    </row>
    <row r="6" spans="1:10" x14ac:dyDescent="0.25">
      <c r="A6" t="s">
        <v>46</v>
      </c>
      <c r="B6" s="2"/>
      <c r="C6" s="2"/>
      <c r="D6" s="2">
        <v>1</v>
      </c>
      <c r="E6" s="2"/>
      <c r="G6" s="40" t="s">
        <v>46</v>
      </c>
      <c r="J6">
        <v>1</v>
      </c>
    </row>
    <row r="7" spans="1:10" x14ac:dyDescent="0.25">
      <c r="A7" t="s">
        <v>43</v>
      </c>
      <c r="B7" s="2"/>
      <c r="C7" s="2"/>
      <c r="D7" s="2">
        <v>1</v>
      </c>
      <c r="E7" s="2"/>
      <c r="G7" s="40" t="s">
        <v>43</v>
      </c>
      <c r="J7">
        <v>1</v>
      </c>
    </row>
    <row r="8" spans="1:10" x14ac:dyDescent="0.25">
      <c r="A8" t="s">
        <v>45</v>
      </c>
      <c r="B8" s="2">
        <v>1</v>
      </c>
      <c r="C8" s="2"/>
      <c r="D8" s="2"/>
      <c r="E8" s="2"/>
      <c r="G8" s="40" t="s">
        <v>45</v>
      </c>
      <c r="H8">
        <v>1</v>
      </c>
    </row>
    <row r="9" spans="1:10" x14ac:dyDescent="0.25">
      <c r="A9" t="s">
        <v>62</v>
      </c>
      <c r="B9" s="2"/>
      <c r="C9" s="2"/>
      <c r="D9" s="2">
        <v>1</v>
      </c>
      <c r="E9" s="2"/>
      <c r="G9" s="40" t="s">
        <v>62</v>
      </c>
      <c r="J9">
        <v>1</v>
      </c>
    </row>
    <row r="10" spans="1:10" x14ac:dyDescent="0.25">
      <c r="A10" t="s">
        <v>82</v>
      </c>
      <c r="B10" s="2">
        <v>1</v>
      </c>
      <c r="C10" s="2"/>
      <c r="D10" s="2"/>
      <c r="E10" s="2"/>
      <c r="G10" s="40" t="s">
        <v>82</v>
      </c>
      <c r="H10">
        <v>1</v>
      </c>
    </row>
    <row r="11" spans="1:10" x14ac:dyDescent="0.25">
      <c r="A11" t="s">
        <v>83</v>
      </c>
      <c r="B11" s="2"/>
      <c r="C11" s="2"/>
      <c r="D11" s="2">
        <v>1</v>
      </c>
      <c r="E11" s="2"/>
      <c r="G11" s="40" t="s">
        <v>83</v>
      </c>
      <c r="J11">
        <v>1</v>
      </c>
    </row>
    <row r="12" spans="1:10" x14ac:dyDescent="0.25">
      <c r="A12" t="s">
        <v>74</v>
      </c>
      <c r="B12" s="2"/>
      <c r="C12" s="2"/>
      <c r="D12" s="2">
        <v>1</v>
      </c>
      <c r="E12" s="2"/>
      <c r="G12" s="40" t="s">
        <v>74</v>
      </c>
      <c r="J12">
        <v>1</v>
      </c>
    </row>
    <row r="13" spans="1:10" x14ac:dyDescent="0.25">
      <c r="A13" t="s">
        <v>79</v>
      </c>
      <c r="B13" s="2"/>
      <c r="C13" s="2"/>
      <c r="D13" s="2">
        <v>1</v>
      </c>
      <c r="E13" s="2"/>
      <c r="G13" s="40" t="s">
        <v>79</v>
      </c>
      <c r="J13">
        <v>1</v>
      </c>
    </row>
    <row r="14" spans="1:10" x14ac:dyDescent="0.25">
      <c r="A14" t="s">
        <v>72</v>
      </c>
      <c r="B14" s="2">
        <v>1</v>
      </c>
      <c r="C14" s="2"/>
      <c r="D14" s="2"/>
      <c r="E14" s="2"/>
      <c r="G14" s="40" t="s">
        <v>72</v>
      </c>
      <c r="H14">
        <v>1</v>
      </c>
    </row>
    <row r="15" spans="1:10" x14ac:dyDescent="0.25">
      <c r="A15" t="s">
        <v>78</v>
      </c>
      <c r="B15" s="2">
        <v>1</v>
      </c>
      <c r="C15" s="2"/>
      <c r="D15" s="2"/>
      <c r="E15" s="2"/>
      <c r="G15" s="40" t="s">
        <v>78</v>
      </c>
      <c r="H15">
        <v>1</v>
      </c>
    </row>
    <row r="16" spans="1:10" x14ac:dyDescent="0.25">
      <c r="A16" t="s">
        <v>100</v>
      </c>
      <c r="B16" s="2">
        <v>1</v>
      </c>
      <c r="C16" s="2"/>
      <c r="D16" s="2"/>
      <c r="E16" s="2"/>
      <c r="G16" s="40" t="s">
        <v>100</v>
      </c>
      <c r="H16">
        <v>1</v>
      </c>
    </row>
    <row r="17" spans="1:11" x14ac:dyDescent="0.25">
      <c r="A17" t="s">
        <v>99</v>
      </c>
      <c r="B17" s="2"/>
      <c r="C17" s="2"/>
      <c r="D17" s="2">
        <v>1</v>
      </c>
      <c r="E17" s="2"/>
      <c r="G17" s="40" t="s">
        <v>99</v>
      </c>
      <c r="J17">
        <v>1</v>
      </c>
    </row>
    <row r="18" spans="1:11" x14ac:dyDescent="0.25">
      <c r="A18" t="s">
        <v>101</v>
      </c>
      <c r="B18" s="2"/>
      <c r="C18" s="2"/>
      <c r="D18" s="2">
        <v>1</v>
      </c>
      <c r="E18" s="2"/>
      <c r="G18" s="40" t="s">
        <v>101</v>
      </c>
      <c r="J18">
        <v>1</v>
      </c>
    </row>
    <row r="19" spans="1:11" x14ac:dyDescent="0.25">
      <c r="A19" t="s">
        <v>102</v>
      </c>
      <c r="B19" s="2">
        <v>1</v>
      </c>
      <c r="C19" s="2"/>
      <c r="D19" s="2"/>
      <c r="E19" s="2"/>
      <c r="G19" s="40" t="s">
        <v>102</v>
      </c>
      <c r="H19">
        <v>1</v>
      </c>
    </row>
    <row r="20" spans="1:11" x14ac:dyDescent="0.25">
      <c r="A20" t="s">
        <v>97</v>
      </c>
      <c r="B20" s="2"/>
      <c r="C20" s="2"/>
      <c r="D20" s="2">
        <v>1</v>
      </c>
      <c r="E20" s="2"/>
      <c r="G20" s="40" t="s">
        <v>97</v>
      </c>
      <c r="J20">
        <v>1</v>
      </c>
    </row>
    <row r="21" spans="1:11" x14ac:dyDescent="0.25">
      <c r="A21" t="s">
        <v>95</v>
      </c>
      <c r="B21" s="2">
        <v>1</v>
      </c>
      <c r="C21" s="2"/>
      <c r="D21" s="2"/>
      <c r="E21" s="2"/>
      <c r="G21" s="40" t="s">
        <v>95</v>
      </c>
      <c r="H21">
        <v>1</v>
      </c>
    </row>
    <row r="22" spans="1:11" x14ac:dyDescent="0.25">
      <c r="A22" t="s">
        <v>98</v>
      </c>
      <c r="B22" s="2">
        <v>1</v>
      </c>
      <c r="C22" s="2"/>
      <c r="D22" s="2"/>
      <c r="E22" s="2"/>
      <c r="G22" s="40" t="s">
        <v>98</v>
      </c>
      <c r="H22">
        <v>1</v>
      </c>
    </row>
    <row r="23" spans="1:11" x14ac:dyDescent="0.25">
      <c r="A23" t="s">
        <v>121</v>
      </c>
      <c r="B23" s="2">
        <v>1</v>
      </c>
      <c r="C23" s="2"/>
      <c r="D23" s="2"/>
      <c r="E23" s="2"/>
      <c r="G23" s="40" t="s">
        <v>141</v>
      </c>
      <c r="J23">
        <v>1</v>
      </c>
    </row>
    <row r="24" spans="1:11" x14ac:dyDescent="0.25">
      <c r="A24" t="s">
        <v>128</v>
      </c>
      <c r="B24" s="2"/>
      <c r="C24" s="2"/>
      <c r="D24" s="2">
        <v>1</v>
      </c>
      <c r="E24" s="2"/>
      <c r="G24" s="40" t="s">
        <v>121</v>
      </c>
      <c r="H24">
        <v>1</v>
      </c>
    </row>
    <row r="25" spans="1:11" x14ac:dyDescent="0.25">
      <c r="A25" t="s">
        <v>314</v>
      </c>
      <c r="B25" s="2"/>
      <c r="C25" s="2"/>
      <c r="D25" s="2">
        <v>1</v>
      </c>
      <c r="E25" s="2"/>
      <c r="G25" s="40" t="s">
        <v>128</v>
      </c>
      <c r="J25">
        <v>1</v>
      </c>
    </row>
    <row r="26" spans="1:11" x14ac:dyDescent="0.25">
      <c r="A26" t="s">
        <v>135</v>
      </c>
      <c r="B26" s="2">
        <v>1</v>
      </c>
      <c r="C26" s="2"/>
      <c r="D26" s="2"/>
      <c r="E26" s="2"/>
      <c r="G26" s="40" t="s">
        <v>135</v>
      </c>
      <c r="H26">
        <v>1</v>
      </c>
    </row>
    <row r="27" spans="1:11" x14ac:dyDescent="0.25">
      <c r="A27" t="s">
        <v>41</v>
      </c>
      <c r="B27" s="2">
        <v>2</v>
      </c>
      <c r="C27" s="2">
        <v>1</v>
      </c>
      <c r="D27" s="2">
        <v>2</v>
      </c>
      <c r="E27" s="2">
        <v>1</v>
      </c>
      <c r="G27" s="40" t="s">
        <v>41</v>
      </c>
      <c r="H27">
        <v>1</v>
      </c>
      <c r="I27">
        <v>1</v>
      </c>
      <c r="J27">
        <v>2</v>
      </c>
      <c r="K27">
        <v>1</v>
      </c>
    </row>
    <row r="28" spans="1:11" x14ac:dyDescent="0.25">
      <c r="A28" t="s">
        <v>129</v>
      </c>
      <c r="B28" s="2">
        <v>1</v>
      </c>
      <c r="C28" s="2"/>
      <c r="D28" s="2">
        <v>1</v>
      </c>
      <c r="E28" s="2"/>
      <c r="G28" s="40" t="s">
        <v>129</v>
      </c>
      <c r="H28">
        <v>1</v>
      </c>
      <c r="J28">
        <v>1</v>
      </c>
    </row>
    <row r="29" spans="1:11" x14ac:dyDescent="0.25">
      <c r="A29" t="s">
        <v>136</v>
      </c>
      <c r="B29" s="2">
        <v>1</v>
      </c>
      <c r="C29" s="2"/>
      <c r="D29" s="2">
        <v>1</v>
      </c>
      <c r="E29" s="2"/>
      <c r="G29" s="40" t="s">
        <v>136</v>
      </c>
      <c r="H29">
        <v>1</v>
      </c>
      <c r="J29">
        <v>1</v>
      </c>
    </row>
    <row r="30" spans="1:11" x14ac:dyDescent="0.25">
      <c r="A30" t="s">
        <v>151</v>
      </c>
      <c r="B30" s="2">
        <v>1</v>
      </c>
      <c r="C30" s="2"/>
      <c r="D30" s="2">
        <v>1</v>
      </c>
      <c r="E30" s="2"/>
      <c r="G30" s="40" t="s">
        <v>151</v>
      </c>
      <c r="H30">
        <v>1</v>
      </c>
      <c r="J30">
        <v>1</v>
      </c>
    </row>
    <row r="31" spans="1:11" x14ac:dyDescent="0.25">
      <c r="A31" t="s">
        <v>120</v>
      </c>
      <c r="B31" s="2">
        <v>1</v>
      </c>
      <c r="C31" s="2"/>
      <c r="D31" s="2">
        <v>1</v>
      </c>
      <c r="E31" s="2"/>
      <c r="G31" s="40" t="s">
        <v>120</v>
      </c>
      <c r="H31">
        <v>1</v>
      </c>
      <c r="J31">
        <v>1</v>
      </c>
    </row>
    <row r="32" spans="1:11" x14ac:dyDescent="0.25">
      <c r="A32" t="s">
        <v>122</v>
      </c>
      <c r="B32" s="2">
        <v>1</v>
      </c>
      <c r="C32" s="2"/>
      <c r="D32" s="2">
        <v>1</v>
      </c>
      <c r="E32" s="2"/>
      <c r="G32" s="40" t="s">
        <v>122</v>
      </c>
      <c r="H32">
        <v>1</v>
      </c>
      <c r="J32">
        <v>1</v>
      </c>
    </row>
    <row r="33" spans="1:10" x14ac:dyDescent="0.25">
      <c r="A33" t="s">
        <v>123</v>
      </c>
      <c r="B33" s="2">
        <v>1</v>
      </c>
      <c r="C33" s="2"/>
      <c r="D33" s="2">
        <v>1</v>
      </c>
      <c r="E33" s="2"/>
      <c r="G33" s="40" t="s">
        <v>123</v>
      </c>
      <c r="H33">
        <v>1</v>
      </c>
      <c r="J33">
        <v>1</v>
      </c>
    </row>
    <row r="34" spans="1:10" x14ac:dyDescent="0.25">
      <c r="A34" t="s">
        <v>130</v>
      </c>
      <c r="B34" s="2">
        <v>1</v>
      </c>
      <c r="C34" s="2"/>
      <c r="D34" s="2">
        <v>1</v>
      </c>
      <c r="E34" s="2"/>
      <c r="G34" s="40" t="s">
        <v>130</v>
      </c>
      <c r="H34">
        <v>1</v>
      </c>
      <c r="J34">
        <v>1</v>
      </c>
    </row>
    <row r="35" spans="1:10" x14ac:dyDescent="0.25">
      <c r="A35" t="s">
        <v>127</v>
      </c>
      <c r="B35" s="2"/>
      <c r="C35" s="2"/>
      <c r="D35" s="2">
        <v>1</v>
      </c>
      <c r="E35" s="2"/>
      <c r="G35" s="40" t="s">
        <v>127</v>
      </c>
      <c r="J35">
        <v>1</v>
      </c>
    </row>
    <row r="36" spans="1:10" x14ac:dyDescent="0.25">
      <c r="A36" t="s">
        <v>137</v>
      </c>
      <c r="B36" s="2"/>
      <c r="C36" s="2"/>
      <c r="D36" s="2">
        <v>1</v>
      </c>
      <c r="E36" s="2"/>
      <c r="G36" s="40" t="s">
        <v>137</v>
      </c>
      <c r="J36">
        <v>1</v>
      </c>
    </row>
    <row r="37" spans="1:10" x14ac:dyDescent="0.25">
      <c r="A37" t="s">
        <v>142</v>
      </c>
      <c r="B37" s="2">
        <v>1</v>
      </c>
      <c r="C37" s="2"/>
      <c r="D37" s="2">
        <v>1</v>
      </c>
      <c r="E37" s="2"/>
      <c r="G37" s="40" t="s">
        <v>142</v>
      </c>
      <c r="H37">
        <v>1</v>
      </c>
      <c r="J37">
        <v>1</v>
      </c>
    </row>
    <row r="38" spans="1:10" x14ac:dyDescent="0.25">
      <c r="A38" t="s">
        <v>134</v>
      </c>
      <c r="B38" s="2">
        <v>1</v>
      </c>
      <c r="C38" s="2"/>
      <c r="D38" s="2"/>
      <c r="E38" s="2"/>
      <c r="G38" s="40" t="s">
        <v>134</v>
      </c>
      <c r="H38">
        <v>1</v>
      </c>
    </row>
    <row r="39" spans="1:10" x14ac:dyDescent="0.25">
      <c r="A39" t="s">
        <v>150</v>
      </c>
      <c r="B39" s="2"/>
      <c r="C39" s="2"/>
      <c r="D39" s="2">
        <v>1</v>
      </c>
      <c r="E39" s="2"/>
      <c r="G39" s="40" t="s">
        <v>150</v>
      </c>
      <c r="J39">
        <v>1</v>
      </c>
    </row>
    <row r="40" spans="1:10" x14ac:dyDescent="0.25">
      <c r="A40" t="s">
        <v>124</v>
      </c>
      <c r="B40" s="2">
        <v>1</v>
      </c>
      <c r="C40" s="2"/>
      <c r="D40" s="2"/>
      <c r="E40" s="2"/>
      <c r="G40" s="40" t="s">
        <v>124</v>
      </c>
      <c r="H40">
        <v>1</v>
      </c>
    </row>
    <row r="41" spans="1:10" x14ac:dyDescent="0.25">
      <c r="A41" t="s">
        <v>131</v>
      </c>
      <c r="B41" s="2"/>
      <c r="C41" s="2"/>
      <c r="D41" s="2">
        <v>1</v>
      </c>
      <c r="E41" s="2"/>
      <c r="G41" s="40" t="s">
        <v>131</v>
      </c>
      <c r="J41">
        <v>1</v>
      </c>
    </row>
    <row r="42" spans="1:10" x14ac:dyDescent="0.25">
      <c r="A42" t="s">
        <v>158</v>
      </c>
      <c r="B42" s="2"/>
      <c r="C42" s="2"/>
      <c r="D42" s="2">
        <v>1</v>
      </c>
      <c r="E42" s="2"/>
      <c r="G42" s="40" t="s">
        <v>158</v>
      </c>
      <c r="J42">
        <v>1</v>
      </c>
    </row>
    <row r="43" spans="1:10" x14ac:dyDescent="0.25">
      <c r="A43" t="s">
        <v>148</v>
      </c>
      <c r="B43" s="2">
        <v>1</v>
      </c>
      <c r="C43" s="2"/>
      <c r="D43" s="2"/>
      <c r="E43" s="2"/>
      <c r="G43" s="40" t="s">
        <v>148</v>
      </c>
      <c r="H43">
        <v>1</v>
      </c>
    </row>
    <row r="44" spans="1:10" x14ac:dyDescent="0.25">
      <c r="A44" t="s">
        <v>160</v>
      </c>
      <c r="B44" s="2">
        <v>1</v>
      </c>
      <c r="C44" s="2"/>
      <c r="D44" s="2"/>
      <c r="E44" s="2"/>
      <c r="G44" s="40" t="s">
        <v>160</v>
      </c>
      <c r="H44">
        <v>1</v>
      </c>
    </row>
    <row r="45" spans="1:10" x14ac:dyDescent="0.25">
      <c r="A45" t="s">
        <v>152</v>
      </c>
      <c r="B45" s="2"/>
      <c r="C45" s="2"/>
      <c r="D45" s="2">
        <v>1</v>
      </c>
      <c r="E45" s="2"/>
      <c r="G45" s="40"/>
    </row>
    <row r="46" spans="1:10" x14ac:dyDescent="0.25">
      <c r="A46" t="s">
        <v>125</v>
      </c>
      <c r="B46" s="2">
        <v>1</v>
      </c>
      <c r="C46" s="2">
        <v>1</v>
      </c>
      <c r="D46" s="2">
        <v>1</v>
      </c>
      <c r="E46" s="2"/>
      <c r="G46" s="40" t="s">
        <v>125</v>
      </c>
      <c r="H46">
        <v>1</v>
      </c>
      <c r="I46">
        <v>1</v>
      </c>
      <c r="J46">
        <v>1</v>
      </c>
    </row>
    <row r="47" spans="1:10" x14ac:dyDescent="0.25">
      <c r="A47" t="s">
        <v>132</v>
      </c>
      <c r="B47" s="2">
        <v>1</v>
      </c>
      <c r="C47" s="2"/>
      <c r="D47" s="2">
        <v>1</v>
      </c>
      <c r="E47" s="2"/>
      <c r="G47" s="40" t="s">
        <v>132</v>
      </c>
      <c r="H47">
        <v>1</v>
      </c>
      <c r="J47">
        <v>1</v>
      </c>
    </row>
    <row r="48" spans="1:10" x14ac:dyDescent="0.25">
      <c r="A48" t="s">
        <v>139</v>
      </c>
      <c r="B48" s="2"/>
      <c r="C48" s="2"/>
      <c r="D48" s="2">
        <v>1</v>
      </c>
      <c r="E48" s="2"/>
      <c r="G48" t="s">
        <v>139</v>
      </c>
      <c r="J48">
        <v>1</v>
      </c>
    </row>
    <row r="49" spans="1:8" x14ac:dyDescent="0.25">
      <c r="A49" t="s">
        <v>144</v>
      </c>
      <c r="B49" s="2">
        <v>1</v>
      </c>
      <c r="C49" s="2"/>
      <c r="D49" s="2"/>
      <c r="E49" s="2"/>
      <c r="G49" t="s">
        <v>144</v>
      </c>
      <c r="H49">
        <v>1</v>
      </c>
    </row>
    <row r="50" spans="1:8" x14ac:dyDescent="0.25">
      <c r="A50" t="s">
        <v>168</v>
      </c>
      <c r="B50" s="2"/>
      <c r="C50" s="2"/>
      <c r="D50" s="2"/>
      <c r="E50" s="2"/>
      <c r="G50" t="s">
        <v>166</v>
      </c>
    </row>
    <row r="51" spans="1:8" x14ac:dyDescent="0.25">
      <c r="A51" t="s">
        <v>170</v>
      </c>
      <c r="B51" s="2"/>
      <c r="C51" s="2"/>
      <c r="D51" s="2"/>
      <c r="E51" s="2"/>
      <c r="G51" t="s">
        <v>168</v>
      </c>
    </row>
    <row r="52" spans="1:8" x14ac:dyDescent="0.25">
      <c r="A52" t="s">
        <v>172</v>
      </c>
      <c r="B52" s="2"/>
      <c r="C52" s="2"/>
      <c r="D52" s="2"/>
      <c r="E52" s="2"/>
      <c r="G52" t="s">
        <v>170</v>
      </c>
    </row>
    <row r="53" spans="1:8" x14ac:dyDescent="0.25">
      <c r="G53" t="s">
        <v>172</v>
      </c>
    </row>
    <row r="54" spans="1:8" x14ac:dyDescent="0.25">
      <c r="G54" t="s">
        <v>154</v>
      </c>
    </row>
    <row r="55" spans="1:8" x14ac:dyDescent="0.25">
      <c r="G55" t="s">
        <v>177</v>
      </c>
    </row>
  </sheetData>
  <conditionalFormatting sqref="G4:G55">
    <cfRule type="cellIs" dxfId="0" priority="1" operator="equal">
      <formula>A4</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2380bd5d-8f09-40a9-a9cb-2482ec2cd2ca"/>
    <ds:schemaRef ds:uri="http://schemas.microsoft.com/office/2006/metadata/properties"/>
    <ds:schemaRef ds:uri="ba69df13-0c3c-4942-8695-6ca01564010c"/>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435F15AB-6D17-4E2E-99AC-6F9D8FF83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Architecture Planner</vt:lpstr>
      <vt:lpstr>Unitsets</vt:lpstr>
      <vt:lpstr>Handbook</vt:lpstr>
      <vt:lpstr>Structures</vt:lpstr>
      <vt:lpstr>Availabilities</vt:lpstr>
      <vt:lpstr>'Architecture Planner'!Print_Area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2024-11-11T06:42:03Z</cp:lastPrinted>
  <dcterms:created xsi:type="dcterms:W3CDTF">2022-02-28T04:48:12Z</dcterms:created>
  <dcterms:modified xsi:type="dcterms:W3CDTF">2024-11-11T06:43:35Z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