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F4E21518-C8B6-48C1-9D39-D08606002D01}" xr6:coauthVersionLast="47" xr6:coauthVersionMax="47" xr10:uidLastSave="{00000000-0000-0000-0000-000000000000}"/>
  <workbookProtection workbookAlgorithmName="SHA-512" workbookHashValue="4lKZ5+2ErM2qQhfiQ+T9mBR2z8jVbXlzUT14Jfhn6uXRTBEihYJyJdxWkXgJCQTt3/ms2Qcixeur5iqxXF8Dsw==" workbookSaltValue="YL6/vHyW4T2mnLNdc8sqYQ==" workbookSpinCount="100000" lockStructure="1"/>
  <bookViews>
    <workbookView xWindow="28680" yWindow="-120" windowWidth="29040" windowHeight="17520" xr2:uid="{00000000-000D-0000-FFFF-FFFF00000000}"/>
  </bookViews>
  <sheets>
    <sheet name="B-CRARTS" sheetId="10"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'B-CRARTS'!$A$3:$L$71</definedName>
    <definedName name="RangeOptions">Unitsets!$L$43:$L$55</definedName>
    <definedName name="RangeUnitsetsCourse">Unitsets!$L$3:$W$39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3" i="3" l="1"/>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G4" i="3"/>
  <c r="H4" i="3"/>
  <c r="I4" i="3"/>
  <c r="J4" i="3"/>
  <c r="A34" i="8" l="1"/>
  <c r="A35" i="8"/>
  <c r="A36" i="8"/>
  <c r="B34" i="8"/>
  <c r="B35" i="8"/>
  <c r="B36" i="8"/>
  <c r="D34" i="8"/>
  <c r="D35" i="8"/>
  <c r="D36" i="8"/>
  <c r="E34" i="8"/>
  <c r="E35" i="8"/>
  <c r="E36" i="8"/>
  <c r="G7" i="10" l="1"/>
  <c r="L56" i="10"/>
  <c r="K56" i="10"/>
  <c r="J56" i="10"/>
  <c r="I56" i="10"/>
  <c r="H56" i="10"/>
  <c r="L41" i="10"/>
  <c r="K41" i="10"/>
  <c r="J41" i="10"/>
  <c r="I41" i="10"/>
  <c r="H41" i="10"/>
  <c r="L29" i="10"/>
  <c r="K29" i="10"/>
  <c r="J29" i="10"/>
  <c r="I29" i="10"/>
  <c r="H29" i="10"/>
  <c r="L19" i="10"/>
  <c r="K19" i="10"/>
  <c r="J19" i="10"/>
  <c r="I19" i="10"/>
  <c r="H19" i="10"/>
  <c r="H55" i="10"/>
  <c r="H40" i="10"/>
  <c r="A40" i="10" l="1"/>
  <c r="L55" i="10" l="1"/>
  <c r="A63" i="10" l="1"/>
  <c r="A64" i="10"/>
  <c r="A65" i="10"/>
  <c r="A58" i="10"/>
  <c r="A66" i="10"/>
  <c r="A57" i="10"/>
  <c r="A59" i="10"/>
  <c r="A67" i="10"/>
  <c r="A60" i="10"/>
  <c r="A68" i="10"/>
  <c r="A61" i="10"/>
  <c r="A62" i="10"/>
  <c r="K62" i="10" l="1"/>
  <c r="J62" i="10"/>
  <c r="I62" i="10"/>
  <c r="H62" i="10"/>
  <c r="K61" i="10"/>
  <c r="J61" i="10"/>
  <c r="I61" i="10"/>
  <c r="H61" i="10"/>
  <c r="K68" i="10"/>
  <c r="J68" i="10"/>
  <c r="I68" i="10"/>
  <c r="H68" i="10"/>
  <c r="K60" i="10"/>
  <c r="J60" i="10"/>
  <c r="I60" i="10"/>
  <c r="H60" i="10"/>
  <c r="K67" i="10"/>
  <c r="J67" i="10"/>
  <c r="I67" i="10"/>
  <c r="H67" i="10"/>
  <c r="K59" i="10"/>
  <c r="J59" i="10"/>
  <c r="I59" i="10"/>
  <c r="H59" i="10"/>
  <c r="K57" i="10"/>
  <c r="J57" i="10"/>
  <c r="I57" i="10"/>
  <c r="H57" i="10"/>
  <c r="K66" i="10"/>
  <c r="J66" i="10"/>
  <c r="I66" i="10"/>
  <c r="H66" i="10"/>
  <c r="K58" i="10"/>
  <c r="J58" i="10"/>
  <c r="I58" i="10"/>
  <c r="H58" i="10"/>
  <c r="K65" i="10"/>
  <c r="J65" i="10"/>
  <c r="I65" i="10"/>
  <c r="H65" i="10"/>
  <c r="K64" i="10"/>
  <c r="J64" i="10"/>
  <c r="I64" i="10"/>
  <c r="H64" i="10"/>
  <c r="K63" i="10"/>
  <c r="J63" i="10"/>
  <c r="I63" i="10"/>
  <c r="H63" i="10"/>
  <c r="G6" i="10"/>
  <c r="G5" i="10"/>
  <c r="L6" i="10"/>
  <c r="L5" i="10"/>
  <c r="A53" i="10" l="1"/>
  <c r="A45" i="10"/>
  <c r="A52" i="10"/>
  <c r="A44" i="10"/>
  <c r="A51" i="10"/>
  <c r="A43" i="10"/>
  <c r="A48" i="10"/>
  <c r="A46" i="10"/>
  <c r="A50" i="10"/>
  <c r="A42" i="10"/>
  <c r="A49" i="10"/>
  <c r="A47" i="10"/>
  <c r="A30" i="10"/>
  <c r="A28" i="10"/>
  <c r="A38" i="10"/>
  <c r="A27" i="10"/>
  <c r="A25" i="10"/>
  <c r="A37" i="10"/>
  <c r="A26" i="10"/>
  <c r="A36" i="10"/>
  <c r="A35" i="10"/>
  <c r="E35" i="10" s="1"/>
  <c r="A23" i="10"/>
  <c r="A33" i="10"/>
  <c r="A22" i="10"/>
  <c r="A32" i="10"/>
  <c r="A21" i="10"/>
  <c r="A31" i="10"/>
  <c r="A20" i="10"/>
  <c r="A18" i="10"/>
  <c r="A16" i="10"/>
  <c r="A15" i="10"/>
  <c r="E15" i="10" s="1"/>
  <c r="A12" i="10"/>
  <c r="A11" i="10"/>
  <c r="A13" i="10"/>
  <c r="A10" i="10"/>
  <c r="A17" i="10"/>
  <c r="E16" i="10" l="1"/>
  <c r="E17" i="10" s="1"/>
  <c r="E18" i="10" s="1"/>
  <c r="E36" i="10"/>
  <c r="E37" i="10" s="1"/>
  <c r="E38" i="10" s="1"/>
  <c r="D37" i="10"/>
  <c r="G37" i="10"/>
  <c r="B37" i="10"/>
  <c r="J37" i="10"/>
  <c r="H37" i="10"/>
  <c r="C37" i="10"/>
  <c r="F37" i="10"/>
  <c r="K37" i="10"/>
  <c r="I37" i="10"/>
  <c r="I32" i="10"/>
  <c r="F32" i="10"/>
  <c r="C32" i="10"/>
  <c r="H32" i="10"/>
  <c r="K32" i="10"/>
  <c r="B32" i="10"/>
  <c r="J32" i="10"/>
  <c r="G32" i="10"/>
  <c r="D32" i="10"/>
  <c r="K33" i="10"/>
  <c r="D33" i="10"/>
  <c r="B33" i="10"/>
  <c r="G33" i="10"/>
  <c r="J33" i="10"/>
  <c r="C33" i="10"/>
  <c r="H33" i="10"/>
  <c r="F33" i="10"/>
  <c r="I33" i="10"/>
  <c r="K38" i="10"/>
  <c r="G38" i="10"/>
  <c r="B38" i="10"/>
  <c r="J38" i="10"/>
  <c r="I38" i="10"/>
  <c r="H38" i="10"/>
  <c r="D38" i="10"/>
  <c r="F38" i="10"/>
  <c r="C38" i="10"/>
  <c r="I36" i="10"/>
  <c r="B36" i="10"/>
  <c r="G36" i="10"/>
  <c r="J36" i="10"/>
  <c r="C36" i="10"/>
  <c r="K36" i="10"/>
  <c r="F36" i="10"/>
  <c r="D36" i="10"/>
  <c r="H36" i="10"/>
  <c r="G31" i="10"/>
  <c r="B31" i="10"/>
  <c r="J31" i="10"/>
  <c r="D31" i="10"/>
  <c r="C31" i="10"/>
  <c r="I31" i="10"/>
  <c r="K31" i="10"/>
  <c r="H31" i="10"/>
  <c r="F31" i="10"/>
  <c r="I35" i="10"/>
  <c r="D35" i="10"/>
  <c r="B35" i="10"/>
  <c r="F35" i="10"/>
  <c r="C35" i="10"/>
  <c r="J35" i="10"/>
  <c r="G35" i="10"/>
  <c r="H35" i="10"/>
  <c r="K35" i="10"/>
  <c r="I30" i="10"/>
  <c r="B30" i="10"/>
  <c r="D30" i="10"/>
  <c r="G30" i="10"/>
  <c r="J30" i="10"/>
  <c r="F30" i="10"/>
  <c r="C30" i="10"/>
  <c r="K30" i="10"/>
  <c r="E30" i="10"/>
  <c r="E31" i="10" s="1"/>
  <c r="E32" i="10" s="1"/>
  <c r="E33" i="10" s="1"/>
  <c r="H30" i="10"/>
  <c r="K10" i="10"/>
  <c r="I10" i="10"/>
  <c r="J10" i="10"/>
  <c r="K18" i="10"/>
  <c r="J18" i="10"/>
  <c r="I18" i="10"/>
  <c r="H18" i="10"/>
  <c r="D11" i="10"/>
  <c r="K11" i="10"/>
  <c r="J11" i="10"/>
  <c r="I11" i="10"/>
  <c r="H11" i="10"/>
  <c r="K13" i="10"/>
  <c r="J13" i="10"/>
  <c r="I13" i="10"/>
  <c r="H13" i="10"/>
  <c r="K16" i="10"/>
  <c r="I16" i="10"/>
  <c r="J16" i="10"/>
  <c r="H16" i="10"/>
  <c r="K22" i="10"/>
  <c r="I22" i="10"/>
  <c r="J22" i="10"/>
  <c r="H22" i="10"/>
  <c r="K15" i="10"/>
  <c r="I15" i="10"/>
  <c r="H15" i="10"/>
  <c r="J15" i="10"/>
  <c r="D23" i="10"/>
  <c r="K23" i="10"/>
  <c r="I23" i="10"/>
  <c r="H23" i="10"/>
  <c r="J23" i="10"/>
  <c r="K27" i="10"/>
  <c r="J27" i="10"/>
  <c r="I27" i="10"/>
  <c r="H27" i="10"/>
  <c r="K28" i="10"/>
  <c r="J28" i="10"/>
  <c r="I28" i="10"/>
  <c r="H28" i="10"/>
  <c r="K43" i="10"/>
  <c r="J43" i="10"/>
  <c r="H43" i="10"/>
  <c r="I43" i="10"/>
  <c r="K17" i="10"/>
  <c r="J17" i="10"/>
  <c r="H17" i="10"/>
  <c r="I17" i="10"/>
  <c r="K47" i="10"/>
  <c r="J47" i="10"/>
  <c r="H47" i="10"/>
  <c r="I47" i="10"/>
  <c r="K26" i="10"/>
  <c r="J26" i="10"/>
  <c r="H26" i="10"/>
  <c r="I26" i="10"/>
  <c r="K44" i="10"/>
  <c r="J44" i="10"/>
  <c r="I44" i="10"/>
  <c r="H44" i="10"/>
  <c r="H48" i="10"/>
  <c r="K48" i="10"/>
  <c r="J48" i="10"/>
  <c r="I48" i="10"/>
  <c r="K21" i="10"/>
  <c r="J21" i="10"/>
  <c r="H21" i="10"/>
  <c r="I21" i="10"/>
  <c r="K45" i="10"/>
  <c r="J45" i="10"/>
  <c r="I45" i="10"/>
  <c r="H45" i="10"/>
  <c r="K51" i="10"/>
  <c r="J51" i="10"/>
  <c r="I51" i="10"/>
  <c r="H51" i="10"/>
  <c r="K42" i="10"/>
  <c r="J42" i="10"/>
  <c r="H42" i="10"/>
  <c r="I42" i="10"/>
  <c r="K53" i="10"/>
  <c r="J53" i="10"/>
  <c r="H53" i="10"/>
  <c r="I53" i="10"/>
  <c r="K49" i="10"/>
  <c r="J49" i="10"/>
  <c r="H49" i="10"/>
  <c r="I49" i="10"/>
  <c r="K25" i="10"/>
  <c r="J25" i="10"/>
  <c r="I25" i="10"/>
  <c r="H25" i="10"/>
  <c r="K12" i="10"/>
  <c r="J12" i="10"/>
  <c r="I12" i="10"/>
  <c r="H12" i="10"/>
  <c r="K46" i="10"/>
  <c r="H46" i="10"/>
  <c r="J46" i="10"/>
  <c r="I46" i="10"/>
  <c r="K52" i="10"/>
  <c r="J52" i="10"/>
  <c r="I52" i="10"/>
  <c r="H52" i="10"/>
  <c r="K50" i="10"/>
  <c r="J50" i="10"/>
  <c r="H50" i="10"/>
  <c r="I50" i="10"/>
  <c r="K20" i="10"/>
  <c r="H20" i="10"/>
  <c r="J20" i="10"/>
  <c r="I20" i="10"/>
  <c r="E10" i="10"/>
  <c r="E11" i="10" s="1"/>
  <c r="E12" i="10" s="1"/>
  <c r="E13" i="10" s="1"/>
  <c r="H10" i="10"/>
  <c r="C17" i="10"/>
  <c r="G17" i="10"/>
  <c r="D17" i="10"/>
  <c r="B17" i="10"/>
  <c r="F17" i="10"/>
  <c r="C51" i="10"/>
  <c r="D51" i="10"/>
  <c r="B51" i="10"/>
  <c r="F51" i="10"/>
  <c r="G51" i="10"/>
  <c r="D50" i="10"/>
  <c r="F50" i="10"/>
  <c r="G50" i="10"/>
  <c r="B50" i="10"/>
  <c r="C50" i="10"/>
  <c r="B11" i="10"/>
  <c r="F11" i="10"/>
  <c r="C11" i="10"/>
  <c r="G11" i="10"/>
  <c r="C23" i="10"/>
  <c r="F23" i="10"/>
  <c r="C18" i="10"/>
  <c r="B18" i="10"/>
  <c r="F18" i="10"/>
  <c r="G18" i="10"/>
  <c r="D18" i="10"/>
  <c r="B23" i="10"/>
  <c r="G23" i="10"/>
  <c r="B64" i="10"/>
  <c r="G64" i="10"/>
  <c r="F64" i="10"/>
  <c r="C64" i="10"/>
  <c r="D64" i="10"/>
  <c r="B22" i="10"/>
  <c r="G22" i="10"/>
  <c r="F22" i="10"/>
  <c r="D22" i="10"/>
  <c r="C22" i="10"/>
  <c r="G65" i="10"/>
  <c r="F65" i="10"/>
  <c r="D65" i="10"/>
  <c r="C65" i="10"/>
  <c r="B65" i="10"/>
  <c r="F25" i="10"/>
  <c r="D25" i="10"/>
  <c r="C25" i="10"/>
  <c r="B25" i="10"/>
  <c r="G25" i="10"/>
  <c r="E25" i="10"/>
  <c r="E26" i="10" s="1"/>
  <c r="E27" i="10" s="1"/>
  <c r="E28" i="10" s="1"/>
  <c r="F48" i="10"/>
  <c r="C48" i="10"/>
  <c r="B48" i="10"/>
  <c r="G48" i="10"/>
  <c r="D48" i="10"/>
  <c r="C28" i="10"/>
  <c r="B28" i="10"/>
  <c r="F28" i="10"/>
  <c r="G28" i="10"/>
  <c r="D28" i="10"/>
  <c r="G57" i="10"/>
  <c r="F57" i="10"/>
  <c r="D57" i="10"/>
  <c r="C57" i="10"/>
  <c r="B57" i="10"/>
  <c r="D21" i="10"/>
  <c r="C21" i="10"/>
  <c r="B21" i="10"/>
  <c r="G21" i="10"/>
  <c r="F21" i="10"/>
  <c r="G46" i="10"/>
  <c r="F46" i="10"/>
  <c r="B46" i="10"/>
  <c r="D46" i="10"/>
  <c r="C46" i="10"/>
  <c r="F10" i="10"/>
  <c r="D10" i="10"/>
  <c r="C10" i="10"/>
  <c r="B10" i="10"/>
  <c r="G10" i="10"/>
  <c r="G26" i="10"/>
  <c r="D26" i="10"/>
  <c r="C26" i="10"/>
  <c r="F26" i="10"/>
  <c r="B26" i="10"/>
  <c r="G52" i="10"/>
  <c r="F52" i="10"/>
  <c r="B52" i="10"/>
  <c r="C52" i="10"/>
  <c r="D52" i="10"/>
  <c r="B60" i="10"/>
  <c r="G60" i="10"/>
  <c r="F60" i="10"/>
  <c r="C60" i="10"/>
  <c r="D60" i="10"/>
  <c r="G42" i="10"/>
  <c r="F42" i="10"/>
  <c r="B42" i="10"/>
  <c r="D42" i="10"/>
  <c r="C42" i="10"/>
  <c r="D67" i="10"/>
  <c r="C67" i="10"/>
  <c r="B67" i="10"/>
  <c r="F67" i="10"/>
  <c r="G67" i="10"/>
  <c r="F27" i="10"/>
  <c r="D27" i="10"/>
  <c r="B27" i="10"/>
  <c r="G27" i="10"/>
  <c r="C27" i="10"/>
  <c r="C16" i="10"/>
  <c r="B16" i="10"/>
  <c r="F16" i="10"/>
  <c r="G16" i="10"/>
  <c r="D16" i="10"/>
  <c r="G20" i="10"/>
  <c r="F20" i="10"/>
  <c r="C20" i="10"/>
  <c r="E20" i="10"/>
  <c r="E21" i="10" s="1"/>
  <c r="E22" i="10" s="1"/>
  <c r="E23" i="10" s="1"/>
  <c r="D20" i="10"/>
  <c r="B20" i="10"/>
  <c r="G66" i="10"/>
  <c r="F66" i="10"/>
  <c r="D66" i="10"/>
  <c r="C66" i="10"/>
  <c r="B66" i="10"/>
  <c r="D63" i="10"/>
  <c r="C63" i="10"/>
  <c r="B63" i="10"/>
  <c r="F63" i="10"/>
  <c r="G63" i="10"/>
  <c r="G62" i="10"/>
  <c r="F62" i="10"/>
  <c r="D62" i="10"/>
  <c r="C62" i="10"/>
  <c r="B62" i="10"/>
  <c r="F43" i="10"/>
  <c r="D43" i="10"/>
  <c r="C43" i="10"/>
  <c r="G43" i="10"/>
  <c r="B43" i="10"/>
  <c r="B15" i="10"/>
  <c r="G15" i="10"/>
  <c r="F15" i="10"/>
  <c r="D15" i="10"/>
  <c r="C15" i="10"/>
  <c r="C45" i="10"/>
  <c r="D45" i="10"/>
  <c r="G45" i="10"/>
  <c r="F45" i="10"/>
  <c r="B45" i="10"/>
  <c r="G61" i="10"/>
  <c r="F61" i="10"/>
  <c r="D61" i="10"/>
  <c r="C61" i="10"/>
  <c r="B61" i="10"/>
  <c r="D13" i="10"/>
  <c r="C13" i="10"/>
  <c r="B13" i="10"/>
  <c r="G13" i="10"/>
  <c r="F13" i="10"/>
  <c r="D59" i="10"/>
  <c r="C59" i="10"/>
  <c r="B59" i="10"/>
  <c r="F59" i="10"/>
  <c r="G59" i="10"/>
  <c r="F47" i="10"/>
  <c r="D47" i="10"/>
  <c r="C47" i="10"/>
  <c r="G47" i="10"/>
  <c r="B47" i="10"/>
  <c r="F53" i="10"/>
  <c r="D53" i="10"/>
  <c r="C53" i="10"/>
  <c r="G53" i="10"/>
  <c r="B53" i="10"/>
  <c r="C12" i="10"/>
  <c r="B12" i="10"/>
  <c r="F12" i="10"/>
  <c r="G12" i="10"/>
  <c r="D12" i="10"/>
  <c r="C49" i="10"/>
  <c r="D49" i="10"/>
  <c r="G49" i="10"/>
  <c r="F49" i="10"/>
  <c r="B49" i="10"/>
  <c r="G58" i="10"/>
  <c r="F58" i="10"/>
  <c r="D58" i="10"/>
  <c r="C58" i="10"/>
  <c r="B58" i="10"/>
  <c r="B68" i="10"/>
  <c r="G68" i="10"/>
  <c r="F68" i="10"/>
  <c r="C68" i="10"/>
  <c r="D68" i="10"/>
  <c r="C44" i="10"/>
  <c r="B44" i="10"/>
  <c r="G44" i="10"/>
  <c r="F44" i="10"/>
  <c r="D44" i="10"/>
  <c r="A54" i="8" l="1"/>
  <c r="A55" i="8"/>
  <c r="B54" i="8"/>
  <c r="B55" i="8"/>
  <c r="D54" i="8"/>
  <c r="D55" i="8"/>
  <c r="E54" i="8"/>
  <c r="E55" i="8"/>
  <c r="A53" i="8" l="1"/>
  <c r="B53" i="8"/>
  <c r="D53" i="8"/>
  <c r="E53" i="8"/>
  <c r="A50" i="8"/>
  <c r="B50" i="8"/>
  <c r="D50" i="8"/>
  <c r="E50" i="8"/>
  <c r="A49" i="8"/>
  <c r="B49" i="8"/>
  <c r="D49" i="8"/>
  <c r="E49" i="8"/>
  <c r="E67" i="8" l="1"/>
  <c r="D67" i="8"/>
  <c r="B67" i="8"/>
  <c r="A67" i="8"/>
  <c r="E66" i="8"/>
  <c r="D66" i="8"/>
  <c r="B66" i="8"/>
  <c r="A66" i="8"/>
  <c r="E65" i="8"/>
  <c r="D65" i="8"/>
  <c r="B65" i="8"/>
  <c r="A65" i="8"/>
  <c r="E64" i="8"/>
  <c r="D64" i="8"/>
  <c r="B64" i="8"/>
  <c r="A64" i="8"/>
  <c r="E63" i="8"/>
  <c r="D63" i="8"/>
  <c r="B63" i="8"/>
  <c r="A63" i="8"/>
  <c r="E62" i="8"/>
  <c r="D62" i="8"/>
  <c r="B62" i="8"/>
  <c r="A62" i="8"/>
  <c r="E61" i="8"/>
  <c r="D61" i="8"/>
  <c r="B61" i="8"/>
  <c r="A61" i="8"/>
  <c r="E60" i="8"/>
  <c r="D60" i="8"/>
  <c r="B60" i="8"/>
  <c r="A60" i="8"/>
  <c r="E59" i="8"/>
  <c r="D59" i="8"/>
  <c r="B59" i="8"/>
  <c r="A59" i="8"/>
  <c r="E58" i="8"/>
  <c r="D58" i="8"/>
  <c r="B58" i="8"/>
  <c r="A58" i="8"/>
  <c r="O7" i="3" s="1"/>
  <c r="O13" i="3" l="1"/>
  <c r="O27" i="3"/>
  <c r="O6" i="3"/>
  <c r="O19" i="3"/>
  <c r="O17" i="3"/>
  <c r="O18" i="3"/>
  <c r="O9" i="3"/>
  <c r="O8" i="3"/>
  <c r="O21" i="3"/>
  <c r="O20" i="3"/>
  <c r="O50" i="3"/>
  <c r="O51" i="3"/>
  <c r="O63" i="3"/>
  <c r="O26" i="3"/>
  <c r="O57" i="3"/>
  <c r="O29" i="3"/>
  <c r="O43" i="3"/>
  <c r="O53" i="3"/>
  <c r="O4" i="3"/>
  <c r="O5" i="3"/>
  <c r="O10" i="3"/>
  <c r="O11" i="3"/>
  <c r="O12" i="3"/>
  <c r="O14" i="3"/>
  <c r="O15" i="3"/>
  <c r="O16" i="3"/>
  <c r="O22" i="3"/>
  <c r="O23" i="3"/>
  <c r="O24" i="3"/>
  <c r="O25" i="3"/>
  <c r="O28" i="3"/>
  <c r="O30" i="3"/>
  <c r="O31" i="3"/>
  <c r="O32" i="3"/>
  <c r="O33" i="3"/>
  <c r="O34" i="3"/>
  <c r="O35" i="3"/>
  <c r="O36" i="3"/>
  <c r="O37" i="3"/>
  <c r="O38" i="3"/>
  <c r="O39" i="3"/>
  <c r="O40" i="3"/>
  <c r="O41" i="3"/>
  <c r="O42" i="3"/>
  <c r="O44" i="3"/>
  <c r="O45" i="3"/>
  <c r="O46" i="3"/>
  <c r="O47" i="3"/>
  <c r="O48" i="3"/>
  <c r="O49" i="3"/>
  <c r="O52" i="3"/>
  <c r="O54" i="3"/>
  <c r="O55" i="3"/>
  <c r="O56" i="3"/>
  <c r="O58" i="3"/>
  <c r="O59" i="3"/>
  <c r="O60" i="3"/>
  <c r="O61" i="3"/>
  <c r="O62" i="3"/>
  <c r="E48" i="8"/>
  <c r="D48" i="8"/>
  <c r="B48" i="8"/>
  <c r="A48" i="8"/>
  <c r="E47" i="8"/>
  <c r="D47" i="8"/>
  <c r="B47" i="8"/>
  <c r="A47" i="8"/>
  <c r="E52" i="8"/>
  <c r="D52" i="8"/>
  <c r="B52" i="8"/>
  <c r="A52" i="8"/>
  <c r="E46" i="8"/>
  <c r="D46" i="8"/>
  <c r="B46" i="8"/>
  <c r="A46" i="8"/>
  <c r="E51" i="8"/>
  <c r="D51" i="8"/>
  <c r="B51" i="8"/>
  <c r="A51" i="8"/>
  <c r="E45" i="8"/>
  <c r="D45" i="8"/>
  <c r="B45" i="8"/>
  <c r="A45" i="8"/>
  <c r="E44" i="8"/>
  <c r="D44" i="8"/>
  <c r="B44" i="8"/>
  <c r="A44" i="8"/>
  <c r="E43" i="8"/>
  <c r="D43" i="8"/>
  <c r="B43" i="8"/>
  <c r="A43" i="8"/>
  <c r="E42" i="8"/>
  <c r="D42" i="8"/>
  <c r="B42" i="8"/>
  <c r="A42" i="8"/>
  <c r="E41" i="8"/>
  <c r="D41" i="8"/>
  <c r="B41" i="8"/>
  <c r="A41" i="8"/>
  <c r="N7" i="3" s="1"/>
  <c r="N13" i="3" l="1"/>
  <c r="N27" i="3"/>
  <c r="N6" i="3"/>
  <c r="N9" i="3"/>
  <c r="N8" i="3"/>
  <c r="N18" i="3"/>
  <c r="N20" i="3"/>
  <c r="N17" i="3"/>
  <c r="N21" i="3"/>
  <c r="N19" i="3"/>
  <c r="N23" i="3"/>
  <c r="N24" i="3"/>
  <c r="N25" i="3"/>
  <c r="N31" i="3"/>
  <c r="N32" i="3"/>
  <c r="N50" i="3"/>
  <c r="N53" i="3"/>
  <c r="N22" i="3"/>
  <c r="N45" i="3"/>
  <c r="N48" i="3"/>
  <c r="N60" i="3"/>
  <c r="N46" i="3"/>
  <c r="N61" i="3"/>
  <c r="N30" i="3"/>
  <c r="N51" i="3"/>
  <c r="N10" i="3"/>
  <c r="N33" i="3"/>
  <c r="N49" i="3"/>
  <c r="N62" i="3"/>
  <c r="N11" i="3"/>
  <c r="N34" i="3"/>
  <c r="N38" i="3"/>
  <c r="N52" i="3"/>
  <c r="N15" i="3"/>
  <c r="N58" i="3"/>
  <c r="N12" i="3"/>
  <c r="N35" i="3"/>
  <c r="N39" i="3"/>
  <c r="N54" i="3"/>
  <c r="N14" i="3"/>
  <c r="N36" i="3"/>
  <c r="N40" i="3"/>
  <c r="N55" i="3"/>
  <c r="N29" i="3"/>
  <c r="N42" i="3"/>
  <c r="N63" i="3"/>
  <c r="N28" i="3"/>
  <c r="N41" i="3"/>
  <c r="N56" i="3"/>
  <c r="N26" i="3"/>
  <c r="N57" i="3"/>
  <c r="N43" i="3"/>
  <c r="N5" i="3"/>
  <c r="N16" i="3"/>
  <c r="N44" i="3"/>
  <c r="N59" i="3"/>
  <c r="N37" i="3"/>
  <c r="N47" i="3"/>
  <c r="N4" i="3"/>
  <c r="E38" i="8"/>
  <c r="D38" i="8"/>
  <c r="B38" i="8"/>
  <c r="A38" i="8"/>
  <c r="E37" i="8"/>
  <c r="D37" i="8"/>
  <c r="B37" i="8"/>
  <c r="A37" i="8"/>
  <c r="E33" i="8"/>
  <c r="D33" i="8"/>
  <c r="B33" i="8"/>
  <c r="A33" i="8"/>
  <c r="E32" i="8"/>
  <c r="D32" i="8"/>
  <c r="B32" i="8"/>
  <c r="A32" i="8"/>
  <c r="E31" i="8"/>
  <c r="D31" i="8"/>
  <c r="B31" i="8"/>
  <c r="A31" i="8"/>
  <c r="E30" i="8"/>
  <c r="D30" i="8"/>
  <c r="B30" i="8"/>
  <c r="A30" i="8"/>
  <c r="E29" i="8"/>
  <c r="D29" i="8"/>
  <c r="B29" i="8"/>
  <c r="A29" i="8"/>
  <c r="M7" i="3" s="1"/>
  <c r="M13" i="3" l="1"/>
  <c r="M27" i="3"/>
  <c r="M6" i="3"/>
  <c r="M19" i="3"/>
  <c r="M17" i="3"/>
  <c r="M18" i="3"/>
  <c r="M9" i="3"/>
  <c r="M8" i="3"/>
  <c r="M21" i="3"/>
  <c r="M20" i="3"/>
  <c r="M50" i="3"/>
  <c r="M51" i="3"/>
  <c r="M63" i="3"/>
  <c r="M26" i="3"/>
  <c r="M57" i="3"/>
  <c r="M29" i="3"/>
  <c r="M43" i="3"/>
  <c r="M53" i="3"/>
  <c r="M4" i="3"/>
  <c r="M5" i="3"/>
  <c r="M10" i="3"/>
  <c r="M11" i="3"/>
  <c r="M12" i="3"/>
  <c r="M14" i="3"/>
  <c r="M15" i="3"/>
  <c r="M16" i="3"/>
  <c r="M22" i="3"/>
  <c r="M23" i="3"/>
  <c r="M24" i="3"/>
  <c r="M25" i="3"/>
  <c r="M28" i="3"/>
  <c r="M30" i="3"/>
  <c r="M31" i="3"/>
  <c r="M32" i="3"/>
  <c r="M33" i="3"/>
  <c r="M34" i="3"/>
  <c r="M35" i="3"/>
  <c r="M36" i="3"/>
  <c r="M37" i="3"/>
  <c r="M38" i="3"/>
  <c r="M39" i="3"/>
  <c r="M40" i="3"/>
  <c r="M41" i="3"/>
  <c r="M42" i="3"/>
  <c r="M44" i="3"/>
  <c r="M45" i="3"/>
  <c r="M46" i="3"/>
  <c r="M47" i="3"/>
  <c r="M48" i="3"/>
  <c r="M49" i="3"/>
  <c r="M52" i="3"/>
  <c r="M54" i="3"/>
  <c r="M55" i="3"/>
  <c r="M56" i="3"/>
  <c r="M58" i="3"/>
  <c r="M59" i="3"/>
  <c r="M60" i="3"/>
  <c r="M61" i="3"/>
  <c r="M62" i="3"/>
  <c r="AP19" i="2"/>
  <c r="AP15" i="2"/>
  <c r="AP11" i="2"/>
  <c r="AP7" i="2"/>
  <c r="AP18" i="2" l="1"/>
  <c r="AP17" i="2"/>
  <c r="AP16" i="2"/>
  <c r="AP14" i="2"/>
  <c r="AP13" i="2"/>
  <c r="AP12" i="2"/>
  <c r="AP10" i="2"/>
  <c r="AP9" i="2"/>
  <c r="AP8" i="2"/>
  <c r="AP27" i="2"/>
  <c r="AP26" i="2"/>
  <c r="AP25" i="2"/>
  <c r="AP24" i="2"/>
  <c r="AP23" i="2"/>
  <c r="AP22" i="2"/>
  <c r="AP21" i="2"/>
  <c r="AP20" i="2"/>
  <c r="AP6" i="2"/>
  <c r="AP5" i="2"/>
  <c r="AP4" i="2"/>
  <c r="AU26" i="2" l="1"/>
  <c r="AU25" i="2"/>
  <c r="AU22" i="2"/>
  <c r="AU21" i="2"/>
  <c r="AU20" i="2"/>
  <c r="AU19" i="2"/>
  <c r="AU18" i="2"/>
  <c r="AU17" i="2"/>
  <c r="AU16" i="2"/>
  <c r="AU15" i="2"/>
  <c r="AU14" i="2"/>
  <c r="AU13" i="2"/>
  <c r="AU12" i="2"/>
  <c r="AU11" i="2"/>
  <c r="AU10" i="2"/>
  <c r="AU9" i="2"/>
  <c r="AU8" i="2"/>
  <c r="AU7" i="2"/>
  <c r="AU6" i="2"/>
  <c r="AU5" i="2"/>
  <c r="AU4" i="2"/>
  <c r="AS23" i="2" l="1"/>
  <c r="AU23" i="2"/>
  <c r="AR24" i="2"/>
  <c r="AU24" i="2"/>
  <c r="AX27" i="2"/>
  <c r="AU27" i="2"/>
  <c r="AS24" i="2"/>
  <c r="AQ26" i="2"/>
  <c r="AT24" i="2"/>
  <c r="AS22" i="2"/>
  <c r="AR26" i="2"/>
  <c r="AT22" i="2"/>
  <c r="AS26" i="2"/>
  <c r="AR22" i="2"/>
  <c r="AQ22" i="2"/>
  <c r="AT23" i="2"/>
  <c r="AR25" i="2"/>
  <c r="AS25" i="2"/>
  <c r="AQ25" i="2"/>
  <c r="AT25" i="2"/>
  <c r="AR27" i="2"/>
  <c r="AR20" i="2"/>
  <c r="AQ21" i="2"/>
  <c r="AT26" i="2"/>
  <c r="AS27" i="2"/>
  <c r="AQ20" i="2"/>
  <c r="AS20" i="2"/>
  <c r="AS21" i="2"/>
  <c r="AT21" i="2"/>
  <c r="AR23" i="2"/>
  <c r="AQ24" i="2"/>
  <c r="AW27" i="2"/>
  <c r="AY27" i="2"/>
  <c r="AQ27" i="2"/>
  <c r="AR21" i="2"/>
  <c r="AT27" i="2"/>
  <c r="AT20" i="2"/>
  <c r="AQ23" i="2"/>
  <c r="AV27" i="2"/>
  <c r="AY21" i="2"/>
  <c r="AX21" i="2"/>
  <c r="AW21" i="2"/>
  <c r="AV21" i="2"/>
  <c r="AY20" i="2"/>
  <c r="AX20" i="2"/>
  <c r="AW20" i="2"/>
  <c r="AV20" i="2"/>
  <c r="AY24" i="2"/>
  <c r="AX24" i="2"/>
  <c r="AW24" i="2"/>
  <c r="AV24" i="2"/>
  <c r="AY23" i="2"/>
  <c r="AX23" i="2"/>
  <c r="AW23" i="2"/>
  <c r="AV23" i="2"/>
  <c r="AY26" i="2"/>
  <c r="AX26" i="2"/>
  <c r="AW26" i="2"/>
  <c r="AV26" i="2"/>
  <c r="AY25" i="2"/>
  <c r="AX25" i="2"/>
  <c r="AW25" i="2"/>
  <c r="AV25" i="2"/>
  <c r="AY22" i="2"/>
  <c r="AX22" i="2"/>
  <c r="AV22" i="2"/>
  <c r="AW22" i="2" l="1"/>
  <c r="A25" i="8" l="1"/>
  <c r="B25" i="8"/>
  <c r="D25" i="8"/>
  <c r="E25"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E3" i="8" l="1"/>
  <c r="E4" i="8"/>
  <c r="E5" i="8"/>
  <c r="E6" i="8"/>
  <c r="D3" i="8"/>
  <c r="D4" i="8"/>
  <c r="D5" i="8"/>
  <c r="D6" i="8"/>
  <c r="B3" i="8"/>
  <c r="B4" i="8"/>
  <c r="B5" i="8"/>
  <c r="B6" i="8"/>
  <c r="A4" i="8"/>
  <c r="A5" i="8"/>
  <c r="A6" i="8"/>
  <c r="L27" i="3" l="1"/>
  <c r="L7" i="3"/>
  <c r="L13" i="3"/>
  <c r="L11" i="3"/>
  <c r="L6" i="3"/>
  <c r="L19" i="3"/>
  <c r="L17" i="3"/>
  <c r="L18" i="3"/>
  <c r="L9" i="3"/>
  <c r="L8" i="3"/>
  <c r="L21" i="3"/>
  <c r="L20" i="3"/>
  <c r="L50" i="3"/>
  <c r="L51" i="3"/>
  <c r="L63" i="3"/>
  <c r="L26" i="3"/>
  <c r="L57" i="3"/>
  <c r="L53" i="3"/>
  <c r="L29" i="3"/>
  <c r="L43" i="3"/>
  <c r="L5" i="3"/>
  <c r="L58" i="3"/>
  <c r="L45" i="3"/>
  <c r="L44" i="3"/>
  <c r="L48" i="3"/>
  <c r="L34" i="3"/>
  <c r="L49" i="3"/>
  <c r="L38" i="3"/>
  <c r="L30" i="3"/>
  <c r="L62" i="3"/>
  <c r="L35" i="3"/>
  <c r="L59" i="3"/>
  <c r="L28" i="3"/>
  <c r="L15" i="3"/>
  <c r="L41" i="3"/>
  <c r="L61" i="3"/>
  <c r="L36" i="3"/>
  <c r="L31" i="3"/>
  <c r="L25" i="3"/>
  <c r="L47" i="3"/>
  <c r="L56" i="3"/>
  <c r="L24" i="3"/>
  <c r="L10" i="3"/>
  <c r="L46" i="3"/>
  <c r="L12" i="3"/>
  <c r="L39" i="3"/>
  <c r="L23" i="3"/>
  <c r="L22" i="3"/>
  <c r="L33" i="3"/>
  <c r="L54" i="3"/>
  <c r="L37" i="3"/>
  <c r="L14" i="3"/>
  <c r="L60" i="3"/>
  <c r="L42" i="3"/>
  <c r="L55" i="3"/>
  <c r="L32" i="3"/>
  <c r="L52" i="3"/>
  <c r="L16" i="3"/>
  <c r="L40" i="3"/>
  <c r="L4" i="3"/>
  <c r="AY19" i="2" l="1"/>
  <c r="AX19" i="2"/>
  <c r="AW19" i="2"/>
  <c r="AV19" i="2"/>
  <c r="AT19" i="2"/>
  <c r="AS19" i="2"/>
  <c r="AR19" i="2"/>
  <c r="AQ19" i="2"/>
  <c r="AT18" i="2"/>
  <c r="AS18" i="2"/>
  <c r="AR18" i="2"/>
  <c r="AQ18" i="2"/>
  <c r="AT17" i="2"/>
  <c r="AS17" i="2"/>
  <c r="AR17" i="2"/>
  <c r="AQ17" i="2"/>
  <c r="AT16" i="2"/>
  <c r="AS16" i="2"/>
  <c r="AR16" i="2"/>
  <c r="AQ16" i="2"/>
  <c r="AT15" i="2"/>
  <c r="AS15" i="2"/>
  <c r="AR15" i="2"/>
  <c r="AQ15" i="2"/>
  <c r="AQ4" i="2" l="1"/>
  <c r="AR4" i="2"/>
  <c r="AQ14" i="2"/>
  <c r="AQ13" i="2"/>
  <c r="AQ12" i="2"/>
  <c r="AQ11" i="2"/>
  <c r="AQ10" i="2"/>
  <c r="AQ9" i="2"/>
  <c r="AQ8" i="2"/>
  <c r="AQ7" i="2"/>
  <c r="AQ6" i="2"/>
  <c r="AQ5" i="2"/>
  <c r="AY14" i="2"/>
  <c r="AX14" i="2"/>
  <c r="AW14" i="2"/>
  <c r="AV14" i="2"/>
  <c r="AT14" i="2"/>
  <c r="AS14" i="2"/>
  <c r="AR14" i="2"/>
  <c r="AT13" i="2"/>
  <c r="AS13" i="2"/>
  <c r="AR13" i="2"/>
  <c r="AT12" i="2"/>
  <c r="AS12" i="2"/>
  <c r="AR12" i="2"/>
  <c r="AT11" i="2"/>
  <c r="AS11" i="2"/>
  <c r="AR11" i="2"/>
  <c r="AT10" i="2"/>
  <c r="AS10" i="2"/>
  <c r="AR10" i="2"/>
  <c r="AT9" i="2"/>
  <c r="AS9" i="2"/>
  <c r="AR9" i="2"/>
  <c r="AT8" i="2"/>
  <c r="AS8" i="2"/>
  <c r="AR8" i="2"/>
  <c r="AT7" i="2"/>
  <c r="AS7" i="2"/>
  <c r="AR7" i="2"/>
  <c r="AT6" i="2"/>
  <c r="AS6" i="2"/>
  <c r="AR6" i="2"/>
  <c r="AT5" i="2"/>
  <c r="AS5" i="2"/>
  <c r="AR5" i="2"/>
  <c r="AT4" i="2"/>
  <c r="AS4" i="2"/>
  <c r="AY4" i="2"/>
  <c r="AY5" i="2"/>
  <c r="AY8" i="2"/>
  <c r="AY9" i="2"/>
  <c r="AY13" i="2"/>
  <c r="AY18" i="2"/>
  <c r="AY6" i="2"/>
  <c r="AY16" i="2"/>
  <c r="AX4" i="2"/>
  <c r="AX5" i="2"/>
  <c r="AX8" i="2"/>
  <c r="AX9" i="2"/>
  <c r="AX18" i="2"/>
  <c r="AX6" i="2"/>
  <c r="AX16" i="2"/>
  <c r="AW4" i="2"/>
  <c r="AW5" i="2"/>
  <c r="AW8" i="2"/>
  <c r="AW9" i="2"/>
  <c r="AW18" i="2"/>
  <c r="AW6" i="2"/>
  <c r="AW16" i="2"/>
  <c r="AV4" i="2"/>
  <c r="AV5" i="2"/>
  <c r="AV8" i="2"/>
  <c r="AV9" i="2"/>
  <c r="AV18" i="2"/>
  <c r="AV6" i="2"/>
  <c r="AV16" i="2"/>
  <c r="AV13" i="2" l="1"/>
  <c r="AX13" i="2"/>
  <c r="AW13" i="2"/>
  <c r="AV10" i="2"/>
  <c r="AW10" i="2"/>
  <c r="AX10" i="2"/>
  <c r="AY10" i="2"/>
  <c r="AV12" i="2"/>
  <c r="AV17" i="2"/>
  <c r="AV15" i="2"/>
  <c r="AV11" i="2"/>
  <c r="AV7" i="2"/>
  <c r="AW17" i="2"/>
  <c r="AW15" i="2"/>
  <c r="AW11" i="2"/>
  <c r="AW7" i="2"/>
  <c r="AW12" i="2"/>
  <c r="AX12" i="2"/>
  <c r="AX17" i="2"/>
  <c r="AX15" i="2"/>
  <c r="AX11" i="2"/>
  <c r="AX7" i="2"/>
  <c r="AY12" i="2"/>
  <c r="AY17" i="2"/>
  <c r="AY15" i="2"/>
  <c r="AY11" i="2"/>
  <c r="AY7" i="2"/>
</calcChain>
</file>

<file path=xl/sharedStrings.xml><?xml version="1.0" encoding="utf-8"?>
<sst xmlns="http://schemas.openxmlformats.org/spreadsheetml/2006/main" count="1059" uniqueCount="292">
  <si>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</si>
  <si>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</si>
  <si>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</si>
  <si>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</si>
  <si>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</si>
  <si>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</si>
  <si>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</si>
  <si>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</si>
  <si>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</si>
  <si>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2025 Full-Time Enrolment Planner</t>
  </si>
  <si>
    <t>Course:</t>
  </si>
  <si>
    <t>Bachelor of Creative Arts</t>
  </si>
  <si>
    <t>Course version:</t>
  </si>
  <si>
    <t>Major:</t>
  </si>
  <si>
    <t>Theatre Arts Major (BCA)</t>
  </si>
  <si>
    <t>Major version:</t>
  </si>
  <si>
    <t>Commencing:</t>
  </si>
  <si>
    <t>Semester 1 (February - June)</t>
  </si>
  <si>
    <t>Credits to Complete:</t>
  </si>
  <si>
    <t>2025 Availabilities</t>
  </si>
  <si>
    <t>Year 1</t>
  </si>
  <si>
    <t>Study Period</t>
  </si>
  <si>
    <t>Pre Requisite(s)</t>
  </si>
  <si>
    <t>CP</t>
  </si>
  <si>
    <t>Sem1 BEN</t>
  </si>
  <si>
    <t>Sem1 FO</t>
  </si>
  <si>
    <t>Sem2 BEN</t>
  </si>
  <si>
    <t>Sem2 FO</t>
  </si>
  <si>
    <t>Notes / Progress</t>
  </si>
  <si>
    <t>Year 2</t>
  </si>
  <si>
    <t>Year 3</t>
  </si>
  <si>
    <t>Bachelor of Creative Arts - Course Option Lists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</si>
  <si>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</si>
  <si>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</si>
  <si>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</si>
  <si>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BH-INARCHSem1</t>
  </si>
  <si>
    <t>SPUC-ANGADSem1</t>
  </si>
  <si>
    <t>TableCourses</t>
  </si>
  <si>
    <t>RangeUnitsetsCourse</t>
  </si>
  <si>
    <t>MJRU-FINARSem1</t>
  </si>
  <si>
    <t>MJRU-FINARSem2</t>
  </si>
  <si>
    <t>MJRU-SCRARSem1</t>
  </si>
  <si>
    <t>MJRU-SCRARSem2</t>
  </si>
  <si>
    <t>MJRU-THTRASem1</t>
  </si>
  <si>
    <t>MJRU-THTRASem2</t>
  </si>
  <si>
    <t>Spk Cd</t>
  </si>
  <si>
    <t>Structure Line</t>
  </si>
  <si>
    <t>Pre Reqs</t>
  </si>
  <si>
    <t>2023 S1Int</t>
  </si>
  <si>
    <t>2023 S1FO</t>
  </si>
  <si>
    <t>2023 S2Int</t>
  </si>
  <si>
    <t>2023 S2FO</t>
  </si>
  <si>
    <t>Choose your Course</t>
  </si>
  <si>
    <t>SM Version</t>
  </si>
  <si>
    <t>SM Effective Date</t>
  </si>
  <si>
    <t>Akari Iteration</t>
  </si>
  <si>
    <t>Akari Effective Date</t>
  </si>
  <si>
    <t>Credit Points</t>
  </si>
  <si>
    <t>SM Availabilities</t>
  </si>
  <si>
    <t>Y1Sem1</t>
  </si>
  <si>
    <t>COMS1010</t>
  </si>
  <si>
    <t>Y1Sem2</t>
  </si>
  <si>
    <t>---</t>
  </si>
  <si>
    <t>COMS1003</t>
  </si>
  <si>
    <t>B-CRARTS</t>
  </si>
  <si>
    <t>v.1</t>
  </si>
  <si>
    <t>600 credit points required</t>
  </si>
  <si>
    <t>INT - Sem1; Sem2</t>
  </si>
  <si>
    <t>VISA1015</t>
  </si>
  <si>
    <t>VISA1016</t>
  </si>
  <si>
    <t>Recommended Options</t>
  </si>
  <si>
    <t>VISA1005*</t>
  </si>
  <si>
    <t>SCST1000*</t>
  </si>
  <si>
    <t>SPRO1000*</t>
  </si>
  <si>
    <t>THTR1001*</t>
  </si>
  <si>
    <t>THTR1002*</t>
  </si>
  <si>
    <t>TableMajors</t>
  </si>
  <si>
    <t>Elective</t>
  </si>
  <si>
    <t>Choose your Major (drop-down list)</t>
  </si>
  <si>
    <t>Fine Art Major (BCA)</t>
  </si>
  <si>
    <t>MJRU-FINAR</t>
  </si>
  <si>
    <t>v.2</t>
  </si>
  <si>
    <t>200 credit points required</t>
  </si>
  <si>
    <t>Screen Arts Major (BCA)</t>
  </si>
  <si>
    <t>MJRU-SCRAR</t>
  </si>
  <si>
    <t>VISA1004*</t>
  </si>
  <si>
    <t>MJRU-THTRA</t>
  </si>
  <si>
    <t>Y2Sem1</t>
  </si>
  <si>
    <t>VISA2004</t>
  </si>
  <si>
    <t>Y2Sem2</t>
  </si>
  <si>
    <t>SCWR2000</t>
  </si>
  <si>
    <t>SPRO2004</t>
  </si>
  <si>
    <t>THTR2002</t>
  </si>
  <si>
    <t>THTR2001</t>
  </si>
  <si>
    <t>TableStudyPeriod</t>
  </si>
  <si>
    <t>VISA2023</t>
  </si>
  <si>
    <t>SPRO2003</t>
  </si>
  <si>
    <t>SCST2009</t>
  </si>
  <si>
    <t>Opt-THTRA</t>
  </si>
  <si>
    <t>THTR2003</t>
  </si>
  <si>
    <t>Choose your commencing study period (drop-down list)</t>
  </si>
  <si>
    <t>START</t>
  </si>
  <si>
    <t>Next</t>
  </si>
  <si>
    <t>VISA2005*</t>
  </si>
  <si>
    <t>SPRO2000*</t>
  </si>
  <si>
    <t>VISA2028</t>
  </si>
  <si>
    <t>THTR2005*</t>
  </si>
  <si>
    <t>Sem1</t>
  </si>
  <si>
    <t>Sem2</t>
  </si>
  <si>
    <t>SpecElect</t>
  </si>
  <si>
    <t>Semester 2 (July -  November)</t>
  </si>
  <si>
    <t>VISA2006</t>
  </si>
  <si>
    <t>VISA2007</t>
  </si>
  <si>
    <t>Y3Sem1</t>
  </si>
  <si>
    <t>VISA3009</t>
  </si>
  <si>
    <t>Y3Sem2</t>
  </si>
  <si>
    <t>AC-SCRAR</t>
  </si>
  <si>
    <t>SCST3010</t>
  </si>
  <si>
    <t>THTR3000</t>
  </si>
  <si>
    <t>THTR3004</t>
  </si>
  <si>
    <t>VISA3010</t>
  </si>
  <si>
    <t>Opt-SCRARS1</t>
  </si>
  <si>
    <t>Opt-SCRARS2</t>
  </si>
  <si>
    <t>THTR3003</t>
  </si>
  <si>
    <t>THTR3007</t>
  </si>
  <si>
    <t>1)      Update high level course / component &amp; study period details (Unitsets Tab)</t>
  </si>
  <si>
    <t>Recommended Alt Core</t>
  </si>
  <si>
    <t>VISA3006*</t>
  </si>
  <si>
    <t>VISA3024</t>
  </si>
  <si>
    <t>2)      Update Planner page(s) to reference year of planner e.g. “2025” (Planner Tab)</t>
  </si>
  <si>
    <t>-</t>
  </si>
  <si>
    <t>3)      Update structures (Structures Tab)</t>
  </si>
  <si>
    <t>VISA3023</t>
  </si>
  <si>
    <t>4)      Update Handbook unit list from updated structures (Handbook Tab)</t>
  </si>
  <si>
    <t>5)      Update Availabilities using updated Handbook unit list (Availabilities Tab)</t>
  </si>
  <si>
    <t>6)      Update Pre Requisites (Handbook Tab)</t>
  </si>
  <si>
    <t>7)      Update sequences for courses / components (Unitsets Tab)</t>
  </si>
  <si>
    <t>AC-FINAR</t>
  </si>
  <si>
    <t>--</t>
  </si>
  <si>
    <t>8)      Review Handbook Tab for obvious issues / errors and enter notes (Handbook Tab)</t>
  </si>
  <si>
    <t>For Review</t>
  </si>
  <si>
    <t>VISA3006</t>
  </si>
  <si>
    <t>SPRO3004</t>
  </si>
  <si>
    <t>THTR2004</t>
  </si>
  <si>
    <t>9)      Review Planner Tab(s) for obvious issues / errors (Planner Tab)</t>
  </si>
  <si>
    <t>VISA3005</t>
  </si>
  <si>
    <t>SPRO3007</t>
  </si>
  <si>
    <t xml:space="preserve"> </t>
  </si>
  <si>
    <t>SPRO2001</t>
  </si>
  <si>
    <t>SPRO3003</t>
  </si>
  <si>
    <t>SPRO3009</t>
  </si>
  <si>
    <t>Not available in S2</t>
  </si>
  <si>
    <t>RangeOptions</t>
  </si>
  <si>
    <t>Opt-Y1</t>
  </si>
  <si>
    <t>SCST1000</t>
  </si>
  <si>
    <t>SPRO1000</t>
  </si>
  <si>
    <t>THTR1001</t>
  </si>
  <si>
    <t>THTR1002</t>
  </si>
  <si>
    <t>VISA1004</t>
  </si>
  <si>
    <t>VISA1005</t>
  </si>
  <si>
    <t>Opt-Y2</t>
  </si>
  <si>
    <t>SPRO2000</t>
  </si>
  <si>
    <t>THTR2005</t>
  </si>
  <si>
    <t>VISA2005</t>
  </si>
  <si>
    <t>Title</t>
  </si>
  <si>
    <t>Pre-reqs (15/10/2024)</t>
  </si>
  <si>
    <t>S1INT</t>
  </si>
  <si>
    <t>S1FO</t>
  </si>
  <si>
    <t>S2INT</t>
  </si>
  <si>
    <t>S2FO</t>
  </si>
  <si>
    <t>Notes</t>
  </si>
  <si>
    <t>Please note this is a 50CP unit</t>
  </si>
  <si>
    <t>Not relevant to this Major</t>
  </si>
  <si>
    <t>Not available for full-time study with commencement this Study Period</t>
  </si>
  <si>
    <t>Contact Course Coordinator</t>
  </si>
  <si>
    <t>Study either VISA3006 or VISA3005 (see below)</t>
  </si>
  <si>
    <t>See below</t>
  </si>
  <si>
    <t>AC-Major</t>
  </si>
  <si>
    <t>Choose your major</t>
  </si>
  <si>
    <t>Study either SPRO3007 or SPRO3004 (see below)</t>
  </si>
  <si>
    <t>Culture to Cultures</t>
  </si>
  <si>
    <t>None</t>
  </si>
  <si>
    <t>Academic and Professional Communications</t>
  </si>
  <si>
    <t>Study an Elective Unit</t>
  </si>
  <si>
    <t>See Handbook</t>
  </si>
  <si>
    <t>MJRU-FINAR.PO</t>
  </si>
  <si>
    <t>Study a Year 3 Semester 1 Screen Arts Option unit (see below)</t>
  </si>
  <si>
    <t>Study a Year 3 Semester 2 Screen Arts Option unit (see below)</t>
  </si>
  <si>
    <t>Study a Theatre Arts Option unit (see below)</t>
  </si>
  <si>
    <t>Study two RECOMMENDED Year 1 Options (see Enrolment Guidelines)</t>
  </si>
  <si>
    <t>Study one RECOMMENDED Year 2 Option (see Enrolment Guidelines)</t>
  </si>
  <si>
    <t>Introduction to Screen Creativity (recommended Screen Arts Option)</t>
  </si>
  <si>
    <t>Experimental Screens</t>
  </si>
  <si>
    <t>Reading Screens</t>
  </si>
  <si>
    <t>Introduction to Screenwriting</t>
  </si>
  <si>
    <t>Study a Specialisation unit OR an Elective unit</t>
  </si>
  <si>
    <t>Introduction to Screen Practice (recommended Screen Arts Option)</t>
  </si>
  <si>
    <t>SPRO1000.PO</t>
  </si>
  <si>
    <t>Introduction to Screen Industries</t>
  </si>
  <si>
    <t>Studio Production (recommended Screen Arts Option)</t>
  </si>
  <si>
    <t>Digital FX Production</t>
  </si>
  <si>
    <t>Drama Narratives</t>
  </si>
  <si>
    <t>200CP</t>
  </si>
  <si>
    <t>Creative Documentary and Actualities</t>
  </si>
  <si>
    <t>Advanced Studio Production</t>
  </si>
  <si>
    <t>SPRO2000 or SPRO2003</t>
  </si>
  <si>
    <t>Availability - Is in a SEM2 Option list, only available Sem1</t>
  </si>
  <si>
    <t>Community Media Production</t>
  </si>
  <si>
    <t>SPRO2000 or SPRO2004</t>
  </si>
  <si>
    <t>Major Project Pre-production</t>
  </si>
  <si>
    <t>(SPRO2000 or SCWR2000) + (SPRO2003 or SCST2009)</t>
  </si>
  <si>
    <t>Pre Req: Akari has MJRU-SCART (retired) not MJRU-SCRAR - 25CP in MJRU-SCART + (SPRO2000 or SCWR2000) + (SPRO2003 or SCST2009)</t>
  </si>
  <si>
    <t>Sports Media Production</t>
  </si>
  <si>
    <t>Acting Fundamentals (recommended Theatre Arts Option)</t>
  </si>
  <si>
    <t>Devising Fundamentals (recommended Theatre Arts Option)</t>
  </si>
  <si>
    <t>Acting</t>
  </si>
  <si>
    <t>Technical Theatre Fundamentals</t>
  </si>
  <si>
    <t>Movement for the Actor</t>
  </si>
  <si>
    <t>Voice for the Actor</t>
  </si>
  <si>
    <t>Collaborative Theatre Practice (recommended Theatre Arts Option)</t>
  </si>
  <si>
    <t>Directing Theatre</t>
  </si>
  <si>
    <t>THTR2001 or THTR2002 or THTR2005</t>
  </si>
  <si>
    <t>International Theatre</t>
  </si>
  <si>
    <t>THTR2001 or THTR2005</t>
  </si>
  <si>
    <t>Australian Theatre</t>
  </si>
  <si>
    <t>Applied Theatre</t>
  </si>
  <si>
    <t>THTR2001 or THTR2005 or VISA2028</t>
  </si>
  <si>
    <t>Fine Art Studio Methods (recommended Fine Arts Option)</t>
  </si>
  <si>
    <t>Fine Art Studio Materials (recommended Fine Arts Option)</t>
  </si>
  <si>
    <t>Introduction to Creative Arts</t>
  </si>
  <si>
    <t>Creative Arts Practice</t>
  </si>
  <si>
    <t>Fine Art Studio Strategies</t>
  </si>
  <si>
    <t>100CP</t>
  </si>
  <si>
    <t>Fine Art Studio Processes (recommended Fine Arts Option)</t>
  </si>
  <si>
    <t>Fine Art Studio Extension</t>
  </si>
  <si>
    <t>VISA2004 or VISA2005 or EDSC4032</t>
  </si>
  <si>
    <t>Fine Art Project</t>
  </si>
  <si>
    <t>VISA2004 or VISA2005</t>
  </si>
  <si>
    <t>Fine Art Theory and Criticism</t>
  </si>
  <si>
    <t>Creative Arts Project</t>
  </si>
  <si>
    <t>Creative Arts Professional Practicum</t>
  </si>
  <si>
    <t>Fine Art Concepts and Contexts (* recommended Alt Core)</t>
  </si>
  <si>
    <t>VISA2023 or EDSC4028</t>
  </si>
  <si>
    <t>Fine Art Project Development</t>
  </si>
  <si>
    <t>VISA2004 + (VISA2007 or VISA3005)</t>
  </si>
  <si>
    <t>Fine Art Studio Practice</t>
  </si>
  <si>
    <t>Fine Art Project Advanced</t>
  </si>
  <si>
    <t>VISA2006 + VISA2007 + (VISA3009 or VISA3010)</t>
  </si>
  <si>
    <t>Creative Arts Advanced Project</t>
  </si>
  <si>
    <t>Effective:</t>
  </si>
  <si>
    <t>Downloaded:</t>
  </si>
  <si>
    <t>V</t>
  </si>
  <si>
    <t>OUA Code</t>
  </si>
  <si>
    <t>CPs</t>
  </si>
  <si>
    <t>No.</t>
  </si>
  <si>
    <t>Component Type</t>
  </si>
  <si>
    <t>Year Level</t>
  </si>
  <si>
    <t>Study Package Code</t>
  </si>
  <si>
    <t>Effective</t>
  </si>
  <si>
    <t>Discont.</t>
  </si>
  <si>
    <t>SPK</t>
  </si>
  <si>
    <t>Core</t>
  </si>
  <si>
    <t>Semester 1</t>
  </si>
  <si>
    <t>Semester 2</t>
  </si>
  <si>
    <t>Option</t>
  </si>
  <si>
    <t>NA</t>
  </si>
  <si>
    <t>Choose two first year options</t>
  </si>
  <si>
    <t>Choose electives</t>
  </si>
  <si>
    <t>AltCore</t>
  </si>
  <si>
    <t>Choose one second year option</t>
  </si>
  <si>
    <t>Personalise your degree</t>
  </si>
  <si>
    <t>Introduction to Screen Creativity</t>
  </si>
  <si>
    <t>Introduction to Screen Practice</t>
  </si>
  <si>
    <t>Acting Fundamentals</t>
  </si>
  <si>
    <t>Devising Fundamentals</t>
  </si>
  <si>
    <t>Fine Art Studio Methods</t>
  </si>
  <si>
    <t>Fine Art Studio Materials</t>
  </si>
  <si>
    <t>Studio Production</t>
  </si>
  <si>
    <t>Collaborative Theatre Practice</t>
  </si>
  <si>
    <t>Fine Art Studio Processes</t>
  </si>
  <si>
    <t>Choose VISA3006 or VISA3005</t>
  </si>
  <si>
    <t/>
  </si>
  <si>
    <t>Fine Art Concepts and Contexts</t>
  </si>
  <si>
    <t>Choose either SPRO3007 or SPRO3004</t>
  </si>
  <si>
    <t>Choose your third year optional units</t>
  </si>
  <si>
    <t>Choose Options for Year 2, Semester 1</t>
  </si>
  <si>
    <t>Downloaded 2024:</t>
  </si>
  <si>
    <t>Row Labels</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</si>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</sst>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i/>
      <sz val="8"/>
      <color rgb="FF000000"/>
      <name val="Arial"/>
      <family val="2"/>
    </font>
    <font>
      <sz val="11"/>
      <color theme="0"/>
      <name val="Calibri"/>
      <family val="2"/>
      <scheme val="minor"/>
    </font>
    <font>
      <b/>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8"/>
      <color rgb="FFFFFFFF"/>
      <name val="Segoe UI"/>
      <family val="2"/>
    </font>
    <font>
      <sz val="12"/>
      <color rgb="FFFF0000"/>
      <name val="Calibri"/>
      <family val="2"/>
      <scheme val="minor"/>
    </font>
    <font>
      <b/>
      <sz val="12"/>
      <color theme="0"/>
      <name val="Segoe UI"/>
      <family val="2"/>
    </font>
    <font>
      <sz val="8"/>
      <color theme="4"/>
      <name val="Arial"/>
      <family val="2"/>
    </font>
    <font>
      <b/>
      <sz val="14"/>
      <color theme="0"/>
      <name val="Segoe UI"/>
      <family val="2"/>
    </font>
    <font>
      <sz val="14"/>
      <color theme="1"/>
      <name val="Calibri"/>
      <family val="2"/>
      <scheme val="minor"/>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sz val="10"/>
      <color rgb="FF00B050"/>
      <name val="Arial"/>
      <family val="2"/>
    </font>
    <font>
      <b/>
      <sz val="12"/>
      <name val="Segoe UI"/>
      <family val="2"/>
    </font>
    <font>
      <b/>
      <sz val="11"/>
      <color theme="5"/>
      <name val="Calibri"/>
      <family val="2"/>
      <scheme val="minor"/>
    </font>
    <font>
      <sz val="11"/>
      <color rgb="FF006100"/>
      <name val="Calibri"/>
      <family val="2"/>
      <scheme val="minor"/>
    </font>
    <font>
      <strike/>
      <sz val="12"/>
      <name val="Calibri"/>
      <family val="2"/>
      <scheme val="minor"/>
    </font>
    <font>
      <b/>
      <i/>
      <sz val="12"/>
      <color theme="0" tint="-0.499984740745262"/>
      <name val="Calibri"/>
      <family val="2"/>
      <scheme val="minor"/>
    </font>
    <font>
      <sz val="12"/>
      <color rgb="FFC00000"/>
      <name val="Calibri"/>
      <family val="2"/>
      <scheme val="minor"/>
    </font>
    <font>
      <sz val="10"/>
      <color rgb="FF000000"/>
      <name val="Arial"/>
    </font>
    <font>
      <b/>
      <i/>
      <sz val="12"/>
      <color rgb="FF00B050"/>
      <name val="Calibri"/>
      <family val="2"/>
      <scheme val="minor"/>
    </font>
    <font>
      <sz val="10"/>
      <color theme="1"/>
      <name val="Arial"/>
    </font>
  </fonts>
  <fills count="20">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0" tint="-0.49998474074526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1"/>
        <bgColor indexed="64"/>
      </patternFill>
    </fill>
    <fill>
      <patternFill patternType="solid">
        <fgColor theme="5"/>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rgb="FFC6EFCE"/>
      </patternFill>
    </fill>
    <fill>
      <patternFill patternType="solid">
        <fgColor rgb="FF00B05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theme="0" tint="-0.24994659260841701"/>
      </right>
      <top/>
      <bottom/>
      <diagonal/>
    </border>
  </borders>
  <cellStyleXfs count="3">
    <xf numFmtId="0" fontId="0" fillId="0" borderId="0"/>
    <xf numFmtId="0" fontId="1" fillId="0" borderId="0"/>
    <xf numFmtId="0" fontId="56" fillId="17" borderId="0" applyNumberFormat="0" applyBorder="0" applyAlignment="0" applyProtection="0"/>
  </cellStyleXfs>
  <cellXfs count="271">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0" xfId="0" applyFont="1" applyAlignment="1">
      <alignment horizontal="center"/>
    </xf>
    <xf numFmtId="0" fontId="17" fillId="0" borderId="0" xfId="0" applyFont="1"/>
    <xf numFmtId="0" fontId="9" fillId="0" borderId="0" xfId="0" applyFont="1" applyAlignment="1">
      <alignment horizontal="left" vertical="center"/>
    </xf>
    <xf numFmtId="0" fontId="0" fillId="0" borderId="5" xfId="0" applyBorder="1"/>
    <xf numFmtId="0" fontId="6" fillId="0" borderId="11" xfId="0" applyFont="1" applyBorder="1"/>
    <xf numFmtId="0" fontId="6" fillId="0" borderId="11" xfId="0" applyFont="1" applyBorder="1" applyAlignment="1">
      <alignment horizontal="center"/>
    </xf>
    <xf numFmtId="0" fontId="0" fillId="0" borderId="11" xfId="0" applyBorder="1"/>
    <xf numFmtId="0" fontId="6" fillId="0" borderId="11" xfId="0" applyFont="1" applyBorder="1" applyAlignment="1">
      <alignment horizontal="center" vertical="center"/>
    </xf>
    <xf numFmtId="0" fontId="35" fillId="0" borderId="0" xfId="0" applyFont="1" applyAlignment="1">
      <alignment horizontal="left" vertical="center"/>
    </xf>
    <xf numFmtId="0" fontId="2" fillId="3" borderId="1" xfId="0" applyFont="1" applyFill="1" applyBorder="1" applyAlignment="1">
      <alignment horizontal="right" vertical="center"/>
    </xf>
    <xf numFmtId="0" fontId="34" fillId="6" borderId="0" xfId="0" applyFont="1" applyFill="1"/>
    <xf numFmtId="0" fontId="3" fillId="6" borderId="0" xfId="0" applyFont="1" applyFill="1" applyAlignment="1">
      <alignment horizontal="center" vertical="center"/>
    </xf>
    <xf numFmtId="0" fontId="34" fillId="6" borderId="0" xfId="0" applyFont="1" applyFill="1" applyAlignment="1">
      <alignment horizontal="center" vertical="center" wrapText="1"/>
    </xf>
    <xf numFmtId="0" fontId="5" fillId="4" borderId="11" xfId="0" applyFont="1" applyFill="1" applyBorder="1" applyAlignment="1">
      <alignment horizontal="left"/>
    </xf>
    <xf numFmtId="0" fontId="0" fillId="6" borderId="0" xfId="0" applyFill="1" applyAlignment="1">
      <alignment wrapText="1"/>
    </xf>
    <xf numFmtId="0" fontId="10" fillId="7" borderId="7" xfId="0" applyFont="1" applyFill="1" applyBorder="1" applyAlignment="1">
      <alignment horizontal="center"/>
    </xf>
    <xf numFmtId="0" fontId="10" fillId="7" borderId="8" xfId="0" applyFont="1" applyFill="1" applyBorder="1" applyAlignment="1">
      <alignment horizontal="center"/>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41" fillId="0" borderId="0" xfId="0" applyFont="1"/>
    <xf numFmtId="0" fontId="41" fillId="0" borderId="0" xfId="0" applyFont="1" applyAlignment="1">
      <alignment horizontal="right"/>
    </xf>
    <xf numFmtId="0" fontId="0" fillId="0" borderId="28" xfId="0" applyBorder="1" applyAlignment="1">
      <alignment horizontal="center"/>
    </xf>
    <xf numFmtId="0" fontId="10" fillId="7" borderId="0" xfId="0" applyFont="1" applyFill="1" applyAlignment="1">
      <alignment horizontal="center"/>
    </xf>
    <xf numFmtId="0" fontId="6" fillId="7" borderId="0" xfId="0" applyFont="1" applyFill="1" applyAlignment="1">
      <alignment horizontal="center"/>
    </xf>
    <xf numFmtId="0" fontId="5" fillId="9" borderId="0" xfId="0" applyFont="1" applyFill="1" applyAlignment="1">
      <alignment horizontal="right"/>
    </xf>
    <xf numFmtId="0" fontId="6" fillId="0" borderId="4" xfId="0" applyFont="1" applyBorder="1"/>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7" xfId="0" applyFont="1" applyBorder="1"/>
    <xf numFmtId="0" fontId="6" fillId="0" borderId="0" xfId="0" applyFont="1" applyAlignment="1">
      <alignment horizontal="center" vertical="center"/>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10" xfId="0" applyFont="1" applyBorder="1"/>
    <xf numFmtId="0" fontId="5" fillId="4" borderId="11" xfId="0" applyFont="1" applyFill="1" applyBorder="1" applyAlignment="1">
      <alignment horizontal="left" textRotation="90"/>
    </xf>
    <xf numFmtId="0" fontId="10" fillId="7" borderId="29" xfId="0" applyFont="1" applyFill="1" applyBorder="1" applyAlignment="1">
      <alignment horizontal="center"/>
    </xf>
    <xf numFmtId="0" fontId="10" fillId="7" borderId="30" xfId="0" applyFont="1" applyFill="1" applyBorder="1" applyAlignment="1">
      <alignment horizontal="center"/>
    </xf>
    <xf numFmtId="0" fontId="10" fillId="8" borderId="0" xfId="0" applyFont="1" applyFill="1" applyAlignment="1">
      <alignment wrapText="1"/>
    </xf>
    <xf numFmtId="0" fontId="6" fillId="9" borderId="7" xfId="0" applyFont="1" applyFill="1" applyBorder="1"/>
    <xf numFmtId="0" fontId="42" fillId="0" borderId="0" xfId="0" applyFont="1"/>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0" fillId="7" borderId="32" xfId="0" applyFont="1" applyFill="1" applyBorder="1" applyAlignment="1">
      <alignment horizontal="center"/>
    </xf>
    <xf numFmtId="0" fontId="10" fillId="7" borderId="33" xfId="0" applyFont="1" applyFill="1" applyBorder="1" applyAlignment="1">
      <alignment horizontal="center"/>
    </xf>
    <xf numFmtId="0" fontId="10" fillId="7" borderId="1" xfId="0" applyFont="1" applyFill="1" applyBorder="1" applyAlignment="1">
      <alignment horizontal="center"/>
    </xf>
    <xf numFmtId="0" fontId="10" fillId="7" borderId="3" xfId="0" applyFont="1" applyFill="1" applyBorder="1" applyAlignment="1">
      <alignment horizontal="center"/>
    </xf>
    <xf numFmtId="0" fontId="6" fillId="7" borderId="3" xfId="0" applyFont="1" applyFill="1" applyBorder="1" applyAlignment="1">
      <alignment horizontal="center"/>
    </xf>
    <xf numFmtId="0" fontId="10" fillId="7" borderId="2" xfId="0" applyFont="1" applyFill="1" applyBorder="1" applyAlignment="1">
      <alignment horizontal="center"/>
    </xf>
    <xf numFmtId="0" fontId="5" fillId="4" borderId="31" xfId="0" applyFont="1" applyFill="1" applyBorder="1" applyAlignment="1">
      <alignment horizontal="left"/>
    </xf>
    <xf numFmtId="0" fontId="3" fillId="0" borderId="6" xfId="0" quotePrefix="1" applyFont="1" applyBorder="1" applyAlignment="1">
      <alignment horizontal="center" vertical="center"/>
    </xf>
    <xf numFmtId="0" fontId="4" fillId="11" borderId="8" xfId="0" applyFont="1" applyFill="1" applyBorder="1" applyAlignment="1">
      <alignment horizontal="center" vertical="center"/>
    </xf>
    <xf numFmtId="0" fontId="4" fillId="11" borderId="6" xfId="0" applyFont="1" applyFill="1" applyBorder="1" applyAlignment="1">
      <alignment horizontal="center" vertical="center"/>
    </xf>
    <xf numFmtId="0" fontId="10" fillId="0" borderId="0" xfId="0" quotePrefix="1" applyFont="1"/>
    <xf numFmtId="0" fontId="9" fillId="10" borderId="8" xfId="0" applyFont="1" applyFill="1" applyBorder="1" applyAlignment="1">
      <alignment horizontal="center" vertical="center"/>
    </xf>
    <xf numFmtId="0" fontId="8" fillId="0" borderId="0" xfId="0" applyFont="1" applyAlignment="1">
      <alignment horizontal="center"/>
    </xf>
    <xf numFmtId="0" fontId="46" fillId="10" borderId="8" xfId="0" applyFont="1" applyFill="1" applyBorder="1" applyAlignment="1">
      <alignment horizontal="center" vertical="center"/>
    </xf>
    <xf numFmtId="0" fontId="4" fillId="0" borderId="8" xfId="0" applyFont="1" applyBorder="1" applyAlignment="1">
      <alignment horizontal="center" vertical="center"/>
    </xf>
    <xf numFmtId="0" fontId="52" fillId="0" borderId="0" xfId="0" applyFont="1" applyAlignment="1">
      <alignment horizontal="right"/>
    </xf>
    <xf numFmtId="0" fontId="41" fillId="0" borderId="0" xfId="0" applyFont="1" applyAlignment="1">
      <alignment horizontal="left"/>
    </xf>
    <xf numFmtId="0" fontId="44" fillId="0" borderId="0" xfId="0" applyFont="1" applyAlignment="1">
      <alignment horizontal="right" wrapText="1"/>
    </xf>
    <xf numFmtId="0" fontId="4" fillId="0" borderId="0" xfId="0" applyFont="1" applyAlignment="1">
      <alignment horizontal="center"/>
    </xf>
    <xf numFmtId="0" fontId="3" fillId="0" borderId="0" xfId="0" applyFont="1" applyAlignment="1">
      <alignment horizontal="center"/>
    </xf>
    <xf numFmtId="0" fontId="0" fillId="10" borderId="0" xfId="0" applyFill="1" applyAlignment="1">
      <alignment horizontal="right"/>
    </xf>
    <xf numFmtId="14" fontId="0" fillId="10" borderId="0" xfId="0" applyNumberFormat="1" applyFill="1"/>
    <xf numFmtId="0" fontId="4" fillId="0" borderId="36" xfId="0" applyFont="1" applyBorder="1" applyAlignment="1">
      <alignment horizontal="center"/>
    </xf>
    <xf numFmtId="0" fontId="4" fillId="0" borderId="34" xfId="0" applyFont="1" applyBorder="1" applyAlignment="1">
      <alignment horizontal="center"/>
    </xf>
    <xf numFmtId="0" fontId="3" fillId="0" borderId="34" xfId="0" applyFont="1" applyBorder="1" applyAlignment="1">
      <alignment horizontal="center"/>
    </xf>
    <xf numFmtId="0" fontId="4" fillId="0" borderId="35" xfId="0" applyFont="1" applyBorder="1" applyAlignment="1">
      <alignment horizontal="center"/>
    </xf>
    <xf numFmtId="0" fontId="9" fillId="10" borderId="5" xfId="0" applyFont="1" applyFill="1" applyBorder="1" applyAlignment="1">
      <alignment horizontal="center" vertical="center"/>
    </xf>
    <xf numFmtId="0" fontId="3" fillId="0" borderId="8" xfId="0" quotePrefix="1" applyFont="1" applyBorder="1" applyAlignment="1">
      <alignment horizontal="center" vertical="center"/>
    </xf>
    <xf numFmtId="0" fontId="10" fillId="0" borderId="34" xfId="0" applyFont="1" applyBorder="1" applyAlignment="1">
      <alignment horizontal="left" wrapText="1"/>
    </xf>
    <xf numFmtId="0" fontId="10" fillId="0" borderId="31" xfId="0" applyFont="1" applyBorder="1" applyAlignment="1">
      <alignment horizontal="left" wrapText="1"/>
    </xf>
    <xf numFmtId="0" fontId="7" fillId="7" borderId="1" xfId="0" applyFont="1" applyFill="1" applyBorder="1" applyAlignment="1">
      <alignment horizontal="center"/>
    </xf>
    <xf numFmtId="0" fontId="7" fillId="7" borderId="3" xfId="0" applyFont="1" applyFill="1" applyBorder="1" applyAlignment="1">
      <alignment horizontal="center"/>
    </xf>
    <xf numFmtId="0" fontId="7" fillId="7" borderId="2" xfId="0" applyFont="1" applyFill="1" applyBorder="1" applyAlignment="1">
      <alignment horizontal="center"/>
    </xf>
    <xf numFmtId="14" fontId="0" fillId="0" borderId="0" xfId="0" applyNumberFormat="1"/>
    <xf numFmtId="0" fontId="42" fillId="0" borderId="0" xfId="0" applyFont="1" applyAlignment="1">
      <alignment horizontal="right"/>
    </xf>
    <xf numFmtId="0" fontId="53" fillId="0" borderId="0" xfId="0" applyFont="1" applyAlignment="1">
      <alignment horizontal="center"/>
    </xf>
    <xf numFmtId="14" fontId="53" fillId="0" borderId="0" xfId="0" applyNumberFormat="1" applyFont="1" applyAlignment="1">
      <alignment horizontal="center"/>
    </xf>
    <xf numFmtId="0" fontId="4" fillId="15" borderId="8" xfId="0" applyFont="1" applyFill="1" applyBorder="1" applyAlignment="1">
      <alignment horizontal="center" vertical="center"/>
    </xf>
    <xf numFmtId="0" fontId="10" fillId="7" borderId="37" xfId="0" applyFont="1" applyFill="1" applyBorder="1" applyAlignment="1">
      <alignment horizontal="center"/>
    </xf>
    <xf numFmtId="0" fontId="10" fillId="0" borderId="36" xfId="0" applyFont="1" applyBorder="1" applyAlignment="1">
      <alignment horizontal="left" wrapText="1"/>
    </xf>
    <xf numFmtId="0" fontId="10" fillId="7" borderId="4" xfId="0" applyFont="1" applyFill="1" applyBorder="1" applyAlignment="1">
      <alignment horizontal="center"/>
    </xf>
    <xf numFmtId="0" fontId="10" fillId="7" borderId="5" xfId="0" applyFont="1" applyFill="1" applyBorder="1" applyAlignment="1">
      <alignment horizontal="center"/>
    </xf>
    <xf numFmtId="0" fontId="6" fillId="7" borderId="5" xfId="0" applyFont="1" applyFill="1" applyBorder="1" applyAlignment="1">
      <alignment horizontal="center"/>
    </xf>
    <xf numFmtId="0" fontId="10" fillId="7" borderId="6" xfId="0" applyFont="1" applyFill="1" applyBorder="1" applyAlignment="1">
      <alignment horizontal="center"/>
    </xf>
    <xf numFmtId="0" fontId="7" fillId="0" borderId="31" xfId="0" applyFont="1" applyBorder="1" applyAlignment="1">
      <alignment horizontal="left" wrapText="1"/>
    </xf>
    <xf numFmtId="0" fontId="3" fillId="15" borderId="9" xfId="0" applyFont="1" applyFill="1" applyBorder="1" applyAlignment="1">
      <alignment horizontal="center" vertical="center"/>
    </xf>
    <xf numFmtId="0" fontId="4" fillId="0" borderId="9" xfId="0" applyFont="1" applyBorder="1" applyAlignment="1">
      <alignment horizontal="center" vertical="center"/>
    </xf>
    <xf numFmtId="0" fontId="7" fillId="10" borderId="31" xfId="0" applyFont="1" applyFill="1" applyBorder="1" applyAlignment="1">
      <alignment horizontal="left" wrapText="1"/>
    </xf>
    <xf numFmtId="0" fontId="4" fillId="7" borderId="8" xfId="0" applyFont="1" applyFill="1" applyBorder="1" applyAlignment="1">
      <alignment horizontal="center" vertical="center"/>
    </xf>
    <xf numFmtId="0" fontId="4" fillId="7" borderId="0" xfId="0" applyFont="1" applyFill="1" applyAlignment="1">
      <alignment horizontal="center" vertical="center"/>
    </xf>
    <xf numFmtId="0" fontId="22" fillId="0" borderId="21" xfId="1" applyFont="1" applyBorder="1" applyAlignment="1" applyProtection="1">
      <alignment horizontal="center" vertical="center" wrapText="1"/>
      <protection locked="0"/>
    </xf>
    <xf numFmtId="0" fontId="22" fillId="16" borderId="18" xfId="1" applyFont="1" applyFill="1" applyBorder="1" applyAlignment="1" applyProtection="1">
      <alignment horizontal="center" vertical="center" wrapText="1"/>
      <protection locked="0"/>
    </xf>
    <xf numFmtId="0" fontId="58" fillId="0" borderId="0" xfId="0" applyFont="1"/>
    <xf numFmtId="0" fontId="0" fillId="0" borderId="0" xfId="0" applyAlignment="1">
      <alignment horizontal="left" textRotation="90"/>
    </xf>
    <xf numFmtId="14" fontId="56" fillId="17" borderId="0" xfId="2" applyNumberFormat="1" applyAlignment="1">
      <alignment horizontal="center"/>
    </xf>
    <xf numFmtId="0" fontId="59" fillId="0" borderId="0" xfId="0" applyFont="1"/>
    <xf numFmtId="0" fontId="53" fillId="0" borderId="0" xfId="0" applyFont="1" applyAlignment="1">
      <alignment horizontal="center" wrapText="1"/>
    </xf>
    <xf numFmtId="0" fontId="8" fillId="18" borderId="0" xfId="0" applyFont="1" applyFill="1" applyAlignment="1">
      <alignment horizontal="center"/>
    </xf>
    <xf numFmtId="14" fontId="8" fillId="19" borderId="0" xfId="0" applyNumberFormat="1" applyFont="1" applyFill="1" applyAlignment="1">
      <alignment horizontal="center"/>
    </xf>
    <xf numFmtId="0" fontId="57" fillId="0" borderId="0" xfId="0" applyFont="1"/>
    <xf numFmtId="14" fontId="61" fillId="0" borderId="0" xfId="0" applyNumberFormat="1" applyFont="1"/>
    <xf numFmtId="0" fontId="61" fillId="0" borderId="0" xfId="0" applyFont="1"/>
    <xf numFmtId="0" fontId="61" fillId="0" borderId="0" xfId="0" applyFont="1" applyAlignment="1">
      <alignment horizontal="center"/>
    </xf>
    <xf numFmtId="0" fontId="61" fillId="0" borderId="0" xfId="0" applyFont="1" applyAlignment="1">
      <alignment horizontal="left"/>
    </xf>
    <xf numFmtId="0" fontId="62" fillId="0" borderId="0" xfId="0" applyFont="1"/>
    <xf numFmtId="0" fontId="62" fillId="7" borderId="1" xfId="0" applyFont="1" applyFill="1" applyBorder="1" applyAlignment="1">
      <alignment horizontal="center"/>
    </xf>
    <xf numFmtId="0" fontId="62" fillId="7" borderId="3" xfId="0" applyFont="1" applyFill="1" applyBorder="1" applyAlignment="1">
      <alignment horizontal="center"/>
    </xf>
    <xf numFmtId="0" fontId="60" fillId="7" borderId="3" xfId="0" applyFont="1" applyFill="1" applyBorder="1" applyAlignment="1">
      <alignment horizontal="center"/>
    </xf>
    <xf numFmtId="0" fontId="62" fillId="7" borderId="2" xfId="0" applyFont="1" applyFill="1" applyBorder="1" applyAlignment="1">
      <alignment horizontal="center"/>
    </xf>
    <xf numFmtId="0" fontId="62" fillId="7" borderId="33" xfId="0" applyFont="1" applyFill="1" applyBorder="1" applyAlignment="1">
      <alignment horizontal="center"/>
    </xf>
    <xf numFmtId="0" fontId="62" fillId="0" borderId="0" xfId="0" applyFont="1" applyAlignment="1">
      <alignment horizontal="center"/>
    </xf>
    <xf numFmtId="0" fontId="62" fillId="8" borderId="0" xfId="0" applyFont="1" applyFill="1" applyAlignment="1">
      <alignment wrapText="1"/>
    </xf>
    <xf numFmtId="0" fontId="62" fillId="7" borderId="32" xfId="0" applyFont="1" applyFill="1" applyBorder="1" applyAlignment="1">
      <alignment horizontal="center"/>
    </xf>
    <xf numFmtId="0" fontId="8" fillId="19" borderId="0" xfId="0" applyFont="1" applyFill="1" applyAlignment="1">
      <alignment horizontal="center"/>
    </xf>
    <xf numFmtId="14" fontId="41" fillId="19" borderId="0" xfId="0" applyNumberFormat="1" applyFont="1" applyFill="1"/>
    <xf numFmtId="0" fontId="41" fillId="19" borderId="0" xfId="0" applyFont="1" applyFill="1" applyAlignment="1">
      <alignment horizontal="center"/>
    </xf>
    <xf numFmtId="0" fontId="62" fillId="0" borderId="31" xfId="0" applyFont="1" applyBorder="1" applyAlignment="1">
      <alignment horizontal="left" wrapText="1"/>
    </xf>
    <xf numFmtId="0" fontId="62" fillId="0" borderId="34" xfId="0" applyFont="1" applyBorder="1" applyAlignment="1">
      <alignment horizontal="left" wrapText="1"/>
    </xf>
    <xf numFmtId="0" fontId="4" fillId="11" borderId="0" xfId="0" applyFont="1" applyFill="1" applyAlignment="1">
      <alignment horizontal="center" vertical="center"/>
    </xf>
    <xf numFmtId="0" fontId="53" fillId="8" borderId="0" xfId="0" applyFont="1" applyFill="1" applyAlignment="1">
      <alignment wrapText="1"/>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50" fillId="13" borderId="15" xfId="1" applyFont="1" applyFill="1" applyBorder="1" applyAlignment="1" applyProtection="1">
      <alignment horizontal="left" vertical="center" wrapText="1"/>
    </xf>
    <xf numFmtId="0" fontId="37" fillId="13" borderId="15" xfId="1" applyFont="1" applyFill="1" applyBorder="1" applyAlignment="1" applyProtection="1">
      <alignment horizontal="left" vertical="center" wrapText="1"/>
    </xf>
    <xf numFmtId="0" fontId="37" fillId="13" borderId="0" xfId="1" applyFont="1" applyFill="1" applyAlignment="1" applyProtection="1">
      <alignment horizontal="center" vertical="center"/>
    </xf>
    <xf numFmtId="0" fontId="37" fillId="13" borderId="0" xfId="1" applyFont="1" applyFill="1" applyAlignment="1" applyProtection="1">
      <alignment vertical="center" wrapText="1"/>
    </xf>
    <xf numFmtId="0" fontId="19" fillId="16" borderId="16" xfId="1" applyFont="1" applyFill="1" applyBorder="1" applyAlignment="1" applyProtection="1">
      <alignment vertical="center"/>
    </xf>
    <xf numFmtId="0" fontId="19" fillId="16" borderId="17" xfId="1" applyFont="1" applyFill="1" applyBorder="1" applyAlignment="1" applyProtection="1">
      <alignment vertical="center"/>
    </xf>
    <xf numFmtId="0" fontId="19" fillId="16" borderId="17" xfId="1" applyFont="1" applyFill="1" applyBorder="1" applyAlignment="1" applyProtection="1">
      <alignment horizontal="right" vertical="center"/>
    </xf>
    <xf numFmtId="0" fontId="49" fillId="16" borderId="17" xfId="1" applyFont="1" applyFill="1" applyBorder="1" applyAlignment="1" applyProtection="1">
      <alignment horizontal="center" vertical="center"/>
    </xf>
    <xf numFmtId="0" fontId="39" fillId="16"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4"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3"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center" vertical="center" wrapText="1"/>
    </xf>
    <xf numFmtId="0" fontId="22" fillId="0" borderId="0" xfId="1" applyFont="1" applyAlignment="1" applyProtection="1">
      <alignment vertical="top" wrapText="1"/>
    </xf>
    <xf numFmtId="0" fontId="21" fillId="0" borderId="0" xfId="1" applyFont="1" applyAlignment="1" applyProtection="1">
      <alignment vertical="top" wrapText="1"/>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25"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8" xfId="1" applyFont="1" applyFill="1" applyBorder="1" applyAlignment="1" applyProtection="1">
      <alignment horizontal="left" vertical="center"/>
    </xf>
    <xf numFmtId="0" fontId="23" fillId="12" borderId="0" xfId="1" applyFont="1" applyFill="1" applyAlignment="1" applyProtection="1">
      <alignmen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43" fillId="14" borderId="0" xfId="0" applyFont="1" applyFill="1" applyAlignment="1" applyProtection="1">
      <alignment horizontal="center" vertical="center" wrapText="1"/>
    </xf>
    <xf numFmtId="0" fontId="23" fillId="12" borderId="25" xfId="1" applyFont="1" applyFill="1" applyBorder="1" applyAlignment="1" applyProtection="1">
      <alignment horizontal="center" vertical="center" wrapText="1"/>
    </xf>
    <xf numFmtId="0" fontId="23" fillId="12" borderId="0" xfId="1" applyFont="1" applyFill="1" applyAlignment="1" applyProtection="1">
      <alignment horizontal="center" vertical="center" wrapText="1"/>
    </xf>
    <xf numFmtId="0" fontId="23" fillId="12" borderId="18"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0" xfId="1" applyFont="1" applyBorder="1" applyAlignment="1" applyProtection="1">
      <alignment vertical="center" wrapText="1"/>
    </xf>
    <xf numFmtId="0" fontId="25" fillId="0" borderId="20" xfId="1" applyFont="1" applyBorder="1" applyAlignment="1" applyProtection="1">
      <alignment horizontal="center" vertical="center" wrapText="1"/>
    </xf>
    <xf numFmtId="0" fontId="22" fillId="0" borderId="26" xfId="1" applyFont="1" applyBorder="1" applyAlignment="1" applyProtection="1">
      <alignment horizontal="center" vertical="center" wrapText="1"/>
    </xf>
    <xf numFmtId="0" fontId="22" fillId="0" borderId="27" xfId="1" applyFont="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4" fillId="2" borderId="0" xfId="1" applyFont="1" applyFill="1" applyProtection="1"/>
    <xf numFmtId="0" fontId="25" fillId="2" borderId="0" xfId="1" applyFont="1" applyFill="1" applyProtection="1"/>
    <xf numFmtId="0" fontId="22" fillId="16" borderId="14" xfId="1" applyFont="1" applyFill="1" applyBorder="1" applyAlignment="1" applyProtection="1">
      <alignment horizontal="center" vertical="center" wrapText="1"/>
    </xf>
    <xf numFmtId="0" fontId="22" fillId="16" borderId="0" xfId="1" applyFont="1" applyFill="1" applyAlignment="1" applyProtection="1">
      <alignment horizontal="center" vertical="center" wrapText="1"/>
    </xf>
    <xf numFmtId="0" fontId="22" fillId="16" borderId="0" xfId="1" applyFont="1" applyFill="1" applyAlignment="1" applyProtection="1">
      <alignment vertical="center" wrapText="1"/>
    </xf>
    <xf numFmtId="0" fontId="25" fillId="16" borderId="0" xfId="1" applyFont="1" applyFill="1" applyAlignment="1" applyProtection="1">
      <alignment horizontal="left" vertical="center" wrapText="1"/>
    </xf>
    <xf numFmtId="0" fontId="22" fillId="16" borderId="25" xfId="1" applyFont="1" applyFill="1" applyBorder="1" applyAlignment="1" applyProtection="1">
      <alignment horizontal="center" vertical="center" wrapText="1"/>
    </xf>
    <xf numFmtId="0" fontId="22" fillId="16" borderId="18" xfId="1" applyFont="1" applyFill="1" applyBorder="1" applyAlignment="1" applyProtection="1">
      <alignment horizontal="center" vertical="center" wrapText="1"/>
    </xf>
    <xf numFmtId="0" fontId="26" fillId="2" borderId="0" xfId="1" applyFont="1" applyFill="1" applyAlignment="1" applyProtection="1">
      <alignment horizontal="center" vertical="center" wrapText="1"/>
    </xf>
    <xf numFmtId="0" fontId="22" fillId="0" borderId="20" xfId="1" applyFont="1" applyBorder="1" applyAlignment="1" applyProtection="1">
      <alignment horizontal="left" vertical="center"/>
    </xf>
    <xf numFmtId="0" fontId="24" fillId="2" borderId="0" xfId="1" applyFont="1" applyFill="1" applyAlignment="1" applyProtection="1">
      <alignment horizontal="center" vertical="center"/>
    </xf>
    <xf numFmtId="0" fontId="28" fillId="2" borderId="0" xfId="1" applyFont="1" applyFill="1" applyAlignment="1" applyProtection="1">
      <alignment horizontal="left" vertical="center" wrapText="1"/>
    </xf>
    <xf numFmtId="0" fontId="29" fillId="2" borderId="0" xfId="1" applyFont="1" applyFill="1" applyAlignment="1" applyProtection="1">
      <alignment horizontal="left" vertical="center" wrapText="1"/>
    </xf>
    <xf numFmtId="0" fontId="29" fillId="2" borderId="0" xfId="1" applyFont="1" applyFill="1" applyAlignment="1" applyProtection="1">
      <alignment horizontal="center" vertical="center" wrapText="1"/>
    </xf>
    <xf numFmtId="0" fontId="30" fillId="2" borderId="0" xfId="1" applyFont="1" applyFill="1" applyAlignment="1" applyProtection="1">
      <alignment vertical="center"/>
    </xf>
    <xf numFmtId="0" fontId="30" fillId="2" borderId="0" xfId="1" applyFont="1" applyFill="1" applyAlignment="1" applyProtection="1">
      <alignment horizontal="center" vertical="center"/>
    </xf>
    <xf numFmtId="0" fontId="31" fillId="2" borderId="0" xfId="1" applyFont="1" applyFill="1" applyAlignment="1" applyProtection="1">
      <alignment horizontal="center" vertical="center"/>
    </xf>
    <xf numFmtId="0" fontId="31" fillId="2" borderId="0" xfId="1" applyFont="1" applyFill="1" applyProtection="1"/>
    <xf numFmtId="0" fontId="12" fillId="2" borderId="0" xfId="1" applyFont="1" applyFill="1" applyProtection="1"/>
    <xf numFmtId="0" fontId="47" fillId="13" borderId="0" xfId="1" applyFont="1" applyFill="1" applyAlignment="1" applyProtection="1">
      <alignment horizontal="left" vertical="center" readingOrder="1"/>
    </xf>
    <xf numFmtId="0" fontId="33" fillId="13" borderId="0" xfId="1" applyFont="1" applyFill="1" applyAlignment="1" applyProtection="1">
      <alignment horizontal="left" vertical="center" readingOrder="1"/>
    </xf>
    <xf numFmtId="0" fontId="21" fillId="13" borderId="0" xfId="1" applyFont="1" applyFill="1" applyAlignment="1" applyProtection="1">
      <alignment horizontal="left" vertical="center" readingOrder="1"/>
    </xf>
    <xf numFmtId="0" fontId="38" fillId="13" borderId="0" xfId="1" applyFont="1" applyFill="1" applyAlignment="1" applyProtection="1">
      <alignment horizontal="center" vertical="center"/>
    </xf>
    <xf numFmtId="0" fontId="38" fillId="13" borderId="0" xfId="1" applyFont="1" applyFill="1" applyAlignment="1" applyProtection="1">
      <alignment horizontal="center" vertical="center" readingOrder="1"/>
    </xf>
    <xf numFmtId="0" fontId="23" fillId="13" borderId="25" xfId="1" applyFont="1" applyFill="1" applyBorder="1" applyAlignment="1" applyProtection="1">
      <alignment vertical="center" readingOrder="1"/>
    </xf>
    <xf numFmtId="0" fontId="23" fillId="13" borderId="0" xfId="1" applyFont="1" applyFill="1" applyAlignment="1" applyProtection="1">
      <alignment vertical="center" readingOrder="1"/>
    </xf>
    <xf numFmtId="0" fontId="38" fillId="13" borderId="0" xfId="1" applyFont="1" applyFill="1" applyAlignment="1" applyProtection="1">
      <alignment vertical="center" readingOrder="1"/>
    </xf>
    <xf numFmtId="0" fontId="38" fillId="13" borderId="18" xfId="1" applyFont="1" applyFill="1" applyBorder="1" applyAlignment="1" applyProtection="1">
      <alignment vertical="center" readingOrder="1"/>
    </xf>
    <xf numFmtId="0" fontId="36" fillId="13" borderId="0" xfId="1" applyFont="1" applyFill="1" applyAlignment="1" applyProtection="1">
      <alignment horizontal="center"/>
    </xf>
    <xf numFmtId="0" fontId="1" fillId="0" borderId="0" xfId="1" applyAlignment="1" applyProtection="1">
      <alignment horizontal="center" vertical="center"/>
    </xf>
    <xf numFmtId="0" fontId="45" fillId="12" borderId="0" xfId="1" applyFont="1" applyFill="1" applyAlignment="1" applyProtection="1">
      <alignment horizontal="left" vertical="center"/>
    </xf>
    <xf numFmtId="0" fontId="33" fillId="12" borderId="0" xfId="1" applyFont="1" applyFill="1" applyAlignment="1" applyProtection="1">
      <alignment horizontal="left" vertical="top" indent="1"/>
    </xf>
    <xf numFmtId="0" fontId="1" fillId="0" borderId="0" xfId="1" applyAlignment="1" applyProtection="1">
      <alignment horizontal="center" vertical="top"/>
    </xf>
    <xf numFmtId="0" fontId="32" fillId="0" borderId="19" xfId="1" applyFont="1" applyBorder="1" applyAlignment="1" applyProtection="1">
      <alignment horizontal="center" vertical="center"/>
    </xf>
    <xf numFmtId="0" fontId="32" fillId="0" borderId="20" xfId="1" applyFont="1" applyBorder="1" applyAlignment="1" applyProtection="1">
      <alignment horizontal="center" vertical="center"/>
    </xf>
    <xf numFmtId="0" fontId="32" fillId="0" borderId="20" xfId="1" applyFont="1" applyBorder="1" applyAlignment="1" applyProtection="1">
      <alignment vertical="center"/>
    </xf>
    <xf numFmtId="0" fontId="32" fillId="0" borderId="20" xfId="1" applyFont="1" applyBorder="1" applyAlignment="1" applyProtection="1">
      <alignment horizontal="center" vertical="center" wrapText="1"/>
    </xf>
    <xf numFmtId="0" fontId="25" fillId="2" borderId="20" xfId="1" applyFont="1" applyFill="1" applyBorder="1" applyAlignment="1" applyProtection="1">
      <alignment horizontal="center" vertical="center" wrapText="1"/>
    </xf>
    <xf numFmtId="0" fontId="22" fillId="2" borderId="26"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2" borderId="27" xfId="1" applyFont="1" applyFill="1" applyBorder="1" applyAlignment="1" applyProtection="1">
      <alignment horizontal="center" vertical="center"/>
    </xf>
    <xf numFmtId="0" fontId="55" fillId="13" borderId="0" xfId="1" applyFont="1" applyFill="1" applyAlignment="1" applyProtection="1">
      <alignment horizontal="center" vertical="center"/>
    </xf>
    <xf numFmtId="0" fontId="48" fillId="0" borderId="0" xfId="1" applyFont="1" applyAlignment="1" applyProtection="1">
      <alignment horizontal="center" vertical="center"/>
    </xf>
    <xf numFmtId="0" fontId="48" fillId="0" borderId="0" xfId="1" applyFont="1" applyProtection="1"/>
    <xf numFmtId="0" fontId="45" fillId="12" borderId="0" xfId="1" applyFont="1" applyFill="1" applyAlignment="1" applyProtection="1">
      <alignment horizontal="left" vertical="top" indent="1"/>
    </xf>
    <xf numFmtId="0" fontId="33" fillId="12" borderId="0" xfId="1" applyFont="1" applyFill="1" applyAlignment="1" applyProtection="1">
      <alignment horizontal="center" vertical="top"/>
    </xf>
    <xf numFmtId="0" fontId="27" fillId="2" borderId="0" xfId="1" applyFont="1" applyFill="1" applyAlignment="1" applyProtection="1">
      <alignment horizontal="center" vertical="center" wrapText="1"/>
    </xf>
    <xf numFmtId="0" fontId="33" fillId="5" borderId="22" xfId="1" applyFont="1" applyFill="1" applyBorder="1" applyAlignment="1" applyProtection="1">
      <alignment horizontal="left" vertical="center"/>
    </xf>
    <xf numFmtId="0" fontId="33" fillId="5" borderId="23" xfId="1" applyFont="1" applyFill="1" applyBorder="1" applyAlignment="1" applyProtection="1">
      <alignment horizontal="left" vertical="center"/>
    </xf>
    <xf numFmtId="0" fontId="33" fillId="5" borderId="23" xfId="1" applyFont="1" applyFill="1" applyBorder="1" applyAlignment="1" applyProtection="1">
      <alignment horizontal="center" vertical="center"/>
    </xf>
    <xf numFmtId="0" fontId="33" fillId="5" borderId="24" xfId="1" applyFont="1" applyFill="1" applyBorder="1" applyAlignment="1" applyProtection="1">
      <alignment horizontal="left" vertical="center"/>
    </xf>
    <xf numFmtId="0" fontId="28" fillId="2" borderId="0" xfId="1" applyFont="1" applyFill="1" applyAlignment="1" applyProtection="1">
      <alignment vertical="center"/>
    </xf>
    <xf numFmtId="0" fontId="12" fillId="2" borderId="0" xfId="1" applyFont="1" applyFill="1" applyAlignment="1" applyProtection="1">
      <alignment horizontal="center" vertical="center"/>
    </xf>
    <xf numFmtId="0" fontId="30" fillId="2" borderId="0" xfId="1" applyFont="1" applyFill="1" applyAlignment="1" applyProtection="1">
      <alignment horizontal="right" vertical="center"/>
    </xf>
    <xf numFmtId="0" fontId="40" fillId="0" borderId="0" xfId="1" applyFont="1" applyAlignment="1" applyProtection="1">
      <alignment vertical="center"/>
      <protection locked="0"/>
    </xf>
    <xf numFmtId="0" fontId="20" fillId="2" borderId="0" xfId="1" applyFont="1" applyFill="1" applyAlignment="1" applyProtection="1">
      <alignment vertical="center"/>
      <protection locked="0"/>
    </xf>
  </cellXfs>
  <cellStyles count="3">
    <cellStyle name="Good" xfId="2" builtinId="26"/>
    <cellStyle name="Normal" xfId="0" builtinId="0"/>
    <cellStyle name="Normal 2" xfId="1" xr:uid="{00000000-0005-0000-0000-000002000000}"/>
  </cellStyles>
  <dxfs count="8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patternType="solid">
          <fgColor auto="1"/>
          <bgColor theme="0" tint="-0.14996795556505021"/>
        </patternFill>
      </fill>
    </dxf>
    <dxf>
      <font>
        <b/>
        <i/>
      </font>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indexed="64"/>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0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257175</xdr:colOff>
      <xdr:row>3</xdr:row>
      <xdr:rowOff>66676</xdr:rowOff>
    </xdr:from>
    <xdr:ext cx="5629275" cy="6949980"/>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039475" y="571501"/>
          <a:ext cx="5629275" cy="694998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Bachelor of Creative Arts</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Major</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r>
            <a:rPr lang="en-AU" b="0"/>
            <a:t>This planner shows the </a:t>
          </a:r>
          <a:r>
            <a:rPr lang="en-AU" b="1" u="sng"/>
            <a:t>recommended</a:t>
          </a:r>
          <a:r>
            <a:rPr lang="en-AU" b="0"/>
            <a:t> sequence of </a:t>
          </a:r>
          <a:r>
            <a:rPr lang="en-AU" b="1"/>
            <a:t>full-time study </a:t>
          </a:r>
          <a:r>
            <a:rPr lang="en-AU" b="0"/>
            <a:t>based on your study period of commencement.  The standard full-time study load is </a:t>
          </a:r>
          <a:r>
            <a:rPr lang="en-AU" b="1"/>
            <a:t>100 credit points </a:t>
          </a:r>
          <a:r>
            <a:rPr lang="en-AU" b="0"/>
            <a:t>per semester. Units may not be offered in every study period and may not be available at the time that you wish to study them. Your progression in the degree may be impacted if you do not follow the recommended sequence of enrolment.</a:t>
          </a:r>
        </a:p>
        <a:p>
          <a:endParaRPr lang="en-AU" b="0"/>
        </a:p>
        <a:p>
          <a:r>
            <a:rPr lang="en-AU" b="0"/>
            <a:t>If you wish to enrol in a part-time load, please contact Curtin Connect or your Major Coordinator to develop an ad hoc study plan OR please select one or two units from the four listed for each study period.</a:t>
          </a:r>
        </a:p>
        <a:p>
          <a:endParaRPr lang="en-AU" b="0"/>
        </a:p>
        <a:p>
          <a:r>
            <a:rPr lang="en-AU" b="1"/>
            <a:t>Recommended Options (denoted</a:t>
          </a:r>
          <a:r>
            <a:rPr lang="en-AU" b="1" baseline="0"/>
            <a:t> by *)</a:t>
          </a:r>
          <a:endParaRPr lang="en-AU" b="1"/>
        </a:p>
        <a:p>
          <a:r>
            <a:rPr lang="en-AU" sz="1100" b="1">
              <a:solidFill>
                <a:schemeClr val="dk1"/>
              </a:solidFill>
              <a:effectLst/>
              <a:latin typeface="+mn-lt"/>
              <a:ea typeface="+mn-ea"/>
              <a:cs typeface="+mn-cs"/>
            </a:rPr>
            <a:t>First Year </a:t>
          </a:r>
          <a:r>
            <a:rPr lang="en-AU" sz="1100" b="0">
              <a:solidFill>
                <a:schemeClr val="dk1"/>
              </a:solidFill>
              <a:effectLst/>
              <a:latin typeface="+mn-lt"/>
              <a:ea typeface="+mn-ea"/>
              <a:cs typeface="+mn-cs"/>
            </a:rPr>
            <a:t>- i</a:t>
          </a:r>
          <a:r>
            <a:rPr lang="en-AU" sz="1100" b="0" i="0">
              <a:solidFill>
                <a:schemeClr val="dk1"/>
              </a:solidFill>
              <a:effectLst/>
              <a:latin typeface="+mn-lt"/>
              <a:ea typeface="+mn-ea"/>
              <a:cs typeface="+mn-cs"/>
            </a:rPr>
            <a:t>t is </a:t>
          </a:r>
          <a:r>
            <a:rPr lang="en-AU" sz="1100" b="1" i="0" u="sng">
              <a:solidFill>
                <a:schemeClr val="dk1"/>
              </a:solidFill>
              <a:effectLst/>
              <a:latin typeface="+mn-lt"/>
              <a:ea typeface="+mn-ea"/>
              <a:cs typeface="+mn-cs"/>
            </a:rPr>
            <a:t>recommended</a:t>
          </a:r>
          <a:r>
            <a:rPr lang="en-AU" sz="1100" i="0">
              <a:solidFill>
                <a:schemeClr val="dk1"/>
              </a:solidFill>
              <a:effectLst/>
              <a:latin typeface="+mn-lt"/>
              <a:ea typeface="+mn-ea"/>
              <a:cs typeface="+mn-cs"/>
            </a:rPr>
            <a:t> that you select the following units from the Year 1 Options list based on your chosen major:</a:t>
          </a:r>
        </a:p>
        <a:p>
          <a:r>
            <a:rPr lang="en-AU" b="0" i="0"/>
            <a:t>- Fine Art:</a:t>
          </a:r>
          <a:r>
            <a:rPr lang="en-AU" b="0" i="0" baseline="0"/>
            <a:t> </a:t>
          </a:r>
          <a:r>
            <a:rPr lang="en-AU" b="0" i="0"/>
            <a:t>VISA1004 and VISA1005;</a:t>
          </a:r>
        </a:p>
        <a:p>
          <a:r>
            <a:rPr lang="en-AU" b="0" i="0"/>
            <a:t>- Screen Arts:</a:t>
          </a:r>
          <a:r>
            <a:rPr lang="en-AU" b="0" i="0" baseline="0"/>
            <a:t> </a:t>
          </a:r>
          <a:r>
            <a:rPr lang="en-AU" b="0" i="0"/>
            <a:t>SCST1000 and SPRO1000;</a:t>
          </a:r>
        </a:p>
        <a:p>
          <a:r>
            <a:rPr lang="en-AU" b="0" i="0"/>
            <a:t>- Theatre Arts:</a:t>
          </a:r>
          <a:r>
            <a:rPr lang="en-AU" b="0" i="0" baseline="0"/>
            <a:t> </a:t>
          </a:r>
          <a:r>
            <a:rPr lang="en-AU" b="0" i="0"/>
            <a:t>THTR1001 and THTR1002.</a:t>
          </a:r>
        </a:p>
        <a:p>
          <a:r>
            <a:rPr lang="en-AU" sz="1100" b="1">
              <a:solidFill>
                <a:schemeClr val="dk1"/>
              </a:solidFill>
              <a:effectLst/>
              <a:latin typeface="+mn-lt"/>
              <a:ea typeface="+mn-ea"/>
              <a:cs typeface="+mn-cs"/>
            </a:rPr>
            <a:t>Second Year </a:t>
          </a:r>
          <a:r>
            <a:rPr lang="en-AU" sz="1100" b="0">
              <a:solidFill>
                <a:schemeClr val="dk1"/>
              </a:solidFill>
              <a:effectLst/>
              <a:latin typeface="+mn-lt"/>
              <a:ea typeface="+mn-ea"/>
              <a:cs typeface="+mn-cs"/>
            </a:rPr>
            <a:t>- i</a:t>
          </a:r>
          <a:r>
            <a:rPr lang="en-AU" sz="1100" b="0" i="0">
              <a:solidFill>
                <a:schemeClr val="dk1"/>
              </a:solidFill>
              <a:effectLst/>
              <a:latin typeface="+mn-lt"/>
              <a:ea typeface="+mn-ea"/>
              <a:cs typeface="+mn-cs"/>
            </a:rPr>
            <a:t>t is </a:t>
          </a:r>
          <a:r>
            <a:rPr lang="en-AU" sz="1100" b="1" i="0" u="sng">
              <a:solidFill>
                <a:schemeClr val="dk1"/>
              </a:solidFill>
              <a:effectLst/>
              <a:latin typeface="+mn-lt"/>
              <a:ea typeface="+mn-ea"/>
              <a:cs typeface="+mn-cs"/>
            </a:rPr>
            <a:t>recommended</a:t>
          </a:r>
          <a:r>
            <a:rPr lang="en-AU" sz="1100" i="0">
              <a:solidFill>
                <a:schemeClr val="dk1"/>
              </a:solidFill>
              <a:effectLst/>
              <a:latin typeface="+mn-lt"/>
              <a:ea typeface="+mn-ea"/>
              <a:cs typeface="+mn-cs"/>
            </a:rPr>
            <a:t> that you select the following units from the Year 2 Options list based on your chosen major:</a:t>
          </a:r>
          <a:endParaRPr lang="en-AU">
            <a:effectLst/>
          </a:endParaRPr>
        </a:p>
        <a:p>
          <a:r>
            <a:rPr lang="en-AU" sz="1100" b="0" i="0">
              <a:solidFill>
                <a:schemeClr val="dk1"/>
              </a:solidFill>
              <a:effectLst/>
              <a:latin typeface="+mn-lt"/>
              <a:ea typeface="+mn-ea"/>
              <a:cs typeface="+mn-cs"/>
            </a:rPr>
            <a:t>- Fine Art: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VISA2005;</a:t>
          </a:r>
          <a:endParaRPr lang="en-AU">
            <a:effectLst/>
          </a:endParaRPr>
        </a:p>
        <a:p>
          <a:r>
            <a:rPr lang="en-AU" sz="1100" b="0" i="0">
              <a:solidFill>
                <a:schemeClr val="dk1"/>
              </a:solidFill>
              <a:effectLst/>
              <a:latin typeface="+mn-lt"/>
              <a:ea typeface="+mn-ea"/>
              <a:cs typeface="+mn-cs"/>
            </a:rPr>
            <a:t>- Screen Arts:</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SPRO2000;</a:t>
          </a:r>
          <a:endParaRPr lang="en-AU">
            <a:effectLst/>
          </a:endParaRPr>
        </a:p>
        <a:p>
          <a:r>
            <a:rPr lang="en-AU" sz="1100" b="0" i="0">
              <a:solidFill>
                <a:schemeClr val="dk1"/>
              </a:solidFill>
              <a:effectLst/>
              <a:latin typeface="+mn-lt"/>
              <a:ea typeface="+mn-ea"/>
              <a:cs typeface="+mn-cs"/>
            </a:rPr>
            <a:t>- Theatre Arts:</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THTR2005.</a:t>
          </a:r>
          <a:endParaRPr lang="en-AU">
            <a:effectLst/>
          </a:endParaRPr>
        </a:p>
        <a:p>
          <a:endParaRPr lang="en-AU" b="1"/>
        </a:p>
        <a:p>
          <a:r>
            <a:rPr lang="en-AU" b="1"/>
            <a:t>Notes for International Students </a:t>
          </a:r>
          <a:r>
            <a:rPr lang="en-AU" b="0"/>
            <a:t> </a:t>
          </a:r>
        </a:p>
        <a:p>
          <a:r>
            <a:rPr lang="en-AU" b="0"/>
            <a:t>You are expected to study all of your units face-to-face for at least the first year of your course. It is your responsibility to ensure that you meet all conditions of your student visa.  </a:t>
          </a:r>
        </a:p>
        <a:p>
          <a:endParaRPr lang="en-AU" b="0"/>
        </a:p>
        <a:p>
          <a:r>
            <a:rPr lang="en-AU" b="1"/>
            <a:t>Need more support?</a:t>
          </a:r>
          <a:r>
            <a:rPr lang="en-AU" b="0"/>
            <a:t> </a:t>
          </a:r>
        </a:p>
        <a:p>
          <a:r>
            <a:rPr lang="en-AU" b="0"/>
            <a:t>This planner is designed to be used in conjunction with the information provided by Curtin Connect on the Student Essentials webpages. If you have any questions regarding your enrolment, please contact Curtin Connect.</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1" i="1">
            <a:solidFill>
              <a:schemeClr val="dk1"/>
            </a:solidFill>
            <a:effectLst/>
            <a:latin typeface="+mn-lt"/>
            <a:ea typeface="+mn-ea"/>
            <a:cs typeface="+mn-cs"/>
          </a:endParaRPr>
        </a:p>
        <a:p>
          <a:pPr algn="ctr"/>
          <a:r>
            <a:rPr lang="en-AU" sz="900" b="1"/>
            <a:t>Note</a:t>
          </a:r>
          <a:r>
            <a:rPr lang="en-AU" sz="900" b="0"/>
            <a:t>:</a:t>
          </a:r>
        </a:p>
        <a:p>
          <a:pPr algn="ctr"/>
          <a:r>
            <a:rPr lang="en-AU" sz="900" b="0"/>
            <a:t>CP = Credit Points; Sem1 = Semester 1; Sem2 = Semester 2;</a:t>
          </a:r>
        </a:p>
        <a:p>
          <a:pPr algn="ctr"/>
          <a:r>
            <a:rPr lang="en-AU" sz="900" b="0"/>
            <a:t>BEN = unit available face-to-face at Curtin University, Bentley Campus; FO = unit available Fully Online</a:t>
          </a:r>
        </a:p>
      </xdr:txBody>
    </xdr:sp>
    <xdr:clientData/>
  </xdr:oneCellAnchor>
  <xdr:oneCellAnchor>
    <xdr:from>
      <xdr:col>18</xdr:col>
      <xdr:colOff>38100</xdr:colOff>
      <xdr:row>2</xdr:row>
      <xdr:rowOff>306067</xdr:rowOff>
    </xdr:from>
    <xdr:ext cx="2419350"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249400" y="306067"/>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5" totalsRowShown="0" headerRowDxfId="88">
  <autoFilter ref="A4:H5" xr:uid="{00000000-0009-0000-0100-000003000000}"/>
  <tableColumns count="8">
    <tableColumn id="3" xr3:uid="{00000000-0010-0000-0000-000003000000}" name="Choose your Course" dataDxfId="87"/>
    <tableColumn id="1" xr3:uid="{00000000-0010-0000-0000-000001000000}" name="UDC" dataDxfId="86"/>
    <tableColumn id="2" xr3:uid="{00000000-0010-0000-0000-000002000000}" name="SM Version" dataDxfId="85"/>
    <tableColumn id="5" xr3:uid="{00000000-0010-0000-0000-000005000000}" name="SM Effective Date" dataDxfId="84"/>
    <tableColumn id="4" xr3:uid="{00000000-0010-0000-0000-000004000000}" name="Akari Iteration" dataDxfId="83"/>
    <tableColumn id="6" xr3:uid="{00000000-0010-0000-0000-000006000000}" name="Akari Effective Date" dataDxfId="82"/>
    <tableColumn id="8" xr3:uid="{00000000-0010-0000-0000-000008000000}" name="Credit Points" dataDxfId="81"/>
    <tableColumn id="7" xr3:uid="{00000000-0010-0000-0000-000007000000}" name="SM Availabilities" dataDxfId="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15168" displayName="Table15168" ref="Q28:R38" totalsRowShown="0">
  <autoFilter ref="Q28:R38" xr:uid="{00000000-0009-0000-0100-000007000000}"/>
  <tableColumns count="2">
    <tableColumn id="5" xr3:uid="{00000000-0010-0000-0900-000005000000}" name="SPK"/>
    <tableColumn id="6" xr3:uid="{00000000-0010-0000-0900-000006000000}" name="Ver"/>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151689" displayName="Table151689" ref="Q40:R55" totalsRowShown="0">
  <autoFilter ref="Q40:R55" xr:uid="{00000000-0009-0000-0100-000008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516810" displayName="Table1516810" ref="Q57:R67" totalsRowShown="0">
  <autoFilter ref="Q57:R67" xr:uid="{00000000-0009-0000-0100-000009000000}"/>
  <tableColumns count="2">
    <tableColumn id="5" xr3:uid="{00000000-0010-0000-0B00-000005000000}" name="SPK"/>
    <tableColumn id="6" xr3:uid="{00000000-0010-0000-0B00-000006000000}" name="Ver"/>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Availabilities" displayName="TableAvailabilities" ref="A2:E44" totalsRowShown="0">
  <autoFilter ref="A2:E44" xr:uid="{00000000-0009-0000-0100-00000D000000}"/>
  <tableColumns count="5">
    <tableColumn id="1" xr3:uid="{00000000-0010-0000-0C00-000001000000}" name="Row Labels"/>
    <tableColumn id="2" xr3:uid="{00000000-0010-0000-0C00-000002000000}" name="Sem1 Internal" dataDxfId="24"/>
    <tableColumn id="3" xr3:uid="{00000000-0010-0000-0C00-000003000000}" name="Sem1 Online" dataDxfId="23"/>
    <tableColumn id="4" xr3:uid="{00000000-0010-0000-0C00-000004000000}" name="Sem2 Internal" dataDxfId="22"/>
    <tableColumn id="5" xr3:uid="{00000000-0010-0000-0C00-000005000000}" name="Sem2 Online" dataDxfId="2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4:C16" totalsRowShown="0" dataDxfId="79">
  <autoFilter ref="A14:C16" xr:uid="{00000000-0009-0000-0100-000004000000}"/>
  <tableColumns count="3">
    <tableColumn id="1" xr3:uid="{00000000-0010-0000-0100-000001000000}" name="Choose your commencing study period (drop-down list)" dataDxfId="78"/>
    <tableColumn id="2" xr3:uid="{00000000-0010-0000-0100-000002000000}" name="START" dataDxfId="77"/>
    <tableColumn id="3" xr3:uid="{00000000-0010-0000-0100-000003000000}" name="Next" dataDxfId="76"/>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Majors" displayName="TableMajors" ref="A8:G11" totalsRowShown="0" dataDxfId="75">
  <autoFilter ref="A8:G11" xr:uid="{00000000-0009-0000-0100-000005000000}"/>
  <sortState xmlns:xlrd2="http://schemas.microsoft.com/office/spreadsheetml/2017/richdata2" ref="A6:E18">
    <sortCondition ref="A15:A28"/>
  </sortState>
  <tableColumns count="7">
    <tableColumn id="1" xr3:uid="{00000000-0010-0000-0200-000001000000}" name="Choose your Major (drop-down list)" dataDxfId="74"/>
    <tableColumn id="2" xr3:uid="{00000000-0010-0000-0200-000002000000}" name="UDC" dataDxfId="73"/>
    <tableColumn id="3" xr3:uid="{00000000-0010-0000-0200-000003000000}" name="SM Version" dataDxfId="72"/>
    <tableColumn id="4" xr3:uid="{00000000-0010-0000-0200-000004000000}" name="SM Effective Date" dataDxfId="71"/>
    <tableColumn id="5" xr3:uid="{00000000-0010-0000-0200-000005000000}" name="Akari Iteration" dataDxfId="70"/>
    <tableColumn id="6" xr3:uid="{00000000-0010-0000-0200-000006000000}" name="Akari Effective Date" dataDxfId="69"/>
    <tableColumn id="7" xr3:uid="{00000000-0010-0000-0200-000007000000}" name="Credit Points" dataDxfId="6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3:O63" totalsRowShown="0" headerRowDxfId="67" dataDxfId="65" headerRowBorderDxfId="66" tableBorderDxfId="64">
  <autoFilter ref="A3:O63" xr:uid="{00000000-0009-0000-0100-000002000000}"/>
  <sortState xmlns:xlrd2="http://schemas.microsoft.com/office/spreadsheetml/2017/richdata2" ref="A4:O63">
    <sortCondition ref="A3:A63"/>
  </sortState>
  <tableColumns count="15">
    <tableColumn id="1" xr3:uid="{00000000-0010-0000-0300-000001000000}" name="UDC" dataDxfId="63"/>
    <tableColumn id="2" xr3:uid="{00000000-0010-0000-0300-000002000000}" name="Ver" dataDxfId="62"/>
    <tableColumn id="3" xr3:uid="{00000000-0010-0000-0300-000003000000}" name="OUA Cd" dataDxfId="61"/>
    <tableColumn id="4" xr3:uid="{00000000-0010-0000-0300-000004000000}" name="Title" dataDxfId="60"/>
    <tableColumn id="5" xr3:uid="{00000000-0010-0000-0300-000005000000}" name="Credits" dataDxfId="59"/>
    <tableColumn id="6" xr3:uid="{00000000-0010-0000-0300-000006000000}" name="Pre-reqs (15/10/2024)" dataDxfId="58"/>
    <tableColumn id="12" xr3:uid="{00000000-0010-0000-0300-00000C000000}" name="S1INT" dataDxfId="57">
      <calculatedColumnFormula>IFERROR(IF(VLOOKUP(TableHandbook[[#This Row],[UDC]],TableAvailabilities[],2,FALSE)&gt;0,"Y",""),"")</calculatedColumnFormula>
    </tableColumn>
    <tableColumn id="13" xr3:uid="{00000000-0010-0000-0300-00000D000000}" name="S1FO" dataDxfId="56">
      <calculatedColumnFormula>IFERROR(IF(VLOOKUP(TableHandbook[[#This Row],[UDC]],TableAvailabilities[],3,FALSE)&gt;0,"Y",""),"")</calculatedColumnFormula>
    </tableColumn>
    <tableColumn id="14" xr3:uid="{00000000-0010-0000-0300-00000E000000}" name="S2INT" dataDxfId="55">
      <calculatedColumnFormula>IFERROR(IF(VLOOKUP(TableHandbook[[#This Row],[UDC]],TableAvailabilities[],4,FALSE)&gt;0,"Y",""),"")</calculatedColumnFormula>
    </tableColumn>
    <tableColumn id="15" xr3:uid="{00000000-0010-0000-0300-00000F000000}" name="S2FO" dataDxfId="54">
      <calculatedColumnFormula>IFERROR(IF(VLOOKUP(TableHandbook[[#This Row],[UDC]],TableAvailabilities[],5,FALSE)&gt;0,"Y",""),"")</calculatedColumnFormula>
    </tableColumn>
    <tableColumn id="16" xr3:uid="{00000000-0010-0000-0300-000010000000}" name="Notes" dataDxfId="53"/>
    <tableColumn id="8" xr3:uid="{00000000-0010-0000-0300-000008000000}" name="B-CRARTS" dataDxfId="52">
      <calculatedColumnFormula>IFERROR(VLOOKUP(TableHandbook[[#This Row],[UDC]],TableBCRARTS[],7,FALSE),"")</calculatedColumnFormula>
    </tableColumn>
    <tableColumn id="9" xr3:uid="{00000000-0010-0000-0300-000009000000}" name="MJRU-FINAR" dataDxfId="51">
      <calculatedColumnFormula>IFERROR(VLOOKUP(TableHandbook[[#This Row],[UDC]],TableMJRUFINAR[],7,FALSE),"")</calculatedColumnFormula>
    </tableColumn>
    <tableColumn id="19" xr3:uid="{00000000-0010-0000-0300-000013000000}" name="MJRU-SCRAR" dataDxfId="50">
      <calculatedColumnFormula>IFERROR(VLOOKUP(TableHandbook[[#This Row],[UDC]],TableMJRUSCRAR[],7,FALSE),"")</calculatedColumnFormula>
    </tableColumn>
    <tableColumn id="22" xr3:uid="{00000000-0010-0000-0300-000016000000}" name="MJRU-THTRA" dataDxfId="49">
      <calculatedColumnFormula>IFERROR(VLOOKUP(TableHandbook[[#This Row],[UDC]],TableMJRUTHTRA[],7,FALSE),"")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BCRARTS" displayName="TableBCRARTS" ref="A2:O25" totalsRowShown="0">
  <autoFilter ref="A2:O25" xr:uid="{00000000-0009-0000-0100-000001000000}"/>
  <sortState xmlns:xlrd2="http://schemas.microsoft.com/office/spreadsheetml/2017/richdata2" ref="AE3:AV6">
    <sortCondition ref="AS2:AS6"/>
  </sortState>
  <tableColumns count="15">
    <tableColumn id="1" xr3:uid="{00000000-0010-0000-0400-000001000000}" name="UDC" dataDxfId="48">
      <calculatedColumnFormula>TableBCRARTS[[#This Row],[Study Package Code]]</calculatedColumnFormula>
    </tableColumn>
    <tableColumn id="9" xr3:uid="{00000000-0010-0000-0400-000009000000}" name="V" dataDxfId="47">
      <calculatedColumnFormula>TableBCRARTS[[#This Row],[Ver]]</calculatedColumnFormula>
    </tableColumn>
    <tableColumn id="10" xr3:uid="{00000000-0010-0000-0400-00000A000000}" name="OUA Code"/>
    <tableColumn id="11" xr3:uid="{00000000-0010-0000-0400-00000B000000}" name="Unit Title" dataDxfId="46">
      <calculatedColumnFormula>TableBCRARTS[[#This Row],[Structure Line]]</calculatedColumnFormula>
    </tableColumn>
    <tableColumn id="12" xr3:uid="{00000000-0010-0000-0400-00000C000000}" name="CPs" dataDxfId="45">
      <calculatedColumnFormula>TableBCRARTS[[#This Row],[Credit Points]]</calculatedColumnFormula>
    </tableColumn>
    <tableColumn id="13" xr3:uid="{00000000-0010-0000-0400-00000D000000}" name="No."/>
    <tableColumn id="2" xr3:uid="{00000000-0010-0000-0400-000002000000}" name="Component Type"/>
    <tableColumn id="3" xr3:uid="{00000000-0010-0000-0400-000003000000}" name="Year Level"/>
    <tableColumn id="4" xr3:uid="{00000000-0010-0000-0400-000004000000}" name="Study Period"/>
    <tableColumn id="5" xr3:uid="{00000000-0010-0000-0400-000005000000}" name="Study Package Code"/>
    <tableColumn id="6" xr3:uid="{00000000-0010-0000-0400-000006000000}" name="Ver"/>
    <tableColumn id="7" xr3:uid="{00000000-0010-0000-0400-000007000000}" name="Structure Line"/>
    <tableColumn id="8" xr3:uid="{00000000-0010-0000-0400-000008000000}" name="Credit Points"/>
    <tableColumn id="14" xr3:uid="{00000000-0010-0000-0400-00000E000000}" name="Effective" dataDxfId="44"/>
    <tableColumn id="15" xr3:uid="{00000000-0010-0000-0400-00000F000000}" name="Discont." dataDxfId="4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MJRUFINAR" displayName="TableMJRUFINAR" ref="A28:O38" totalsRowShown="0">
  <autoFilter ref="A28:O38" xr:uid="{00000000-0009-0000-0100-000016000000}"/>
  <sortState xmlns:xlrd2="http://schemas.microsoft.com/office/spreadsheetml/2017/richdata2" ref="A265:M272">
    <sortCondition ref="H264:H272"/>
  </sortState>
  <tableColumns count="15">
    <tableColumn id="1" xr3:uid="{00000000-0010-0000-0500-000001000000}" name="UDC" dataDxfId="42">
      <calculatedColumnFormula>TableMJRUFINAR[[#This Row],[Study Package Code]]</calculatedColumnFormula>
    </tableColumn>
    <tableColumn id="9" xr3:uid="{00000000-0010-0000-0500-000009000000}" name="V" dataDxfId="41">
      <calculatedColumnFormula>TableMJRUFINAR[[#This Row],[Ver]]</calculatedColumnFormula>
    </tableColumn>
    <tableColumn id="10" xr3:uid="{00000000-0010-0000-0500-00000A000000}" name="OUA Code"/>
    <tableColumn id="11" xr3:uid="{00000000-0010-0000-0500-00000B000000}" name="Unit Title" dataDxfId="40">
      <calculatedColumnFormula>TableMJRUFINAR[[#This Row],[Structure Line]]</calculatedColumnFormula>
    </tableColumn>
    <tableColumn id="12" xr3:uid="{00000000-0010-0000-0500-00000C000000}" name="CPs" dataDxfId="39">
      <calculatedColumnFormula>TableMJRUFINAR[[#This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38"/>
    <tableColumn id="15" xr3:uid="{00000000-0010-0000-0500-00000F000000}" name="Discont." dataDxfId="3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6000000}" name="TableMJRUSCRAR" displayName="TableMJRUSCRAR" ref="A40:O55" totalsRowShown="0">
  <autoFilter ref="A40:O55" xr:uid="{00000000-0009-0000-0100-00001E000000}"/>
  <sortState xmlns:xlrd2="http://schemas.microsoft.com/office/spreadsheetml/2017/richdata2" ref="A356:M370">
    <sortCondition ref="H355:H370"/>
  </sortState>
  <tableColumns count="15">
    <tableColumn id="1" xr3:uid="{00000000-0010-0000-0600-000001000000}" name="UDC" dataDxfId="36">
      <calculatedColumnFormula>TableMJRUSCRAR[[#This Row],[Study Package Code]]</calculatedColumnFormula>
    </tableColumn>
    <tableColumn id="9" xr3:uid="{00000000-0010-0000-0600-000009000000}" name="V" dataDxfId="35">
      <calculatedColumnFormula>TableMJRUSCRAR[[#This Row],[Ver]]</calculatedColumnFormula>
    </tableColumn>
    <tableColumn id="10" xr3:uid="{00000000-0010-0000-0600-00000A000000}" name="OUA Code"/>
    <tableColumn id="11" xr3:uid="{00000000-0010-0000-0600-00000B000000}" name="Unit Title" dataDxfId="34">
      <calculatedColumnFormula>TableMJRUSCRAR[[#This Row],[Structure Line]]</calculatedColumnFormula>
    </tableColumn>
    <tableColumn id="12" xr3:uid="{00000000-0010-0000-0600-00000C000000}" name="CPs" dataDxfId="33">
      <calculatedColumnFormula>TableMJRUSCRAR[[#This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32"/>
    <tableColumn id="15" xr3:uid="{00000000-0010-0000-0600-00000F000000}" name="Discont." dataDxfId="31"/>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7000000}" name="TableMJRUTHTRA" displayName="TableMJRUTHTRA" ref="A57:O67" totalsRowShown="0">
  <autoFilter ref="A57:O67" xr:uid="{00000000-0009-0000-0100-00001F000000}"/>
  <sortState xmlns:xlrd2="http://schemas.microsoft.com/office/spreadsheetml/2017/richdata2" ref="A373:M382">
    <sortCondition ref="H372:H382"/>
  </sortState>
  <tableColumns count="15">
    <tableColumn id="1" xr3:uid="{00000000-0010-0000-0700-000001000000}" name="UDC" dataDxfId="30">
      <calculatedColumnFormula>TableMJRUTHTRA[[#This Row],[Study Package Code]]</calculatedColumnFormula>
    </tableColumn>
    <tableColumn id="9" xr3:uid="{00000000-0010-0000-0700-000009000000}" name="V" dataDxfId="29">
      <calculatedColumnFormula>TableMJRUTHTRA[[#This Row],[Ver]]</calculatedColumnFormula>
    </tableColumn>
    <tableColumn id="10" xr3:uid="{00000000-0010-0000-0700-00000A000000}" name="OUA Code"/>
    <tableColumn id="11" xr3:uid="{00000000-0010-0000-0700-00000B000000}" name="Unit Title" dataDxfId="28">
      <calculatedColumnFormula>TableMJRUTHTRA[[#This Row],[Structure Line]]</calculatedColumnFormula>
    </tableColumn>
    <tableColumn id="12" xr3:uid="{00000000-0010-0000-0700-00000C000000}" name="CPs" dataDxfId="27">
      <calculatedColumnFormula>TableMJRUTHTRA[[#This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26"/>
    <tableColumn id="15" xr3:uid="{00000000-0010-0000-0700-00000F000000}" name="Discont." dataDxfId="2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516" displayName="Table1516" ref="Q2:R25" totalsRowShown="0">
  <autoFilter ref="Q2:R25" xr:uid="{00000000-0009-0000-0100-000006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 Id="rId9"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1"/>
  <sheetViews>
    <sheetView showGridLines="0" tabSelected="1" topLeftCell="A3" zoomScaleNormal="100" workbookViewId="0">
      <selection activeCell="D6" sqref="D6"/>
    </sheetView>
  </sheetViews>
  <sheetFormatPr defaultRowHeight="15" x14ac:dyDescent="0.25"/>
  <cols>
    <col min="1" max="1" width="11" style="182" customWidth="1"/>
    <col min="2" max="2" width="3.25" style="182" customWidth="1"/>
    <col min="3" max="3" width="5.875" style="182" customWidth="1"/>
    <col min="4" max="4" width="49.125" style="170" bestFit="1" customWidth="1"/>
    <col min="5" max="5" width="7.375" style="182" customWidth="1"/>
    <col min="6" max="6" width="25.125" style="170" customWidth="1"/>
    <col min="7" max="7" width="5.625" style="170" customWidth="1"/>
    <col min="8" max="11" width="4.625" style="170" customWidth="1"/>
    <col min="12" max="12" width="18.625" style="170" customWidth="1"/>
    <col min="13" max="13" width="2.5" style="170" hidden="1" customWidth="1"/>
    <col min="14" max="16384" width="9" style="170"/>
  </cols>
  <sheetData>
    <row r="1" spans="1:16" hidden="1" x14ac:dyDescent="0.25">
      <c r="A1" s="166" t="s">
        <v>0</v>
      </c>
      <c r="B1" s="167" t="s">
        <v>1</v>
      </c>
      <c r="C1" s="167" t="s">
        <v>2</v>
      </c>
      <c r="D1" s="168" t="s">
        <v>3</v>
      </c>
      <c r="E1" s="167"/>
      <c r="F1" s="168" t="s">
        <v>4</v>
      </c>
      <c r="G1" s="168" t="s">
        <v>5</v>
      </c>
      <c r="H1" s="169" t="s">
        <v>6</v>
      </c>
      <c r="I1" s="168"/>
      <c r="J1" s="168"/>
      <c r="K1" s="168"/>
      <c r="L1" s="168" t="s">
        <v>7</v>
      </c>
    </row>
    <row r="2" spans="1:16" hidden="1" x14ac:dyDescent="0.25">
      <c r="A2" s="171"/>
      <c r="B2" s="172">
        <v>2</v>
      </c>
      <c r="C2" s="172">
        <v>3</v>
      </c>
      <c r="D2" s="172">
        <v>4</v>
      </c>
      <c r="E2" s="172"/>
      <c r="F2" s="172">
        <v>6</v>
      </c>
      <c r="G2" s="172">
        <v>5</v>
      </c>
      <c r="H2" s="172">
        <v>7</v>
      </c>
      <c r="I2" s="172">
        <v>8</v>
      </c>
      <c r="J2" s="172">
        <v>9</v>
      </c>
      <c r="K2" s="172">
        <v>10</v>
      </c>
      <c r="L2" s="172"/>
    </row>
    <row r="3" spans="1:16" ht="39.950000000000003" customHeight="1" x14ac:dyDescent="0.25">
      <c r="A3" s="173" t="s">
        <v>8</v>
      </c>
      <c r="B3" s="174"/>
      <c r="C3" s="174"/>
      <c r="D3" s="174"/>
      <c r="E3" s="175"/>
      <c r="F3" s="176"/>
      <c r="G3" s="176"/>
      <c r="H3" s="176"/>
      <c r="I3" s="176"/>
      <c r="J3" s="176"/>
      <c r="K3" s="176"/>
      <c r="L3" s="176"/>
    </row>
    <row r="4" spans="1:16" ht="26.25" x14ac:dyDescent="0.25">
      <c r="A4" s="177"/>
      <c r="B4" s="178"/>
      <c r="C4" s="178"/>
      <c r="D4" s="179"/>
      <c r="E4" s="180" t="s">
        <v>9</v>
      </c>
      <c r="F4" s="178"/>
      <c r="G4" s="181"/>
      <c r="H4" s="181"/>
      <c r="I4" s="181"/>
      <c r="J4" s="181"/>
      <c r="K4" s="181"/>
      <c r="L4" s="181"/>
    </row>
    <row r="5" spans="1:16" ht="20.100000000000001" customHeight="1" x14ac:dyDescent="0.25">
      <c r="B5" s="183"/>
      <c r="C5" s="184" t="s">
        <v>10</v>
      </c>
      <c r="D5" s="185" t="s">
        <v>11</v>
      </c>
      <c r="E5" s="186"/>
      <c r="F5" s="184" t="s">
        <v>12</v>
      </c>
      <c r="G5" s="187" t="str">
        <f>IFERROR(CONCATENATE(VLOOKUP(D5,TableCourses[],2,FALSE)," ",VLOOKUP(D5,TableCourses[],3,FALSE)),"")</f>
        <v>B-CRARTS v.1</v>
      </c>
      <c r="H5" s="187"/>
      <c r="I5" s="187"/>
      <c r="J5" s="187"/>
      <c r="K5" s="187"/>
      <c r="L5" s="188" t="e">
        <f>CONCATENATE(VLOOKUP(D5,TableCourses[],2,FALSE),VLOOKUP(D7,TableStudyPeriod[],2,FALSE))</f>
        <v>#N/A</v>
      </c>
    </row>
    <row r="6" spans="1:16" ht="20.100000000000001" customHeight="1" x14ac:dyDescent="0.25">
      <c r="B6" s="183"/>
      <c r="C6" s="184" t="s">
        <v>13</v>
      </c>
      <c r="D6" s="269" t="s">
        <v>78</v>
      </c>
      <c r="E6" s="186"/>
      <c r="F6" s="184" t="s">
        <v>15</v>
      </c>
      <c r="G6" s="187" t="str">
        <f>IFERROR(CONCATENATE(VLOOKUP(D6,TableMajors[],2,FALSE)," ",VLOOKUP(D6,TableMajors[],3,FALSE)),"")</f>
        <v/>
      </c>
      <c r="H6" s="187"/>
      <c r="I6" s="187"/>
      <c r="J6" s="187"/>
      <c r="K6" s="187"/>
      <c r="L6" s="188" t="e">
        <f>CONCATENATE(VLOOKUP(D6,TableMajors[],2,FALSE),VLOOKUP(D7,TableStudyPeriod[],2,FALSE))</f>
        <v>#N/A</v>
      </c>
    </row>
    <row r="7" spans="1:16" ht="20.100000000000001" customHeight="1" x14ac:dyDescent="0.25">
      <c r="A7" s="189"/>
      <c r="B7" s="190"/>
      <c r="C7" s="184" t="s">
        <v>16</v>
      </c>
      <c r="D7" s="270" t="s">
        <v>100</v>
      </c>
      <c r="E7" s="191"/>
      <c r="F7" s="184" t="s">
        <v>18</v>
      </c>
      <c r="G7" s="187" t="str">
        <f>IFERROR(VLOOKUP($D$5,TableCourses[],7,FALSE),"")</f>
        <v>600 credit points required</v>
      </c>
      <c r="H7" s="192"/>
      <c r="I7" s="192"/>
      <c r="J7" s="192"/>
      <c r="K7" s="192"/>
      <c r="L7" s="193"/>
    </row>
    <row r="8" spans="1:16" s="201" customFormat="1" ht="14.1" customHeight="1" x14ac:dyDescent="0.25">
      <c r="A8" s="194"/>
      <c r="B8" s="194"/>
      <c r="C8" s="194"/>
      <c r="D8" s="195"/>
      <c r="E8" s="194"/>
      <c r="F8" s="194"/>
      <c r="G8" s="194"/>
      <c r="H8" s="196" t="s">
        <v>19</v>
      </c>
      <c r="I8" s="197"/>
      <c r="J8" s="197"/>
      <c r="K8" s="198"/>
      <c r="L8" s="199"/>
      <c r="M8" s="200"/>
      <c r="N8" s="200"/>
      <c r="O8" s="200"/>
    </row>
    <row r="9" spans="1:16" s="201" customFormat="1" ht="21" x14ac:dyDescent="0.25">
      <c r="A9" s="194" t="s">
        <v>20</v>
      </c>
      <c r="B9" s="194"/>
      <c r="C9" s="194"/>
      <c r="D9" s="195" t="s">
        <v>3</v>
      </c>
      <c r="E9" s="202" t="s">
        <v>21</v>
      </c>
      <c r="F9" s="194" t="s">
        <v>22</v>
      </c>
      <c r="G9" s="194" t="s">
        <v>23</v>
      </c>
      <c r="H9" s="203" t="s">
        <v>24</v>
      </c>
      <c r="I9" s="204" t="s">
        <v>25</v>
      </c>
      <c r="J9" s="204" t="s">
        <v>26</v>
      </c>
      <c r="K9" s="205" t="s">
        <v>27</v>
      </c>
      <c r="L9" s="194" t="s">
        <v>28</v>
      </c>
      <c r="M9" s="200"/>
      <c r="N9" s="200"/>
      <c r="O9" s="200"/>
    </row>
    <row r="10" spans="1:16" s="214" customFormat="1" ht="20.100000000000001" customHeight="1" x14ac:dyDescent="0.15">
      <c r="A10" s="206" t="str">
        <f>IFERROR(IF(HLOOKUP($L$6,RangeUnitsetsCourse,M10,FALSE)=0,"",HLOOKUP($L$6,RangeUnitsetsCourse,M10,FALSE)),"")</f>
        <v/>
      </c>
      <c r="B10" s="207" t="str">
        <f>IFERROR(IF(VLOOKUP($A10,TableHandbook[],2,FALSE)=0,"",VLOOKUP($A10,TableHandbook[],2,FALSE)),"")</f>
        <v/>
      </c>
      <c r="C10" s="207" t="str">
        <f>IFERROR(IF(VLOOKUP($A10,TableHandbook[],3,FALSE)=0,"",VLOOKUP($A10,TableHandbook[],3,FALSE)),"")</f>
        <v/>
      </c>
      <c r="D10" s="208" t="str">
        <f>IFERROR(IF(VLOOKUP($A10,TableHandbook[],4,FALSE)=0,"",VLOOKUP($A10,TableHandbook[],4,FALSE)),"")</f>
        <v/>
      </c>
      <c r="E10" s="207" t="str">
        <f>IF(A10="","",VLOOKUP($D$7,TableStudyPeriod[],2,FALSE))</f>
        <v/>
      </c>
      <c r="F10" s="209" t="str">
        <f>IFERROR(IF(VLOOKUP($A10,TableHandbook[],6,FALSE)=0,"",VLOOKUP($A10,TableHandbook[],6,FALSE)),"")</f>
        <v/>
      </c>
      <c r="G10" s="207" t="str">
        <f>IFERROR(IF(VLOOKUP($A10,TableHandbook[],5,FALSE)=0,"",VLOOKUP($A10,TableHandbook[],5,FALSE)),"")</f>
        <v/>
      </c>
      <c r="H10" s="210" t="str">
        <f>IFERROR(VLOOKUP($A10,TableHandbook[],H$2,FALSE),"")</f>
        <v/>
      </c>
      <c r="I10" s="207" t="str">
        <f>IFERROR(VLOOKUP($A10,TableHandbook[],I$2,FALSE),"")</f>
        <v/>
      </c>
      <c r="J10" s="207" t="str">
        <f>IFERROR(VLOOKUP($A10,TableHandbook[],J$2,FALSE),"")</f>
        <v/>
      </c>
      <c r="K10" s="211" t="str">
        <f>IFERROR(VLOOKUP($A10,TableHandbook[],K$2,FALSE),"")</f>
        <v/>
      </c>
      <c r="L10" s="136"/>
      <c r="M10" s="212">
        <v>2</v>
      </c>
      <c r="N10" s="213"/>
      <c r="O10" s="213"/>
    </row>
    <row r="11" spans="1:16" s="214" customFormat="1" ht="20.100000000000001" customHeight="1" x14ac:dyDescent="0.15">
      <c r="A11" s="206" t="str">
        <f>IFERROR(IF(HLOOKUP($L$6,RangeUnitsetsCourse,M11,FALSE)=0,"",HLOOKUP($L$6,RangeUnitsetsCourse,M11,FALSE)),"")</f>
        <v/>
      </c>
      <c r="B11" s="207" t="str">
        <f>IFERROR(IF(VLOOKUP($A11,TableHandbook[],2,FALSE)=0,"",VLOOKUP($A11,TableHandbook[],2,FALSE)),"")</f>
        <v/>
      </c>
      <c r="C11" s="207" t="str">
        <f>IFERROR(IF(VLOOKUP($A11,TableHandbook[],3,FALSE)=0,"",VLOOKUP($A11,TableHandbook[],3,FALSE)),"")</f>
        <v/>
      </c>
      <c r="D11" s="208" t="str">
        <f>IFERROR(IF(VLOOKUP($A11,TableHandbook[],4,FALSE)=0,"",VLOOKUP($A11,TableHandbook[],4,FALSE)),"")</f>
        <v/>
      </c>
      <c r="E11" s="207" t="str">
        <f t="shared" ref="E11:E12" si="0">IF(OR(A11="",A11="-"),"",E10)</f>
        <v/>
      </c>
      <c r="F11" s="209" t="str">
        <f>IFERROR(IF(VLOOKUP($A11,TableHandbook[],6,FALSE)=0,"",VLOOKUP($A11,TableHandbook[],6,FALSE)),"")</f>
        <v/>
      </c>
      <c r="G11" s="207" t="str">
        <f>IFERROR(IF(VLOOKUP($A11,TableHandbook[],5,FALSE)=0,"",VLOOKUP($A11,TableHandbook[],5,FALSE)),"")</f>
        <v/>
      </c>
      <c r="H11" s="210" t="str">
        <f>IFERROR(VLOOKUP($A11,TableHandbook[],H$2,FALSE),"")</f>
        <v/>
      </c>
      <c r="I11" s="207" t="str">
        <f>IFERROR(VLOOKUP($A11,TableHandbook[],I$2,FALSE),"")</f>
        <v/>
      </c>
      <c r="J11" s="207" t="str">
        <f>IFERROR(VLOOKUP($A11,TableHandbook[],J$2,FALSE),"")</f>
        <v/>
      </c>
      <c r="K11" s="211" t="str">
        <f>IFERROR(VLOOKUP($A11,TableHandbook[],K$2,FALSE),"")</f>
        <v/>
      </c>
      <c r="L11" s="136"/>
      <c r="M11" s="212">
        <v>3</v>
      </c>
      <c r="N11" s="213"/>
      <c r="O11" s="213"/>
    </row>
    <row r="12" spans="1:16" s="214" customFormat="1" ht="20.100000000000001" customHeight="1" x14ac:dyDescent="0.15">
      <c r="A12" s="206" t="str">
        <f>IFERROR(IF(HLOOKUP($L$6,RangeUnitsetsCourse,M12,FALSE)=0,"",HLOOKUP($L$6,RangeUnitsetsCourse,M12,FALSE)),"")</f>
        <v/>
      </c>
      <c r="B12" s="207" t="str">
        <f>IFERROR(IF(VLOOKUP($A12,TableHandbook[],2,FALSE)=0,"",VLOOKUP($A12,TableHandbook[],2,FALSE)),"")</f>
        <v/>
      </c>
      <c r="C12" s="207" t="str">
        <f>IFERROR(IF(VLOOKUP($A12,TableHandbook[],3,FALSE)=0,"",VLOOKUP($A12,TableHandbook[],3,FALSE)),"")</f>
        <v/>
      </c>
      <c r="D12" s="208" t="str">
        <f>IFERROR(IF(VLOOKUP($A12,TableHandbook[],4,FALSE)=0,"",VLOOKUP($A12,TableHandbook[],4,FALSE)),"")</f>
        <v/>
      </c>
      <c r="E12" s="207" t="str">
        <f t="shared" si="0"/>
        <v/>
      </c>
      <c r="F12" s="209" t="str">
        <f>IFERROR(IF(VLOOKUP($A12,TableHandbook[],6,FALSE)=0,"",VLOOKUP($A12,TableHandbook[],6,FALSE)),"")</f>
        <v/>
      </c>
      <c r="G12" s="207" t="str">
        <f>IFERROR(IF(VLOOKUP($A12,TableHandbook[],5,FALSE)=0,"",VLOOKUP($A12,TableHandbook[],5,FALSE)),"")</f>
        <v/>
      </c>
      <c r="H12" s="210" t="str">
        <f>IFERROR(VLOOKUP($A12,TableHandbook[],H$2,FALSE),"")</f>
        <v/>
      </c>
      <c r="I12" s="207" t="str">
        <f>IFERROR(VLOOKUP($A12,TableHandbook[],I$2,FALSE),"")</f>
        <v/>
      </c>
      <c r="J12" s="207" t="str">
        <f>IFERROR(VLOOKUP($A12,TableHandbook[],J$2,FALSE),"")</f>
        <v/>
      </c>
      <c r="K12" s="211" t="str">
        <f>IFERROR(VLOOKUP($A12,TableHandbook[],K$2,FALSE),"")</f>
        <v/>
      </c>
      <c r="L12" s="136"/>
      <c r="M12" s="212">
        <v>4</v>
      </c>
      <c r="N12" s="213"/>
      <c r="O12" s="213"/>
    </row>
    <row r="13" spans="1:16" s="216" customFormat="1" ht="20.100000000000001" customHeight="1" x14ac:dyDescent="0.15">
      <c r="A13" s="206" t="str">
        <f>IFERROR(IF(HLOOKUP($L$6,RangeUnitsetsCourse,M13,FALSE)=0,"",HLOOKUP($L$6,RangeUnitsetsCourse,M13,FALSE)),"")</f>
        <v/>
      </c>
      <c r="B13" s="207" t="str">
        <f>IFERROR(IF(VLOOKUP($A13,TableHandbook[],2,FALSE)=0,"",VLOOKUP($A13,TableHandbook[],2,FALSE)),"")</f>
        <v/>
      </c>
      <c r="C13" s="207" t="str">
        <f>IFERROR(IF(VLOOKUP($A13,TableHandbook[],3,FALSE)=0,"",VLOOKUP($A13,TableHandbook[],3,FALSE)),"")</f>
        <v/>
      </c>
      <c r="D13" s="208" t="str">
        <f>IFERROR(IF(VLOOKUP($A13,TableHandbook[],4,FALSE)=0,"",VLOOKUP($A13,TableHandbook[],4,FALSE)),"")</f>
        <v/>
      </c>
      <c r="E13" s="207" t="str">
        <f>IF(OR(A13="",A13="-"),"",E12)</f>
        <v/>
      </c>
      <c r="F13" s="209" t="str">
        <f>IFERROR(IF(VLOOKUP($A13,TableHandbook[],6,FALSE)=0,"",VLOOKUP($A13,TableHandbook[],6,FALSE)),"")</f>
        <v/>
      </c>
      <c r="G13" s="207" t="str">
        <f>IFERROR(IF(VLOOKUP($A13,TableHandbook[],5,FALSE)=0,"",VLOOKUP($A13,TableHandbook[],5,FALSE)),"")</f>
        <v/>
      </c>
      <c r="H13" s="210" t="str">
        <f>IFERROR(VLOOKUP($A13,TableHandbook[],H$2,FALSE),"")</f>
        <v/>
      </c>
      <c r="I13" s="207" t="str">
        <f>IFERROR(VLOOKUP($A13,TableHandbook[],I$2,FALSE),"")</f>
        <v/>
      </c>
      <c r="J13" s="207" t="str">
        <f>IFERROR(VLOOKUP($A13,TableHandbook[],J$2,FALSE),"")</f>
        <v/>
      </c>
      <c r="K13" s="211" t="str">
        <f>IFERROR(VLOOKUP($A13,TableHandbook[],K$2,FALSE),"")</f>
        <v/>
      </c>
      <c r="L13" s="136"/>
      <c r="M13" s="212">
        <v>5</v>
      </c>
      <c r="N13" s="215"/>
      <c r="O13" s="215"/>
    </row>
    <row r="14" spans="1:16" s="214" customFormat="1" ht="5.0999999999999996" customHeight="1" x14ac:dyDescent="0.15">
      <c r="A14" s="217"/>
      <c r="B14" s="218"/>
      <c r="C14" s="218"/>
      <c r="D14" s="219"/>
      <c r="E14" s="218"/>
      <c r="F14" s="220"/>
      <c r="G14" s="218"/>
      <c r="H14" s="221"/>
      <c r="I14" s="218"/>
      <c r="J14" s="218"/>
      <c r="K14" s="222"/>
      <c r="L14" s="137"/>
      <c r="M14" s="212"/>
      <c r="N14" s="213"/>
      <c r="O14" s="213"/>
      <c r="P14" s="213"/>
    </row>
    <row r="15" spans="1:16" s="214" customFormat="1" ht="20.100000000000001" customHeight="1" x14ac:dyDescent="0.15">
      <c r="A15" s="206" t="str">
        <f>IFERROR(IF(HLOOKUP($L$6,RangeUnitsetsCourse,M15,FALSE)=0,"",HLOOKUP($L$6,RangeUnitsetsCourse,M15,FALSE)),"")</f>
        <v/>
      </c>
      <c r="B15" s="207" t="str">
        <f>IFERROR(IF(VLOOKUP($A15,TableHandbook[],2,FALSE)=0,"",VLOOKUP($A15,TableHandbook[],2,FALSE)),"")</f>
        <v/>
      </c>
      <c r="C15" s="207" t="str">
        <f>IFERROR(IF(VLOOKUP($A15,TableHandbook[],3,FALSE)=0,"",VLOOKUP($A15,TableHandbook[],3,FALSE)),"")</f>
        <v/>
      </c>
      <c r="D15" s="208" t="str">
        <f>IFERROR(IF(VLOOKUP($A15,TableHandbook[],4,FALSE)=0,"",VLOOKUP($A15,TableHandbook[],4,FALSE)),"")</f>
        <v/>
      </c>
      <c r="E15" s="207" t="str">
        <f>IF(A15="","",VLOOKUP($D$7,TableStudyPeriod[],3,FALSE))</f>
        <v/>
      </c>
      <c r="F15" s="209" t="str">
        <f>IFERROR(IF(VLOOKUP($A15,TableHandbook[],6,FALSE)=0,"",VLOOKUP($A15,TableHandbook[],6,FALSE)),"")</f>
        <v/>
      </c>
      <c r="G15" s="207" t="str">
        <f>IFERROR(IF(VLOOKUP($A15,TableHandbook[],5,FALSE)=0,"",VLOOKUP($A15,TableHandbook[],5,FALSE)),"")</f>
        <v/>
      </c>
      <c r="H15" s="210" t="str">
        <f>IFERROR(VLOOKUP($A15,TableHandbook[],H$2,FALSE),"")</f>
        <v/>
      </c>
      <c r="I15" s="207" t="str">
        <f>IFERROR(VLOOKUP($A15,TableHandbook[],I$2,FALSE),"")</f>
        <v/>
      </c>
      <c r="J15" s="207" t="str">
        <f>IFERROR(VLOOKUP($A15,TableHandbook[],J$2,FALSE),"")</f>
        <v/>
      </c>
      <c r="K15" s="211" t="str">
        <f>IFERROR(VLOOKUP($A15,TableHandbook[],K$2,FALSE),"")</f>
        <v/>
      </c>
      <c r="L15" s="136"/>
      <c r="M15" s="223">
        <v>6</v>
      </c>
      <c r="N15" s="213"/>
      <c r="O15" s="213"/>
    </row>
    <row r="16" spans="1:16" s="216" customFormat="1" ht="20.100000000000001" customHeight="1" x14ac:dyDescent="0.15">
      <c r="A16" s="206" t="str">
        <f>IFERROR(IF(HLOOKUP($L$6,RangeUnitsetsCourse,M16,FALSE)=0,"",HLOOKUP($L$6,RangeUnitsetsCourse,M16,FALSE)),"")</f>
        <v/>
      </c>
      <c r="B16" s="207" t="str">
        <f>IFERROR(IF(VLOOKUP($A16,TableHandbook[],2,FALSE)=0,"",VLOOKUP($A16,TableHandbook[],2,FALSE)),"")</f>
        <v/>
      </c>
      <c r="C16" s="207" t="str">
        <f>IFERROR(IF(VLOOKUP($A16,TableHandbook[],3,FALSE)=0,"",VLOOKUP($A16,TableHandbook[],3,FALSE)),"")</f>
        <v/>
      </c>
      <c r="D16" s="224" t="str">
        <f>IFERROR(IF(VLOOKUP($A16,TableHandbook[],4,FALSE)=0,"",VLOOKUP($A16,TableHandbook[],4,FALSE)),"")</f>
        <v/>
      </c>
      <c r="E16" s="207" t="str">
        <f t="shared" ref="E16:E17" si="1">IF(OR(A16="",A16="-"),"",E15)</f>
        <v/>
      </c>
      <c r="F16" s="209" t="str">
        <f>IFERROR(IF(VLOOKUP($A16,TableHandbook[],6,FALSE)=0,"",VLOOKUP($A16,TableHandbook[],6,FALSE)),"")</f>
        <v/>
      </c>
      <c r="G16" s="207" t="str">
        <f>IFERROR(IF(VLOOKUP($A16,TableHandbook[],5,FALSE)=0,"",VLOOKUP($A16,TableHandbook[],5,FALSE)),"")</f>
        <v/>
      </c>
      <c r="H16" s="210" t="str">
        <f>IFERROR(VLOOKUP($A16,TableHandbook[],H$2,FALSE),"")</f>
        <v/>
      </c>
      <c r="I16" s="207" t="str">
        <f>IFERROR(VLOOKUP($A16,TableHandbook[],I$2,FALSE),"")</f>
        <v/>
      </c>
      <c r="J16" s="207" t="str">
        <f>IFERROR(VLOOKUP($A16,TableHandbook[],J$2,FALSE),"")</f>
        <v/>
      </c>
      <c r="K16" s="211" t="str">
        <f>IFERROR(VLOOKUP($A16,TableHandbook[],K$2,FALSE),"")</f>
        <v/>
      </c>
      <c r="L16" s="136"/>
      <c r="M16" s="212">
        <v>7</v>
      </c>
      <c r="N16" s="215"/>
      <c r="O16" s="215"/>
    </row>
    <row r="17" spans="1:16" s="216" customFormat="1" ht="20.100000000000001" customHeight="1" x14ac:dyDescent="0.15">
      <c r="A17" s="206" t="str">
        <f>IFERROR(IF(HLOOKUP($L$6,RangeUnitsetsCourse,M17,FALSE)=0,"",HLOOKUP($L$6,RangeUnitsetsCourse,M17,FALSE)),"")</f>
        <v/>
      </c>
      <c r="B17" s="207" t="str">
        <f>IFERROR(IF(VLOOKUP($A17,TableHandbook[],2,FALSE)=0,"",VLOOKUP($A17,TableHandbook[],2,FALSE)),"")</f>
        <v/>
      </c>
      <c r="C17" s="207" t="str">
        <f>IFERROR(IF(VLOOKUP($A17,TableHandbook[],3,FALSE)=0,"",VLOOKUP($A17,TableHandbook[],3,FALSE)),"")</f>
        <v/>
      </c>
      <c r="D17" s="208" t="str">
        <f>IFERROR(IF(VLOOKUP($A17,TableHandbook[],4,FALSE)=0,"",VLOOKUP($A17,TableHandbook[],4,FALSE)),"")</f>
        <v/>
      </c>
      <c r="E17" s="207" t="str">
        <f t="shared" si="1"/>
        <v/>
      </c>
      <c r="F17" s="209" t="str">
        <f>IFERROR(IF(VLOOKUP($A17,TableHandbook[],6,FALSE)=0,"",VLOOKUP($A17,TableHandbook[],6,FALSE)),"")</f>
        <v/>
      </c>
      <c r="G17" s="207" t="str">
        <f>IFERROR(IF(VLOOKUP($A17,TableHandbook[],5,FALSE)=0,"",VLOOKUP($A17,TableHandbook[],5,FALSE)),"")</f>
        <v/>
      </c>
      <c r="H17" s="210" t="str">
        <f>IFERROR(VLOOKUP($A17,TableHandbook[],H$2,FALSE),"")</f>
        <v/>
      </c>
      <c r="I17" s="207" t="str">
        <f>IFERROR(VLOOKUP($A17,TableHandbook[],I$2,FALSE),"")</f>
        <v/>
      </c>
      <c r="J17" s="207" t="str">
        <f>IFERROR(VLOOKUP($A17,TableHandbook[],J$2,FALSE),"")</f>
        <v/>
      </c>
      <c r="K17" s="211" t="str">
        <f>IFERROR(VLOOKUP($A17,TableHandbook[],K$2,FALSE),"")</f>
        <v/>
      </c>
      <c r="L17" s="136"/>
      <c r="M17" s="223">
        <v>8</v>
      </c>
      <c r="N17" s="215"/>
      <c r="O17" s="215"/>
    </row>
    <row r="18" spans="1:16" s="214" customFormat="1" ht="20.100000000000001" customHeight="1" x14ac:dyDescent="0.15">
      <c r="A18" s="206" t="str">
        <f>IFERROR(IF(HLOOKUP($L$6,RangeUnitsetsCourse,M18,FALSE)=0,"",HLOOKUP($L$6,RangeUnitsetsCourse,M18,FALSE)),"")</f>
        <v/>
      </c>
      <c r="B18" s="207" t="str">
        <f>IFERROR(IF(VLOOKUP($A18,TableHandbook[],2,FALSE)=0,"",VLOOKUP($A18,TableHandbook[],2,FALSE)),"")</f>
        <v/>
      </c>
      <c r="C18" s="207" t="str">
        <f>IFERROR(IF(VLOOKUP($A18,TableHandbook[],3,FALSE)=0,"",VLOOKUP($A18,TableHandbook[],3,FALSE)),"")</f>
        <v/>
      </c>
      <c r="D18" s="208" t="str">
        <f>IFERROR(IF(VLOOKUP($A18,TableHandbook[],4,FALSE)=0,"",VLOOKUP($A18,TableHandbook[],4,FALSE)),"")</f>
        <v/>
      </c>
      <c r="E18" s="207" t="str">
        <f>IF(OR(A18="",A18="-"),"",E17)</f>
        <v/>
      </c>
      <c r="F18" s="209" t="str">
        <f>IFERROR(IF(VLOOKUP($A18,TableHandbook[],6,FALSE)=0,"",VLOOKUP($A18,TableHandbook[],6,FALSE)),"")</f>
        <v/>
      </c>
      <c r="G18" s="207" t="str">
        <f>IFERROR(IF(VLOOKUP($A18,TableHandbook[],5,FALSE)=0,"",VLOOKUP($A18,TableHandbook[],5,FALSE)),"")</f>
        <v/>
      </c>
      <c r="H18" s="210" t="str">
        <f>IFERROR(VLOOKUP($A18,TableHandbook[],H$2,FALSE),"")</f>
        <v/>
      </c>
      <c r="I18" s="207" t="str">
        <f>IFERROR(VLOOKUP($A18,TableHandbook[],I$2,FALSE),"")</f>
        <v/>
      </c>
      <c r="J18" s="207" t="str">
        <f>IFERROR(VLOOKUP($A18,TableHandbook[],J$2,FALSE),"")</f>
        <v/>
      </c>
      <c r="K18" s="211" t="str">
        <f>IFERROR(VLOOKUP($A18,TableHandbook[],K$2,FALSE),"")</f>
        <v/>
      </c>
      <c r="L18" s="136"/>
      <c r="M18" s="212">
        <v>9</v>
      </c>
      <c r="N18" s="213"/>
      <c r="O18" s="213"/>
    </row>
    <row r="19" spans="1:16" s="201" customFormat="1" ht="21" x14ac:dyDescent="0.25">
      <c r="A19" s="194" t="s">
        <v>29</v>
      </c>
      <c r="B19" s="194"/>
      <c r="C19" s="194"/>
      <c r="D19" s="195" t="s">
        <v>3</v>
      </c>
      <c r="E19" s="202" t="s">
        <v>21</v>
      </c>
      <c r="F19" s="194" t="s">
        <v>22</v>
      </c>
      <c r="G19" s="194" t="s">
        <v>23</v>
      </c>
      <c r="H19" s="203" t="str">
        <f>H$9</f>
        <v>Sem1 BEN</v>
      </c>
      <c r="I19" s="204" t="str">
        <f t="shared" ref="I19:L19" si="2">I$9</f>
        <v>Sem1 FO</v>
      </c>
      <c r="J19" s="204" t="str">
        <f t="shared" si="2"/>
        <v>Sem2 BEN</v>
      </c>
      <c r="K19" s="205" t="str">
        <f t="shared" si="2"/>
        <v>Sem2 FO</v>
      </c>
      <c r="L19" s="194" t="str">
        <f t="shared" si="2"/>
        <v>Notes / Progress</v>
      </c>
      <c r="M19" s="225"/>
      <c r="N19" s="200"/>
      <c r="O19" s="200"/>
    </row>
    <row r="20" spans="1:16" s="214" customFormat="1" ht="20.100000000000001" customHeight="1" x14ac:dyDescent="0.15">
      <c r="A20" s="206" t="str">
        <f>IFERROR(IF(HLOOKUP($L$6,RangeUnitsetsCourse,M20,FALSE)=0,"",HLOOKUP($L$6,RangeUnitsetsCourse,M20,FALSE)),"")</f>
        <v/>
      </c>
      <c r="B20" s="207" t="str">
        <f>IFERROR(IF(VLOOKUP($A20,TableHandbook[],2,FALSE)=0,"",VLOOKUP($A20,TableHandbook[],2,FALSE)),"")</f>
        <v/>
      </c>
      <c r="C20" s="207" t="str">
        <f>IFERROR(IF(VLOOKUP($A20,TableHandbook[],3,FALSE)=0,"",VLOOKUP($A20,TableHandbook[],3,FALSE)),"")</f>
        <v/>
      </c>
      <c r="D20" s="208" t="str">
        <f>IFERROR(IF(VLOOKUP($A20,TableHandbook[],4,FALSE)=0,"",VLOOKUP($A20,TableHandbook[],4,FALSE)),"")</f>
        <v/>
      </c>
      <c r="E20" s="207" t="str">
        <f>IF(A20="","",VLOOKUP($D$7,TableStudyPeriod[],2,FALSE))</f>
        <v/>
      </c>
      <c r="F20" s="209" t="str">
        <f>IFERROR(IF(VLOOKUP($A20,TableHandbook[],6,FALSE)=0,"",VLOOKUP($A20,TableHandbook[],6,FALSE)),"")</f>
        <v/>
      </c>
      <c r="G20" s="207" t="str">
        <f>IFERROR(IF(VLOOKUP($A20,TableHandbook[],5,FALSE)=0,"",VLOOKUP($A20,TableHandbook[],5,FALSE)),"")</f>
        <v/>
      </c>
      <c r="H20" s="210" t="str">
        <f>IFERROR(VLOOKUP($A20,TableHandbook[],H$2,FALSE),"")</f>
        <v/>
      </c>
      <c r="I20" s="207" t="str">
        <f>IFERROR(VLOOKUP($A20,TableHandbook[],I$2,FALSE),"")</f>
        <v/>
      </c>
      <c r="J20" s="207" t="str">
        <f>IFERROR(VLOOKUP($A20,TableHandbook[],J$2,FALSE),"")</f>
        <v/>
      </c>
      <c r="K20" s="211" t="str">
        <f>IFERROR(VLOOKUP($A20,TableHandbook[],K$2,FALSE),"")</f>
        <v/>
      </c>
      <c r="L20" s="136"/>
      <c r="M20" s="212">
        <v>10</v>
      </c>
      <c r="N20" s="213"/>
      <c r="O20" s="213"/>
    </row>
    <row r="21" spans="1:16" s="214" customFormat="1" ht="20.100000000000001" customHeight="1" x14ac:dyDescent="0.15">
      <c r="A21" s="206" t="str">
        <f>IFERROR(IF(HLOOKUP($L$6,RangeUnitsetsCourse,M21,FALSE)=0,"",HLOOKUP($L$6,RangeUnitsetsCourse,M21,FALSE)),"")</f>
        <v/>
      </c>
      <c r="B21" s="207" t="str">
        <f>IFERROR(IF(VLOOKUP($A21,TableHandbook[],2,FALSE)=0,"",VLOOKUP($A21,TableHandbook[],2,FALSE)),"")</f>
        <v/>
      </c>
      <c r="C21" s="207" t="str">
        <f>IFERROR(IF(VLOOKUP($A21,TableHandbook[],3,FALSE)=0,"",VLOOKUP($A21,TableHandbook[],3,FALSE)),"")</f>
        <v/>
      </c>
      <c r="D21" s="224" t="str">
        <f>IFERROR(IF(VLOOKUP($A21,TableHandbook[],4,FALSE)=0,"",VLOOKUP($A21,TableHandbook[],4,FALSE)),"")</f>
        <v/>
      </c>
      <c r="E21" s="207" t="str">
        <f t="shared" ref="E21:E22" si="3">IF(OR(A21="",A21="-"),"",E20)</f>
        <v/>
      </c>
      <c r="F21" s="209" t="str">
        <f>IFERROR(IF(VLOOKUP($A21,TableHandbook[],6,FALSE)=0,"",VLOOKUP($A21,TableHandbook[],6,FALSE)),"")</f>
        <v/>
      </c>
      <c r="G21" s="207" t="str">
        <f>IFERROR(IF(VLOOKUP($A21,TableHandbook[],5,FALSE)=0,"",VLOOKUP($A21,TableHandbook[],5,FALSE)),"")</f>
        <v/>
      </c>
      <c r="H21" s="210" t="str">
        <f>IFERROR(VLOOKUP($A21,TableHandbook[],H$2,FALSE),"")</f>
        <v/>
      </c>
      <c r="I21" s="207" t="str">
        <f>IFERROR(VLOOKUP($A21,TableHandbook[],I$2,FALSE),"")</f>
        <v/>
      </c>
      <c r="J21" s="207" t="str">
        <f>IFERROR(VLOOKUP($A21,TableHandbook[],J$2,FALSE),"")</f>
        <v/>
      </c>
      <c r="K21" s="211" t="str">
        <f>IFERROR(VLOOKUP($A21,TableHandbook[],K$2,FALSE),"")</f>
        <v/>
      </c>
      <c r="L21" s="136"/>
      <c r="M21" s="212">
        <v>11</v>
      </c>
      <c r="N21" s="213"/>
      <c r="O21" s="213"/>
    </row>
    <row r="22" spans="1:16" s="214" customFormat="1" ht="20.100000000000001" customHeight="1" x14ac:dyDescent="0.15">
      <c r="A22" s="206" t="str">
        <f>IFERROR(IF(HLOOKUP($L$6,RangeUnitsetsCourse,M22,FALSE)=0,"",HLOOKUP($L$6,RangeUnitsetsCourse,M22,FALSE)),"")</f>
        <v/>
      </c>
      <c r="B22" s="207" t="str">
        <f>IFERROR(IF(VLOOKUP($A22,TableHandbook[],2,FALSE)=0,"",VLOOKUP($A22,TableHandbook[],2,FALSE)),"")</f>
        <v/>
      </c>
      <c r="C22" s="207" t="str">
        <f>IFERROR(IF(VLOOKUP($A22,TableHandbook[],3,FALSE)=0,"",VLOOKUP($A22,TableHandbook[],3,FALSE)),"")</f>
        <v/>
      </c>
      <c r="D22" s="224" t="str">
        <f>IFERROR(IF(VLOOKUP($A22,TableHandbook[],4,FALSE)=0,"",VLOOKUP($A22,TableHandbook[],4,FALSE)),"")</f>
        <v/>
      </c>
      <c r="E22" s="207" t="str">
        <f t="shared" si="3"/>
        <v/>
      </c>
      <c r="F22" s="209" t="str">
        <f>IFERROR(IF(VLOOKUP($A22,TableHandbook[],6,FALSE)=0,"",VLOOKUP($A22,TableHandbook[],6,FALSE)),"")</f>
        <v/>
      </c>
      <c r="G22" s="207" t="str">
        <f>IFERROR(IF(VLOOKUP($A22,TableHandbook[],5,FALSE)=0,"",VLOOKUP($A22,TableHandbook[],5,FALSE)),"")</f>
        <v/>
      </c>
      <c r="H22" s="210" t="str">
        <f>IFERROR(VLOOKUP($A22,TableHandbook[],H$2,FALSE),"")</f>
        <v/>
      </c>
      <c r="I22" s="207" t="str">
        <f>IFERROR(VLOOKUP($A22,TableHandbook[],I$2,FALSE),"")</f>
        <v/>
      </c>
      <c r="J22" s="207" t="str">
        <f>IFERROR(VLOOKUP($A22,TableHandbook[],J$2,FALSE),"")</f>
        <v/>
      </c>
      <c r="K22" s="211" t="str">
        <f>IFERROR(VLOOKUP($A22,TableHandbook[],K$2,FALSE),"")</f>
        <v/>
      </c>
      <c r="L22" s="136"/>
      <c r="M22" s="212">
        <v>12</v>
      </c>
      <c r="N22" s="213"/>
      <c r="O22" s="213"/>
    </row>
    <row r="23" spans="1:16" s="214" customFormat="1" ht="20.100000000000001" customHeight="1" x14ac:dyDescent="0.15">
      <c r="A23" s="206" t="str">
        <f>IFERROR(IF(HLOOKUP($L$6,RangeUnitsetsCourse,M23,FALSE)=0,"",HLOOKUP($L$6,RangeUnitsetsCourse,M23,FALSE)),"")</f>
        <v/>
      </c>
      <c r="B23" s="207" t="str">
        <f>IFERROR(IF(VLOOKUP($A23,TableHandbook[],2,FALSE)=0,"",VLOOKUP($A23,TableHandbook[],2,FALSE)),"")</f>
        <v/>
      </c>
      <c r="C23" s="207" t="str">
        <f>IFERROR(IF(VLOOKUP($A23,TableHandbook[],3,FALSE)=0,"",VLOOKUP($A23,TableHandbook[],3,FALSE)),"")</f>
        <v/>
      </c>
      <c r="D23" s="224" t="str">
        <f>IFERROR(IF(VLOOKUP($A23,TableHandbook[],4,FALSE)=0,"",VLOOKUP($A23,TableHandbook[],4,FALSE)),"")</f>
        <v/>
      </c>
      <c r="E23" s="207" t="str">
        <f>IF(OR(A23="",A23="-"),"",E22)</f>
        <v/>
      </c>
      <c r="F23" s="209" t="str">
        <f>IFERROR(IF(VLOOKUP($A23,TableHandbook[],6,FALSE)=0,"",VLOOKUP($A23,TableHandbook[],6,FALSE)),"")</f>
        <v/>
      </c>
      <c r="G23" s="207" t="str">
        <f>IFERROR(IF(VLOOKUP($A23,TableHandbook[],5,FALSE)=0,"",VLOOKUP($A23,TableHandbook[],5,FALSE)),"")</f>
        <v/>
      </c>
      <c r="H23" s="210" t="str">
        <f>IFERROR(VLOOKUP($A23,TableHandbook[],H$2,FALSE),"")</f>
        <v/>
      </c>
      <c r="I23" s="207" t="str">
        <f>IFERROR(VLOOKUP($A23,TableHandbook[],I$2,FALSE),"")</f>
        <v/>
      </c>
      <c r="J23" s="207" t="str">
        <f>IFERROR(VLOOKUP($A23,TableHandbook[],J$2,FALSE),"")</f>
        <v/>
      </c>
      <c r="K23" s="211" t="str">
        <f>IFERROR(VLOOKUP($A23,TableHandbook[],K$2,FALSE),"")</f>
        <v/>
      </c>
      <c r="L23" s="136"/>
      <c r="M23" s="212">
        <v>13</v>
      </c>
      <c r="N23" s="213"/>
      <c r="O23" s="213"/>
    </row>
    <row r="24" spans="1:16" s="214" customFormat="1" ht="5.0999999999999996" customHeight="1" x14ac:dyDescent="0.15">
      <c r="A24" s="217"/>
      <c r="B24" s="218"/>
      <c r="C24" s="218"/>
      <c r="D24" s="219"/>
      <c r="E24" s="218"/>
      <c r="F24" s="220"/>
      <c r="G24" s="218"/>
      <c r="H24" s="221"/>
      <c r="I24" s="218"/>
      <c r="J24" s="218"/>
      <c r="K24" s="222"/>
      <c r="L24" s="137"/>
      <c r="M24" s="212"/>
      <c r="N24" s="213"/>
      <c r="O24" s="213"/>
      <c r="P24" s="213"/>
    </row>
    <row r="25" spans="1:16" s="214" customFormat="1" ht="20.100000000000001" customHeight="1" x14ac:dyDescent="0.15">
      <c r="A25" s="206" t="str">
        <f>IFERROR(IF(HLOOKUP($L$6,RangeUnitsetsCourse,M25,FALSE)=0,"",HLOOKUP($L$6,RangeUnitsetsCourse,M25,FALSE)),"")</f>
        <v/>
      </c>
      <c r="B25" s="207" t="str">
        <f>IFERROR(IF(VLOOKUP($A25,TableHandbook[],2,FALSE)=0,"",VLOOKUP($A25,TableHandbook[],2,FALSE)),"")</f>
        <v/>
      </c>
      <c r="C25" s="207" t="str">
        <f>IFERROR(IF(VLOOKUP($A25,TableHandbook[],3,FALSE)=0,"",VLOOKUP($A25,TableHandbook[],3,FALSE)),"")</f>
        <v/>
      </c>
      <c r="D25" s="224" t="str">
        <f>IFERROR(IF(VLOOKUP($A25,TableHandbook[],4,FALSE)=0,"",VLOOKUP($A25,TableHandbook[],4,FALSE)),"")</f>
        <v/>
      </c>
      <c r="E25" s="207" t="str">
        <f>IF(A25="","",VLOOKUP($D$7,TableStudyPeriod[],3,FALSE))</f>
        <v/>
      </c>
      <c r="F25" s="209" t="str">
        <f>IFERROR(IF(VLOOKUP($A25,TableHandbook[],6,FALSE)=0,"",VLOOKUP($A25,TableHandbook[],6,FALSE)),"")</f>
        <v/>
      </c>
      <c r="G25" s="207" t="str">
        <f>IFERROR(IF(VLOOKUP($A25,TableHandbook[],5,FALSE)=0,"",VLOOKUP($A25,TableHandbook[],5,FALSE)),"")</f>
        <v/>
      </c>
      <c r="H25" s="210" t="str">
        <f>IFERROR(VLOOKUP($A25,TableHandbook[],H$2,FALSE),"")</f>
        <v/>
      </c>
      <c r="I25" s="207" t="str">
        <f>IFERROR(VLOOKUP($A25,TableHandbook[],I$2,FALSE),"")</f>
        <v/>
      </c>
      <c r="J25" s="207" t="str">
        <f>IFERROR(VLOOKUP($A25,TableHandbook[],J$2,FALSE),"")</f>
        <v/>
      </c>
      <c r="K25" s="211" t="str">
        <f>IFERROR(VLOOKUP($A25,TableHandbook[],K$2,FALSE),"")</f>
        <v/>
      </c>
      <c r="L25" s="136"/>
      <c r="M25" s="212">
        <v>14</v>
      </c>
      <c r="N25" s="213"/>
      <c r="O25" s="213"/>
    </row>
    <row r="26" spans="1:16" s="214" customFormat="1" ht="20.100000000000001" customHeight="1" x14ac:dyDescent="0.15">
      <c r="A26" s="206" t="str">
        <f>IFERROR(IF(HLOOKUP($L$6,RangeUnitsetsCourse,M26,FALSE)=0,"",HLOOKUP($L$6,RangeUnitsetsCourse,M26,FALSE)),"")</f>
        <v/>
      </c>
      <c r="B26" s="207" t="str">
        <f>IFERROR(IF(VLOOKUP($A26,TableHandbook[],2,FALSE)=0,"",VLOOKUP($A26,TableHandbook[],2,FALSE)),"")</f>
        <v/>
      </c>
      <c r="C26" s="207" t="str">
        <f>IFERROR(IF(VLOOKUP($A26,TableHandbook[],3,FALSE)=0,"",VLOOKUP($A26,TableHandbook[],3,FALSE)),"")</f>
        <v/>
      </c>
      <c r="D26" s="224" t="str">
        <f>IFERROR(IF(VLOOKUP($A26,TableHandbook[],4,FALSE)=0,"",VLOOKUP($A26,TableHandbook[],4,FALSE)),"")</f>
        <v/>
      </c>
      <c r="E26" s="207" t="str">
        <f t="shared" ref="E26:E27" si="4">IF(OR(A26="",A26="-"),"",E25)</f>
        <v/>
      </c>
      <c r="F26" s="209" t="str">
        <f>IFERROR(IF(VLOOKUP($A26,TableHandbook[],6,FALSE)=0,"",VLOOKUP($A26,TableHandbook[],6,FALSE)),"")</f>
        <v/>
      </c>
      <c r="G26" s="207" t="str">
        <f>IFERROR(IF(VLOOKUP($A26,TableHandbook[],5,FALSE)=0,"",VLOOKUP($A26,TableHandbook[],5,FALSE)),"")</f>
        <v/>
      </c>
      <c r="H26" s="210" t="str">
        <f>IFERROR(VLOOKUP($A26,TableHandbook[],H$2,FALSE),"")</f>
        <v/>
      </c>
      <c r="I26" s="207" t="str">
        <f>IFERROR(VLOOKUP($A26,TableHandbook[],I$2,FALSE),"")</f>
        <v/>
      </c>
      <c r="J26" s="207" t="str">
        <f>IFERROR(VLOOKUP($A26,TableHandbook[],J$2,FALSE),"")</f>
        <v/>
      </c>
      <c r="K26" s="211" t="str">
        <f>IFERROR(VLOOKUP($A26,TableHandbook[],K$2,FALSE),"")</f>
        <v/>
      </c>
      <c r="L26" s="136"/>
      <c r="M26" s="212">
        <v>15</v>
      </c>
      <c r="N26" s="213"/>
      <c r="O26" s="213"/>
    </row>
    <row r="27" spans="1:16" s="216" customFormat="1" ht="20.100000000000001" customHeight="1" x14ac:dyDescent="0.15">
      <c r="A27" s="206" t="str">
        <f>IFERROR(IF(HLOOKUP($L$6,RangeUnitsetsCourse,M27,FALSE)=0,"",HLOOKUP($L$6,RangeUnitsetsCourse,M27,FALSE)),"")</f>
        <v/>
      </c>
      <c r="B27" s="207" t="str">
        <f>IFERROR(IF(VLOOKUP($A27,TableHandbook[],2,FALSE)=0,"",VLOOKUP($A27,TableHandbook[],2,FALSE)),"")</f>
        <v/>
      </c>
      <c r="C27" s="207" t="str">
        <f>IFERROR(IF(VLOOKUP($A27,TableHandbook[],3,FALSE)=0,"",VLOOKUP($A27,TableHandbook[],3,FALSE)),"")</f>
        <v/>
      </c>
      <c r="D27" s="224" t="str">
        <f>IFERROR(IF(VLOOKUP($A27,TableHandbook[],4,FALSE)=0,"",VLOOKUP($A27,TableHandbook[],4,FALSE)),"")</f>
        <v/>
      </c>
      <c r="E27" s="207" t="str">
        <f t="shared" si="4"/>
        <v/>
      </c>
      <c r="F27" s="209" t="str">
        <f>IFERROR(IF(VLOOKUP($A27,TableHandbook[],6,FALSE)=0,"",VLOOKUP($A27,TableHandbook[],6,FALSE)),"")</f>
        <v/>
      </c>
      <c r="G27" s="207" t="str">
        <f>IFERROR(IF(VLOOKUP($A27,TableHandbook[],5,FALSE)=0,"",VLOOKUP($A27,TableHandbook[],5,FALSE)),"")</f>
        <v/>
      </c>
      <c r="H27" s="210" t="str">
        <f>IFERROR(VLOOKUP($A27,TableHandbook[],H$2,FALSE),"")</f>
        <v/>
      </c>
      <c r="I27" s="207" t="str">
        <f>IFERROR(VLOOKUP($A27,TableHandbook[],I$2,FALSE),"")</f>
        <v/>
      </c>
      <c r="J27" s="207" t="str">
        <f>IFERROR(VLOOKUP($A27,TableHandbook[],J$2,FALSE),"")</f>
        <v/>
      </c>
      <c r="K27" s="211" t="str">
        <f>IFERROR(VLOOKUP($A27,TableHandbook[],K$2,FALSE),"")</f>
        <v/>
      </c>
      <c r="L27" s="136"/>
      <c r="M27" s="212">
        <v>16</v>
      </c>
      <c r="N27" s="215"/>
      <c r="O27" s="215"/>
    </row>
    <row r="28" spans="1:16" s="216" customFormat="1" ht="20.100000000000001" customHeight="1" x14ac:dyDescent="0.15">
      <c r="A28" s="206" t="str">
        <f>IFERROR(IF(HLOOKUP($L$6,RangeUnitsetsCourse,M28,FALSE)=0,"",HLOOKUP($L$6,RangeUnitsetsCourse,M28,FALSE)),"")</f>
        <v/>
      </c>
      <c r="B28" s="207" t="str">
        <f>IFERROR(IF(VLOOKUP($A28,TableHandbook[],2,FALSE)=0,"",VLOOKUP($A28,TableHandbook[],2,FALSE)),"")</f>
        <v/>
      </c>
      <c r="C28" s="207" t="str">
        <f>IFERROR(IF(VLOOKUP($A28,TableHandbook[],3,FALSE)=0,"",VLOOKUP($A28,TableHandbook[],3,FALSE)),"")</f>
        <v/>
      </c>
      <c r="D28" s="224" t="str">
        <f>IFERROR(IF(VLOOKUP($A28,TableHandbook[],4,FALSE)=0,"",VLOOKUP($A28,TableHandbook[],4,FALSE)),"")</f>
        <v/>
      </c>
      <c r="E28" s="207" t="str">
        <f>IF(OR(A28="",A28="-"),"",E27)</f>
        <v/>
      </c>
      <c r="F28" s="209" t="str">
        <f>IFERROR(IF(VLOOKUP($A28,TableHandbook[],6,FALSE)=0,"",VLOOKUP($A28,TableHandbook[],6,FALSE)),"")</f>
        <v/>
      </c>
      <c r="G28" s="207" t="str">
        <f>IFERROR(IF(VLOOKUP($A28,TableHandbook[],5,FALSE)=0,"",VLOOKUP($A28,TableHandbook[],5,FALSE)),"")</f>
        <v/>
      </c>
      <c r="H28" s="210" t="str">
        <f>IFERROR(VLOOKUP($A28,TableHandbook[],H$2,FALSE),"")</f>
        <v/>
      </c>
      <c r="I28" s="207" t="str">
        <f>IFERROR(VLOOKUP($A28,TableHandbook[],I$2,FALSE),"")</f>
        <v/>
      </c>
      <c r="J28" s="207" t="str">
        <f>IFERROR(VLOOKUP($A28,TableHandbook[],J$2,FALSE),"")</f>
        <v/>
      </c>
      <c r="K28" s="211" t="str">
        <f>IFERROR(VLOOKUP($A28,TableHandbook[],K$2,FALSE),"")</f>
        <v/>
      </c>
      <c r="L28" s="136"/>
      <c r="M28" s="212">
        <v>17</v>
      </c>
      <c r="N28" s="215"/>
      <c r="O28" s="215"/>
    </row>
    <row r="29" spans="1:16" s="201" customFormat="1" ht="21" x14ac:dyDescent="0.25">
      <c r="A29" s="194" t="s">
        <v>30</v>
      </c>
      <c r="B29" s="194"/>
      <c r="C29" s="194"/>
      <c r="D29" s="195" t="s">
        <v>3</v>
      </c>
      <c r="E29" s="204" t="s">
        <v>21</v>
      </c>
      <c r="F29" s="194" t="s">
        <v>22</v>
      </c>
      <c r="G29" s="194" t="s">
        <v>23</v>
      </c>
      <c r="H29" s="203" t="str">
        <f>H$9</f>
        <v>Sem1 BEN</v>
      </c>
      <c r="I29" s="204" t="str">
        <f t="shared" ref="I29:L29" si="5">I$9</f>
        <v>Sem1 FO</v>
      </c>
      <c r="J29" s="204" t="str">
        <f t="shared" si="5"/>
        <v>Sem2 BEN</v>
      </c>
      <c r="K29" s="205" t="str">
        <f t="shared" si="5"/>
        <v>Sem2 FO</v>
      </c>
      <c r="L29" s="194" t="str">
        <f t="shared" si="5"/>
        <v>Notes / Progress</v>
      </c>
      <c r="M29" s="225"/>
      <c r="N29" s="200"/>
      <c r="O29" s="200"/>
    </row>
    <row r="30" spans="1:16" s="214" customFormat="1" ht="20.100000000000001" customHeight="1" x14ac:dyDescent="0.15">
      <c r="A30" s="206" t="str">
        <f>IFERROR(IF(HLOOKUP($L$6,RangeUnitsetsCourse,M30,FALSE)=0,"",HLOOKUP($L$6,RangeUnitsetsCourse,M30,FALSE)),"")</f>
        <v/>
      </c>
      <c r="B30" s="207" t="str">
        <f>IFERROR(IF(VLOOKUP($A30,TableHandbook[],2,FALSE)=0,"",VLOOKUP($A30,TableHandbook[],2,FALSE)),"")</f>
        <v/>
      </c>
      <c r="C30" s="207" t="str">
        <f>IFERROR(IF(VLOOKUP($A30,TableHandbook[],3,FALSE)=0,"",VLOOKUP($A30,TableHandbook[],3,FALSE)),"")</f>
        <v/>
      </c>
      <c r="D30" s="208" t="str">
        <f>IFERROR(IF(VLOOKUP($A30,TableHandbook[],4,FALSE)=0,"",VLOOKUP($A30,TableHandbook[],4,FALSE)),"")</f>
        <v/>
      </c>
      <c r="E30" s="207" t="str">
        <f>IF(A30="","",VLOOKUP($D$7,TableStudyPeriod[],2,FALSE))</f>
        <v/>
      </c>
      <c r="F30" s="209" t="str">
        <f>IFERROR(IF(VLOOKUP($A30,TableHandbook[],6,FALSE)=0,"",VLOOKUP($A30,TableHandbook[],6,FALSE)),"")</f>
        <v/>
      </c>
      <c r="G30" s="207" t="str">
        <f>IFERROR(IF(VLOOKUP($A30,TableHandbook[],5,FALSE)=0,"",VLOOKUP($A30,TableHandbook[],5,FALSE)),"")</f>
        <v/>
      </c>
      <c r="H30" s="210" t="str">
        <f>IFERROR(VLOOKUP($A30,TableHandbook[],H$2,FALSE),"")</f>
        <v/>
      </c>
      <c r="I30" s="207" t="str">
        <f>IFERROR(VLOOKUP($A30,TableHandbook[],I$2,FALSE),"")</f>
        <v/>
      </c>
      <c r="J30" s="207" t="str">
        <f>IFERROR(VLOOKUP($A30,TableHandbook[],J$2,FALSE),"")</f>
        <v/>
      </c>
      <c r="K30" s="211" t="str">
        <f>IFERROR(VLOOKUP($A30,TableHandbook[],K$2,FALSE),"")</f>
        <v/>
      </c>
      <c r="L30" s="136"/>
      <c r="M30" s="212">
        <v>18</v>
      </c>
      <c r="N30" s="213"/>
      <c r="O30" s="213"/>
    </row>
    <row r="31" spans="1:16" s="214" customFormat="1" ht="20.100000000000001" customHeight="1" x14ac:dyDescent="0.15">
      <c r="A31" s="206" t="str">
        <f>IFERROR(IF(HLOOKUP($L$6,RangeUnitsetsCourse,M31,FALSE)=0,"",HLOOKUP($L$6,RangeUnitsetsCourse,M31,FALSE)),"")</f>
        <v/>
      </c>
      <c r="B31" s="207" t="str">
        <f>IFERROR(IF(VLOOKUP($A31,TableHandbook[],2,FALSE)=0,"",VLOOKUP($A31,TableHandbook[],2,FALSE)),"")</f>
        <v/>
      </c>
      <c r="C31" s="207" t="str">
        <f>IFERROR(IF(VLOOKUP($A31,TableHandbook[],3,FALSE)=0,"",VLOOKUP($A31,TableHandbook[],3,FALSE)),"")</f>
        <v/>
      </c>
      <c r="D31" s="224" t="str">
        <f>IFERROR(IF(VLOOKUP($A31,TableHandbook[],4,FALSE)=0,"",VLOOKUP($A31,TableHandbook[],4,FALSE)),"")</f>
        <v/>
      </c>
      <c r="E31" s="207" t="str">
        <f t="shared" ref="E31:E32" si="6">IF(OR(A31="",A31="-"),"",E30)</f>
        <v/>
      </c>
      <c r="F31" s="209" t="str">
        <f>IFERROR(IF(VLOOKUP($A31,TableHandbook[],6,FALSE)=0,"",VLOOKUP($A31,TableHandbook[],6,FALSE)),"")</f>
        <v/>
      </c>
      <c r="G31" s="207" t="str">
        <f>IFERROR(IF(VLOOKUP($A31,TableHandbook[],5,FALSE)=0,"",VLOOKUP($A31,TableHandbook[],5,FALSE)),"")</f>
        <v/>
      </c>
      <c r="H31" s="210" t="str">
        <f>IFERROR(VLOOKUP($A31,TableHandbook[],H$2,FALSE),"")</f>
        <v/>
      </c>
      <c r="I31" s="207" t="str">
        <f>IFERROR(VLOOKUP($A31,TableHandbook[],I$2,FALSE),"")</f>
        <v/>
      </c>
      <c r="J31" s="207" t="str">
        <f>IFERROR(VLOOKUP($A31,TableHandbook[],J$2,FALSE),"")</f>
        <v/>
      </c>
      <c r="K31" s="211" t="str">
        <f>IFERROR(VLOOKUP($A31,TableHandbook[],K$2,FALSE),"")</f>
        <v/>
      </c>
      <c r="L31" s="136"/>
      <c r="M31" s="212">
        <v>19</v>
      </c>
      <c r="N31" s="213"/>
      <c r="O31" s="213"/>
    </row>
    <row r="32" spans="1:16" s="214" customFormat="1" ht="20.100000000000001" customHeight="1" x14ac:dyDescent="0.15">
      <c r="A32" s="206" t="str">
        <f>IFERROR(IF(HLOOKUP($L$6,RangeUnitsetsCourse,M32,FALSE)=0,"",HLOOKUP($L$6,RangeUnitsetsCourse,M32,FALSE)),"")</f>
        <v/>
      </c>
      <c r="B32" s="207" t="str">
        <f>IFERROR(IF(VLOOKUP($A32,TableHandbook[],2,FALSE)=0,"",VLOOKUP($A32,TableHandbook[],2,FALSE)),"")</f>
        <v/>
      </c>
      <c r="C32" s="207" t="str">
        <f>IFERROR(IF(VLOOKUP($A32,TableHandbook[],3,FALSE)=0,"",VLOOKUP($A32,TableHandbook[],3,FALSE)),"")</f>
        <v/>
      </c>
      <c r="D32" s="224" t="str">
        <f>IFERROR(IF(VLOOKUP($A32,TableHandbook[],4,FALSE)=0,"",VLOOKUP($A32,TableHandbook[],4,FALSE)),"")</f>
        <v/>
      </c>
      <c r="E32" s="207" t="str">
        <f t="shared" si="6"/>
        <v/>
      </c>
      <c r="F32" s="209" t="str">
        <f>IFERROR(IF(VLOOKUP($A32,TableHandbook[],6,FALSE)=0,"",VLOOKUP($A32,TableHandbook[],6,FALSE)),"")</f>
        <v/>
      </c>
      <c r="G32" s="207" t="str">
        <f>IFERROR(IF(VLOOKUP($A32,TableHandbook[],5,FALSE)=0,"",VLOOKUP($A32,TableHandbook[],5,FALSE)),"")</f>
        <v/>
      </c>
      <c r="H32" s="210" t="str">
        <f>IFERROR(VLOOKUP($A32,TableHandbook[],H$2,FALSE),"")</f>
        <v/>
      </c>
      <c r="I32" s="207" t="str">
        <f>IFERROR(VLOOKUP($A32,TableHandbook[],I$2,FALSE),"")</f>
        <v/>
      </c>
      <c r="J32" s="207" t="str">
        <f>IFERROR(VLOOKUP($A32,TableHandbook[],J$2,FALSE),"")</f>
        <v/>
      </c>
      <c r="K32" s="211" t="str">
        <f>IFERROR(VLOOKUP($A32,TableHandbook[],K$2,FALSE),"")</f>
        <v/>
      </c>
      <c r="L32" s="136"/>
      <c r="M32" s="212">
        <v>20</v>
      </c>
      <c r="N32" s="213"/>
      <c r="O32" s="213"/>
    </row>
    <row r="33" spans="1:16" s="214" customFormat="1" ht="20.100000000000001" customHeight="1" x14ac:dyDescent="0.15">
      <c r="A33" s="206" t="str">
        <f>IFERROR(IF(HLOOKUP($L$6,RangeUnitsetsCourse,M33,FALSE)=0,"",HLOOKUP($L$6,RangeUnitsetsCourse,M33,FALSE)),"")</f>
        <v/>
      </c>
      <c r="B33" s="207" t="str">
        <f>IFERROR(IF(VLOOKUP($A33,TableHandbook[],2,FALSE)=0,"",VLOOKUP($A33,TableHandbook[],2,FALSE)),"")</f>
        <v/>
      </c>
      <c r="C33" s="207" t="str">
        <f>IFERROR(IF(VLOOKUP($A33,TableHandbook[],3,FALSE)=0,"",VLOOKUP($A33,TableHandbook[],3,FALSE)),"")</f>
        <v/>
      </c>
      <c r="D33" s="224" t="str">
        <f>IFERROR(IF(VLOOKUP($A33,TableHandbook[],4,FALSE)=0,"",VLOOKUP($A33,TableHandbook[],4,FALSE)),"")</f>
        <v/>
      </c>
      <c r="E33" s="207" t="str">
        <f>IF(OR(A33="",A33="-"),"",E32)</f>
        <v/>
      </c>
      <c r="F33" s="209" t="str">
        <f>IFERROR(IF(VLOOKUP($A33,TableHandbook[],6,FALSE)=0,"",VLOOKUP($A33,TableHandbook[],6,FALSE)),"")</f>
        <v/>
      </c>
      <c r="G33" s="207" t="str">
        <f>IFERROR(IF(VLOOKUP($A33,TableHandbook[],5,FALSE)=0,"",VLOOKUP($A33,TableHandbook[],5,FALSE)),"")</f>
        <v/>
      </c>
      <c r="H33" s="210" t="str">
        <f>IFERROR(VLOOKUP($A33,TableHandbook[],H$2,FALSE),"")</f>
        <v/>
      </c>
      <c r="I33" s="207" t="str">
        <f>IFERROR(VLOOKUP($A33,TableHandbook[],I$2,FALSE),"")</f>
        <v/>
      </c>
      <c r="J33" s="207" t="str">
        <f>IFERROR(VLOOKUP($A33,TableHandbook[],J$2,FALSE),"")</f>
        <v/>
      </c>
      <c r="K33" s="211" t="str">
        <f>IFERROR(VLOOKUP($A33,TableHandbook[],K$2,FALSE),"")</f>
        <v/>
      </c>
      <c r="L33" s="136"/>
      <c r="M33" s="212">
        <v>21</v>
      </c>
      <c r="N33" s="213"/>
      <c r="O33" s="213"/>
    </row>
    <row r="34" spans="1:16" s="214" customFormat="1" ht="5.0999999999999996" customHeight="1" x14ac:dyDescent="0.15">
      <c r="A34" s="217"/>
      <c r="B34" s="218"/>
      <c r="C34" s="218"/>
      <c r="D34" s="219"/>
      <c r="E34" s="218"/>
      <c r="F34" s="220"/>
      <c r="G34" s="218"/>
      <c r="H34" s="221"/>
      <c r="I34" s="218"/>
      <c r="J34" s="218"/>
      <c r="K34" s="222"/>
      <c r="L34" s="137"/>
      <c r="M34" s="212"/>
      <c r="N34" s="213"/>
      <c r="O34" s="213"/>
      <c r="P34" s="213"/>
    </row>
    <row r="35" spans="1:16" s="214" customFormat="1" ht="20.100000000000001" customHeight="1" x14ac:dyDescent="0.15">
      <c r="A35" s="206" t="str">
        <f>IFERROR(IF(HLOOKUP($L$6,RangeUnitsetsCourse,M35,FALSE)=0,"",HLOOKUP($L$6,RangeUnitsetsCourse,M35,FALSE)),"")</f>
        <v/>
      </c>
      <c r="B35" s="207" t="str">
        <f>IFERROR(IF(VLOOKUP($A35,TableHandbook[],2,FALSE)=0,"",VLOOKUP($A35,TableHandbook[],2,FALSE)),"")</f>
        <v/>
      </c>
      <c r="C35" s="207" t="str">
        <f>IFERROR(IF(VLOOKUP($A35,TableHandbook[],3,FALSE)=0,"",VLOOKUP($A35,TableHandbook[],3,FALSE)),"")</f>
        <v/>
      </c>
      <c r="D35" s="224" t="str">
        <f>IFERROR(IF(VLOOKUP($A35,TableHandbook[],4,FALSE)=0,"",VLOOKUP($A35,TableHandbook[],4,FALSE)),"")</f>
        <v/>
      </c>
      <c r="E35" s="207" t="str">
        <f>IF(A35="","",VLOOKUP($D$7,TableStudyPeriod[],3,FALSE))</f>
        <v/>
      </c>
      <c r="F35" s="209" t="str">
        <f>IFERROR(IF(VLOOKUP($A35,TableHandbook[],6,FALSE)=0,"",VLOOKUP($A35,TableHandbook[],6,FALSE)),"")</f>
        <v/>
      </c>
      <c r="G35" s="207" t="str">
        <f>IFERROR(IF(VLOOKUP($A35,TableHandbook[],5,FALSE)=0,"",VLOOKUP($A35,TableHandbook[],5,FALSE)),"")</f>
        <v/>
      </c>
      <c r="H35" s="210" t="str">
        <f>IFERROR(VLOOKUP($A35,TableHandbook[],H$2,FALSE),"")</f>
        <v/>
      </c>
      <c r="I35" s="207" t="str">
        <f>IFERROR(VLOOKUP($A35,TableHandbook[],I$2,FALSE),"")</f>
        <v/>
      </c>
      <c r="J35" s="207" t="str">
        <f>IFERROR(VLOOKUP($A35,TableHandbook[],J$2,FALSE),"")</f>
        <v/>
      </c>
      <c r="K35" s="211" t="str">
        <f>IFERROR(VLOOKUP($A35,TableHandbook[],K$2,FALSE),"")</f>
        <v/>
      </c>
      <c r="L35" s="136"/>
      <c r="M35" s="212">
        <v>22</v>
      </c>
      <c r="N35" s="213"/>
      <c r="O35" s="213"/>
    </row>
    <row r="36" spans="1:16" s="214" customFormat="1" ht="20.100000000000001" customHeight="1" x14ac:dyDescent="0.15">
      <c r="A36" s="206" t="str">
        <f>IFERROR(IF(HLOOKUP($L$6,RangeUnitsetsCourse,M36,FALSE)=0,"",HLOOKUP($L$6,RangeUnitsetsCourse,M36,FALSE)),"")</f>
        <v/>
      </c>
      <c r="B36" s="207" t="str">
        <f>IFERROR(IF(VLOOKUP($A36,TableHandbook[],2,FALSE)=0,"",VLOOKUP($A36,TableHandbook[],2,FALSE)),"")</f>
        <v/>
      </c>
      <c r="C36" s="207" t="str">
        <f>IFERROR(IF(VLOOKUP($A36,TableHandbook[],3,FALSE)=0,"",VLOOKUP($A36,TableHandbook[],3,FALSE)),"")</f>
        <v/>
      </c>
      <c r="D36" s="224" t="str">
        <f>IFERROR(IF(VLOOKUP($A36,TableHandbook[],4,FALSE)=0,"",VLOOKUP($A36,TableHandbook[],4,FALSE)),"")</f>
        <v/>
      </c>
      <c r="E36" s="207" t="str">
        <f t="shared" ref="E36:E37" si="7">IF(OR(A36="",A36="-"),"",E35)</f>
        <v/>
      </c>
      <c r="F36" s="209" t="str">
        <f>IFERROR(IF(VLOOKUP($A36,TableHandbook[],6,FALSE)=0,"",VLOOKUP($A36,TableHandbook[],6,FALSE)),"")</f>
        <v/>
      </c>
      <c r="G36" s="207" t="str">
        <f>IFERROR(IF(VLOOKUP($A36,TableHandbook[],5,FALSE)=0,"",VLOOKUP($A36,TableHandbook[],5,FALSE)),"")</f>
        <v/>
      </c>
      <c r="H36" s="210" t="str">
        <f>IFERROR(VLOOKUP($A36,TableHandbook[],H$2,FALSE),"")</f>
        <v/>
      </c>
      <c r="I36" s="207" t="str">
        <f>IFERROR(VLOOKUP($A36,TableHandbook[],I$2,FALSE),"")</f>
        <v/>
      </c>
      <c r="J36" s="207" t="str">
        <f>IFERROR(VLOOKUP($A36,TableHandbook[],J$2,FALSE),"")</f>
        <v/>
      </c>
      <c r="K36" s="211" t="str">
        <f>IFERROR(VLOOKUP($A36,TableHandbook[],K$2,FALSE),"")</f>
        <v/>
      </c>
      <c r="L36" s="136"/>
      <c r="M36" s="212">
        <v>23</v>
      </c>
      <c r="N36" s="213"/>
      <c r="O36" s="213"/>
    </row>
    <row r="37" spans="1:16" s="216" customFormat="1" ht="20.100000000000001" customHeight="1" x14ac:dyDescent="0.15">
      <c r="A37" s="206" t="str">
        <f>IFERROR(IF(HLOOKUP($L$6,RangeUnitsetsCourse,M37,FALSE)=0,"",HLOOKUP($L$6,RangeUnitsetsCourse,M37,FALSE)),"")</f>
        <v/>
      </c>
      <c r="B37" s="207" t="str">
        <f>IFERROR(IF(VLOOKUP($A37,TableHandbook[],2,FALSE)=0,"",VLOOKUP($A37,TableHandbook[],2,FALSE)),"")</f>
        <v/>
      </c>
      <c r="C37" s="207" t="str">
        <f>IFERROR(IF(VLOOKUP($A37,TableHandbook[],3,FALSE)=0,"",VLOOKUP($A37,TableHandbook[],3,FALSE)),"")</f>
        <v/>
      </c>
      <c r="D37" s="224" t="str">
        <f>IFERROR(IF(VLOOKUP($A37,TableHandbook[],4,FALSE)=0,"",VLOOKUP($A37,TableHandbook[],4,FALSE)),"")</f>
        <v/>
      </c>
      <c r="E37" s="207" t="str">
        <f t="shared" si="7"/>
        <v/>
      </c>
      <c r="F37" s="209" t="str">
        <f>IFERROR(IF(VLOOKUP($A37,TableHandbook[],6,FALSE)=0,"",VLOOKUP($A37,TableHandbook[],6,FALSE)),"")</f>
        <v/>
      </c>
      <c r="G37" s="207" t="str">
        <f>IFERROR(IF(VLOOKUP($A37,TableHandbook[],5,FALSE)=0,"",VLOOKUP($A37,TableHandbook[],5,FALSE)),"")</f>
        <v/>
      </c>
      <c r="H37" s="210" t="str">
        <f>IFERROR(VLOOKUP($A37,TableHandbook[],H$2,FALSE),"")</f>
        <v/>
      </c>
      <c r="I37" s="207" t="str">
        <f>IFERROR(VLOOKUP($A37,TableHandbook[],I$2,FALSE),"")</f>
        <v/>
      </c>
      <c r="J37" s="207" t="str">
        <f>IFERROR(VLOOKUP($A37,TableHandbook[],J$2,FALSE),"")</f>
        <v/>
      </c>
      <c r="K37" s="211" t="str">
        <f>IFERROR(VLOOKUP($A37,TableHandbook[],K$2,FALSE),"")</f>
        <v/>
      </c>
      <c r="L37" s="136"/>
      <c r="M37" s="212">
        <v>24</v>
      </c>
      <c r="N37" s="215"/>
      <c r="O37" s="215"/>
    </row>
    <row r="38" spans="1:16" s="216" customFormat="1" ht="20.100000000000001" customHeight="1" x14ac:dyDescent="0.15">
      <c r="A38" s="206" t="str">
        <f>IFERROR(IF(HLOOKUP($L$6,RangeUnitsetsCourse,M38,FALSE)=0,"",HLOOKUP($L$6,RangeUnitsetsCourse,M38,FALSE)),"")</f>
        <v/>
      </c>
      <c r="B38" s="207" t="str">
        <f>IFERROR(IF(VLOOKUP($A38,TableHandbook[],2,FALSE)=0,"",VLOOKUP($A38,TableHandbook[],2,FALSE)),"")</f>
        <v/>
      </c>
      <c r="C38" s="207" t="str">
        <f>IFERROR(IF(VLOOKUP($A38,TableHandbook[],3,FALSE)=0,"",VLOOKUP($A38,TableHandbook[],3,FALSE)),"")</f>
        <v/>
      </c>
      <c r="D38" s="224" t="str">
        <f>IFERROR(IF(VLOOKUP($A38,TableHandbook[],4,FALSE)=0,"",VLOOKUP($A38,TableHandbook[],4,FALSE)),"")</f>
        <v/>
      </c>
      <c r="E38" s="207" t="str">
        <f>IF(OR(A38="",A38="-"),"",E37)</f>
        <v/>
      </c>
      <c r="F38" s="209" t="str">
        <f>IFERROR(IF(VLOOKUP($A38,TableHandbook[],6,FALSE)=0,"",VLOOKUP($A38,TableHandbook[],6,FALSE)),"")</f>
        <v/>
      </c>
      <c r="G38" s="207" t="str">
        <f>IFERROR(IF(VLOOKUP($A38,TableHandbook[],5,FALSE)=0,"",VLOOKUP($A38,TableHandbook[],5,FALSE)),"")</f>
        <v/>
      </c>
      <c r="H38" s="210" t="str">
        <f>IFERROR(VLOOKUP($A38,TableHandbook[],H$2,FALSE),"")</f>
        <v/>
      </c>
      <c r="I38" s="207" t="str">
        <f>IFERROR(VLOOKUP($A38,TableHandbook[],I$2,FALSE),"")</f>
        <v/>
      </c>
      <c r="J38" s="207" t="str">
        <f>IFERROR(VLOOKUP($A38,TableHandbook[],J$2,FALSE),"")</f>
        <v/>
      </c>
      <c r="K38" s="211" t="str">
        <f>IFERROR(VLOOKUP($A38,TableHandbook[],K$2,FALSE),"")</f>
        <v/>
      </c>
      <c r="L38" s="136"/>
      <c r="M38" s="212">
        <v>25</v>
      </c>
      <c r="N38" s="215"/>
      <c r="O38" s="215"/>
    </row>
    <row r="39" spans="1:16" s="233" customFormat="1" ht="13.9" customHeight="1" x14ac:dyDescent="0.2">
      <c r="A39" s="226"/>
      <c r="B39" s="226"/>
      <c r="C39" s="226"/>
      <c r="D39" s="227"/>
      <c r="E39" s="228"/>
      <c r="F39" s="229"/>
      <c r="G39" s="229"/>
      <c r="H39" s="229"/>
      <c r="I39" s="229"/>
      <c r="J39" s="229"/>
      <c r="K39" s="229"/>
      <c r="L39" s="230"/>
      <c r="M39" s="231"/>
      <c r="N39" s="232"/>
      <c r="O39" s="232"/>
    </row>
    <row r="40" spans="1:16" ht="16.5" customHeight="1" x14ac:dyDescent="0.25">
      <c r="A40" s="234" t="str">
        <f>CONCATENATE(D6," - Alternate Core / Option Units")</f>
        <v>Choose your Major (drop-down list) - Alternate Core / Option Units</v>
      </c>
      <c r="B40" s="235"/>
      <c r="C40" s="235"/>
      <c r="D40" s="236"/>
      <c r="E40" s="237"/>
      <c r="F40" s="238"/>
      <c r="G40" s="238"/>
      <c r="H40" s="239" t="str">
        <f>H$8</f>
        <v>2025 Availabilities</v>
      </c>
      <c r="I40" s="240"/>
      <c r="J40" s="241"/>
      <c r="K40" s="242"/>
      <c r="L40" s="243"/>
      <c r="M40" s="244"/>
    </row>
    <row r="41" spans="1:16" s="247" customFormat="1" ht="21" x14ac:dyDescent="0.25">
      <c r="A41" s="245"/>
      <c r="B41" s="246"/>
      <c r="C41" s="246"/>
      <c r="D41" s="195" t="s">
        <v>3</v>
      </c>
      <c r="E41" s="204"/>
      <c r="F41" s="194" t="s">
        <v>22</v>
      </c>
      <c r="G41" s="194" t="s">
        <v>23</v>
      </c>
      <c r="H41" s="203" t="str">
        <f>H$9</f>
        <v>Sem1 BEN</v>
      </c>
      <c r="I41" s="204" t="str">
        <f t="shared" ref="I41:L41" si="8">I$9</f>
        <v>Sem1 FO</v>
      </c>
      <c r="J41" s="204" t="str">
        <f t="shared" si="8"/>
        <v>Sem2 BEN</v>
      </c>
      <c r="K41" s="205" t="str">
        <f t="shared" si="8"/>
        <v>Sem2 FO</v>
      </c>
      <c r="L41" s="194" t="str">
        <f t="shared" si="8"/>
        <v>Notes / Progress</v>
      </c>
      <c r="M41" s="244"/>
    </row>
    <row r="42" spans="1:16" x14ac:dyDescent="0.25">
      <c r="A42" s="248" t="str">
        <f t="shared" ref="A42:A53" si="9">IFERROR(IF(HLOOKUP($L$6,RangeUnitsetsCourse,M42,FALSE)=0,"",HLOOKUP($L$6,RangeUnitsetsCourse,M42,FALSE)),"")</f>
        <v/>
      </c>
      <c r="B42" s="249" t="str">
        <f>IFERROR(IF(VLOOKUP($A42,TableHandbook[],2,FALSE)=0,"",VLOOKUP($A42,TableHandbook[],2,FALSE)),"")</f>
        <v/>
      </c>
      <c r="C42" s="250" t="str">
        <f>IFERROR(IF(VLOOKUP($A42,TableHandbook[],3,FALSE)=0,"",VLOOKUP($A42,TableHandbook[],3,FALSE)),"")</f>
        <v/>
      </c>
      <c r="D42" s="250" t="str">
        <f>IFERROR(IF(VLOOKUP($A42,TableHandbook[],4,FALSE)=0,"",VLOOKUP($A42,TableHandbook[],4,FALSE)),"")</f>
        <v/>
      </c>
      <c r="E42" s="251"/>
      <c r="F42" s="252" t="str">
        <f>IFERROR(IF(VLOOKUP($A42,TableHandbook[],6,FALSE)=0,"",VLOOKUP($A42,TableHandbook[],6,FALSE)),"")</f>
        <v/>
      </c>
      <c r="G42" s="251" t="str">
        <f>IFERROR(IF(VLOOKUP($A42,TableHandbook[],5,FALSE)=0,"",VLOOKUP($A42,TableHandbook[],5,FALSE)),"")</f>
        <v/>
      </c>
      <c r="H42" s="253" t="str">
        <f>IFERROR(VLOOKUP($A42,TableHandbook[],H$2,FALSE),"")</f>
        <v/>
      </c>
      <c r="I42" s="254" t="str">
        <f>IFERROR(VLOOKUP($A42,TableHandbook[],I$2,FALSE),"")</f>
        <v/>
      </c>
      <c r="J42" s="254" t="str">
        <f>IFERROR(VLOOKUP($A42,TableHandbook[],J$2,FALSE),"")</f>
        <v/>
      </c>
      <c r="K42" s="255" t="str">
        <f>IFERROR(VLOOKUP($A42,TableHandbook[],K$2,FALSE),"")</f>
        <v/>
      </c>
      <c r="L42" s="136"/>
      <c r="M42" s="212">
        <v>26</v>
      </c>
    </row>
    <row r="43" spans="1:16" x14ac:dyDescent="0.25">
      <c r="A43" s="248" t="str">
        <f t="shared" si="9"/>
        <v/>
      </c>
      <c r="B43" s="249" t="str">
        <f>IFERROR(IF(VLOOKUP($A43,TableHandbook[],2,FALSE)=0,"",VLOOKUP($A43,TableHandbook[],2,FALSE)),"")</f>
        <v/>
      </c>
      <c r="C43" s="250" t="str">
        <f>IFERROR(IF(VLOOKUP($A43,TableHandbook[],3,FALSE)=0,"",VLOOKUP($A43,TableHandbook[],3,FALSE)),"")</f>
        <v/>
      </c>
      <c r="D43" s="250" t="str">
        <f>IFERROR(IF(VLOOKUP($A43,TableHandbook[],4,FALSE)=0,"",VLOOKUP($A43,TableHandbook[],4,FALSE)),"")</f>
        <v/>
      </c>
      <c r="E43" s="251"/>
      <c r="F43" s="252" t="str">
        <f>IFERROR(IF(VLOOKUP($A43,TableHandbook[],6,FALSE)=0,"",VLOOKUP($A43,TableHandbook[],6,FALSE)),"")</f>
        <v/>
      </c>
      <c r="G43" s="251" t="str">
        <f>IFERROR(IF(VLOOKUP($A43,TableHandbook[],5,FALSE)=0,"",VLOOKUP($A43,TableHandbook[],5,FALSE)),"")</f>
        <v/>
      </c>
      <c r="H43" s="253" t="str">
        <f>IFERROR(VLOOKUP($A43,TableHandbook[],H$2,FALSE),"")</f>
        <v/>
      </c>
      <c r="I43" s="254" t="str">
        <f>IFERROR(VLOOKUP($A43,TableHandbook[],I$2,FALSE),"")</f>
        <v/>
      </c>
      <c r="J43" s="254" t="str">
        <f>IFERROR(VLOOKUP($A43,TableHandbook[],J$2,FALSE),"")</f>
        <v/>
      </c>
      <c r="K43" s="255" t="str">
        <f>IFERROR(VLOOKUP($A43,TableHandbook[],K$2,FALSE),"")</f>
        <v/>
      </c>
      <c r="L43" s="136"/>
      <c r="M43" s="212">
        <v>27</v>
      </c>
    </row>
    <row r="44" spans="1:16" x14ac:dyDescent="0.25">
      <c r="A44" s="248" t="str">
        <f t="shared" si="9"/>
        <v/>
      </c>
      <c r="B44" s="249" t="str">
        <f>IFERROR(IF(VLOOKUP($A44,TableHandbook[],2,FALSE)=0,"",VLOOKUP($A44,TableHandbook[],2,FALSE)),"")</f>
        <v/>
      </c>
      <c r="C44" s="250" t="str">
        <f>IFERROR(IF(VLOOKUP($A44,TableHandbook[],3,FALSE)=0,"",VLOOKUP($A44,TableHandbook[],3,FALSE)),"")</f>
        <v/>
      </c>
      <c r="D44" s="250" t="str">
        <f>IFERROR(IF(VLOOKUP($A44,TableHandbook[],4,FALSE)=0,"",VLOOKUP($A44,TableHandbook[],4,FALSE)),"")</f>
        <v/>
      </c>
      <c r="E44" s="251"/>
      <c r="F44" s="252" t="str">
        <f>IFERROR(IF(VLOOKUP($A44,TableHandbook[],6,FALSE)=0,"",VLOOKUP($A44,TableHandbook[],6,FALSE)),"")</f>
        <v/>
      </c>
      <c r="G44" s="251" t="str">
        <f>IFERROR(IF(VLOOKUP($A44,TableHandbook[],5,FALSE)=0,"",VLOOKUP($A44,TableHandbook[],5,FALSE)),"")</f>
        <v/>
      </c>
      <c r="H44" s="253" t="str">
        <f>IFERROR(VLOOKUP($A44,TableHandbook[],H$2,FALSE),"")</f>
        <v/>
      </c>
      <c r="I44" s="254" t="str">
        <f>IFERROR(VLOOKUP($A44,TableHandbook[],I$2,FALSE),"")</f>
        <v/>
      </c>
      <c r="J44" s="254" t="str">
        <f>IFERROR(VLOOKUP($A44,TableHandbook[],J$2,FALSE),"")</f>
        <v/>
      </c>
      <c r="K44" s="255" t="str">
        <f>IFERROR(VLOOKUP($A44,TableHandbook[],K$2,FALSE),"")</f>
        <v/>
      </c>
      <c r="L44" s="136"/>
      <c r="M44" s="212">
        <v>28</v>
      </c>
    </row>
    <row r="45" spans="1:16" x14ac:dyDescent="0.25">
      <c r="A45" s="248" t="str">
        <f t="shared" si="9"/>
        <v/>
      </c>
      <c r="B45" s="249" t="str">
        <f>IFERROR(IF(VLOOKUP($A45,TableHandbook[],2,FALSE)=0,"",VLOOKUP($A45,TableHandbook[],2,FALSE)),"")</f>
        <v/>
      </c>
      <c r="C45" s="250" t="str">
        <f>IFERROR(IF(VLOOKUP($A45,TableHandbook[],3,FALSE)=0,"",VLOOKUP($A45,TableHandbook[],3,FALSE)),"")</f>
        <v/>
      </c>
      <c r="D45" s="250" t="str">
        <f>IFERROR(IF(VLOOKUP($A45,TableHandbook[],4,FALSE)=0,"",VLOOKUP($A45,TableHandbook[],4,FALSE)),"")</f>
        <v/>
      </c>
      <c r="E45" s="251"/>
      <c r="F45" s="252" t="str">
        <f>IFERROR(IF(VLOOKUP($A45,TableHandbook[],6,FALSE)=0,"",VLOOKUP($A45,TableHandbook[],6,FALSE)),"")</f>
        <v/>
      </c>
      <c r="G45" s="251" t="str">
        <f>IFERROR(IF(VLOOKUP($A45,TableHandbook[],5,FALSE)=0,"",VLOOKUP($A45,TableHandbook[],5,FALSE)),"")</f>
        <v/>
      </c>
      <c r="H45" s="253" t="str">
        <f>IFERROR(VLOOKUP($A45,TableHandbook[],H$2,FALSE),"")</f>
        <v/>
      </c>
      <c r="I45" s="254" t="str">
        <f>IFERROR(VLOOKUP($A45,TableHandbook[],I$2,FALSE),"")</f>
        <v/>
      </c>
      <c r="J45" s="254" t="str">
        <f>IFERROR(VLOOKUP($A45,TableHandbook[],J$2,FALSE),"")</f>
        <v/>
      </c>
      <c r="K45" s="255" t="str">
        <f>IFERROR(VLOOKUP($A45,TableHandbook[],K$2,FALSE),"")</f>
        <v/>
      </c>
      <c r="L45" s="136"/>
      <c r="M45" s="212">
        <v>29</v>
      </c>
    </row>
    <row r="46" spans="1:16" x14ac:dyDescent="0.25">
      <c r="A46" s="248" t="str">
        <f t="shared" si="9"/>
        <v/>
      </c>
      <c r="B46" s="249" t="str">
        <f>IFERROR(IF(VLOOKUP($A46,TableHandbook[],2,FALSE)=0,"",VLOOKUP($A46,TableHandbook[],2,FALSE)),"")</f>
        <v/>
      </c>
      <c r="C46" s="250" t="str">
        <f>IFERROR(IF(VLOOKUP($A46,TableHandbook[],3,FALSE)=0,"",VLOOKUP($A46,TableHandbook[],3,FALSE)),"")</f>
        <v/>
      </c>
      <c r="D46" s="250" t="str">
        <f>IFERROR(IF(VLOOKUP($A46,TableHandbook[],4,FALSE)=0,"",VLOOKUP($A46,TableHandbook[],4,FALSE)),"")</f>
        <v/>
      </c>
      <c r="E46" s="251"/>
      <c r="F46" s="252" t="str">
        <f>IFERROR(IF(VLOOKUP($A46,TableHandbook[],6,FALSE)=0,"",VLOOKUP($A46,TableHandbook[],6,FALSE)),"")</f>
        <v/>
      </c>
      <c r="G46" s="251" t="str">
        <f>IFERROR(IF(VLOOKUP($A46,TableHandbook[],5,FALSE)=0,"",VLOOKUP($A46,TableHandbook[],5,FALSE)),"")</f>
        <v/>
      </c>
      <c r="H46" s="253" t="str">
        <f>IFERROR(VLOOKUP($A46,TableHandbook[],H$2,FALSE),"")</f>
        <v/>
      </c>
      <c r="I46" s="254" t="str">
        <f>IFERROR(VLOOKUP($A46,TableHandbook[],I$2,FALSE),"")</f>
        <v/>
      </c>
      <c r="J46" s="254" t="str">
        <f>IFERROR(VLOOKUP($A46,TableHandbook[],J$2,FALSE),"")</f>
        <v/>
      </c>
      <c r="K46" s="255" t="str">
        <f>IFERROR(VLOOKUP($A46,TableHandbook[],K$2,FALSE),"")</f>
        <v/>
      </c>
      <c r="L46" s="136"/>
      <c r="M46" s="212">
        <v>30</v>
      </c>
    </row>
    <row r="47" spans="1:16" x14ac:dyDescent="0.25">
      <c r="A47" s="248" t="str">
        <f t="shared" si="9"/>
        <v/>
      </c>
      <c r="B47" s="249" t="str">
        <f>IFERROR(IF(VLOOKUP($A47,TableHandbook[],2,FALSE)=0,"",VLOOKUP($A47,TableHandbook[],2,FALSE)),"")</f>
        <v/>
      </c>
      <c r="C47" s="250" t="str">
        <f>IFERROR(IF(VLOOKUP($A47,TableHandbook[],3,FALSE)=0,"",VLOOKUP($A47,TableHandbook[],3,FALSE)),"")</f>
        <v/>
      </c>
      <c r="D47" s="250" t="str">
        <f>IFERROR(IF(VLOOKUP($A47,TableHandbook[],4,FALSE)=0,"",VLOOKUP($A47,TableHandbook[],4,FALSE)),"")</f>
        <v/>
      </c>
      <c r="E47" s="251"/>
      <c r="F47" s="252" t="str">
        <f>IFERROR(IF(VLOOKUP($A47,TableHandbook[],6,FALSE)=0,"",VLOOKUP($A47,TableHandbook[],6,FALSE)),"")</f>
        <v/>
      </c>
      <c r="G47" s="251" t="str">
        <f>IFERROR(IF(VLOOKUP($A47,TableHandbook[],5,FALSE)=0,"",VLOOKUP($A47,TableHandbook[],5,FALSE)),"")</f>
        <v/>
      </c>
      <c r="H47" s="253" t="str">
        <f>IFERROR(VLOOKUP($A47,TableHandbook[],H$2,FALSE),"")</f>
        <v/>
      </c>
      <c r="I47" s="254" t="str">
        <f>IFERROR(VLOOKUP($A47,TableHandbook[],I$2,FALSE),"")</f>
        <v/>
      </c>
      <c r="J47" s="254" t="str">
        <f>IFERROR(VLOOKUP($A47,TableHandbook[],J$2,FALSE),"")</f>
        <v/>
      </c>
      <c r="K47" s="255" t="str">
        <f>IFERROR(VLOOKUP($A47,TableHandbook[],K$2,FALSE),"")</f>
        <v/>
      </c>
      <c r="L47" s="136"/>
      <c r="M47" s="212">
        <v>31</v>
      </c>
    </row>
    <row r="48" spans="1:16" x14ac:dyDescent="0.25">
      <c r="A48" s="248" t="str">
        <f t="shared" si="9"/>
        <v/>
      </c>
      <c r="B48" s="249" t="str">
        <f>IFERROR(IF(VLOOKUP($A48,TableHandbook[],2,FALSE)=0,"",VLOOKUP($A48,TableHandbook[],2,FALSE)),"")</f>
        <v/>
      </c>
      <c r="C48" s="250" t="str">
        <f>IFERROR(IF(VLOOKUP($A48,TableHandbook[],3,FALSE)=0,"",VLOOKUP($A48,TableHandbook[],3,FALSE)),"")</f>
        <v/>
      </c>
      <c r="D48" s="250" t="str">
        <f>IFERROR(IF(VLOOKUP($A48,TableHandbook[],4,FALSE)=0,"",VLOOKUP($A48,TableHandbook[],4,FALSE)),"")</f>
        <v/>
      </c>
      <c r="E48" s="251"/>
      <c r="F48" s="252" t="str">
        <f>IFERROR(IF(VLOOKUP($A48,TableHandbook[],6,FALSE)=0,"",VLOOKUP($A48,TableHandbook[],6,FALSE)),"")</f>
        <v/>
      </c>
      <c r="G48" s="251" t="str">
        <f>IFERROR(IF(VLOOKUP($A48,TableHandbook[],5,FALSE)=0,"",VLOOKUP($A48,TableHandbook[],5,FALSE)),"")</f>
        <v/>
      </c>
      <c r="H48" s="253" t="str">
        <f>IFERROR(VLOOKUP($A48,TableHandbook[],H$2,FALSE),"")</f>
        <v/>
      </c>
      <c r="I48" s="254" t="str">
        <f>IFERROR(VLOOKUP($A48,TableHandbook[],I$2,FALSE),"")</f>
        <v/>
      </c>
      <c r="J48" s="254" t="str">
        <f>IFERROR(VLOOKUP($A48,TableHandbook[],J$2,FALSE),"")</f>
        <v/>
      </c>
      <c r="K48" s="255" t="str">
        <f>IFERROR(VLOOKUP($A48,TableHandbook[],K$2,FALSE),"")</f>
        <v/>
      </c>
      <c r="L48" s="136"/>
      <c r="M48" s="212">
        <v>32</v>
      </c>
    </row>
    <row r="49" spans="1:15" x14ac:dyDescent="0.25">
      <c r="A49" s="248" t="str">
        <f t="shared" si="9"/>
        <v/>
      </c>
      <c r="B49" s="249" t="str">
        <f>IFERROR(IF(VLOOKUP($A49,TableHandbook[],2,FALSE)=0,"",VLOOKUP($A49,TableHandbook[],2,FALSE)),"")</f>
        <v/>
      </c>
      <c r="C49" s="250" t="str">
        <f>IFERROR(IF(VLOOKUP($A49,TableHandbook[],3,FALSE)=0,"",VLOOKUP($A49,TableHandbook[],3,FALSE)),"")</f>
        <v/>
      </c>
      <c r="D49" s="250" t="str">
        <f>IFERROR(IF(VLOOKUP($A49,TableHandbook[],4,FALSE)=0,"",VLOOKUP($A49,TableHandbook[],4,FALSE)),"")</f>
        <v/>
      </c>
      <c r="E49" s="251"/>
      <c r="F49" s="252" t="str">
        <f>IFERROR(IF(VLOOKUP($A49,TableHandbook[],6,FALSE)=0,"",VLOOKUP($A49,TableHandbook[],6,FALSE)),"")</f>
        <v/>
      </c>
      <c r="G49" s="251" t="str">
        <f>IFERROR(IF(VLOOKUP($A49,TableHandbook[],5,FALSE)=0,"",VLOOKUP($A49,TableHandbook[],5,FALSE)),"")</f>
        <v/>
      </c>
      <c r="H49" s="253" t="str">
        <f>IFERROR(VLOOKUP($A49,TableHandbook[],H$2,FALSE),"")</f>
        <v/>
      </c>
      <c r="I49" s="254" t="str">
        <f>IFERROR(VLOOKUP($A49,TableHandbook[],I$2,FALSE),"")</f>
        <v/>
      </c>
      <c r="J49" s="254" t="str">
        <f>IFERROR(VLOOKUP($A49,TableHandbook[],J$2,FALSE),"")</f>
        <v/>
      </c>
      <c r="K49" s="255" t="str">
        <f>IFERROR(VLOOKUP($A49,TableHandbook[],K$2,FALSE),"")</f>
        <v/>
      </c>
      <c r="L49" s="136"/>
      <c r="M49" s="212">
        <v>33</v>
      </c>
    </row>
    <row r="50" spans="1:15" x14ac:dyDescent="0.25">
      <c r="A50" s="248" t="str">
        <f t="shared" si="9"/>
        <v/>
      </c>
      <c r="B50" s="249" t="str">
        <f>IFERROR(IF(VLOOKUP($A50,TableHandbook[],2,FALSE)=0,"",VLOOKUP($A50,TableHandbook[],2,FALSE)),"")</f>
        <v/>
      </c>
      <c r="C50" s="250" t="str">
        <f>IFERROR(IF(VLOOKUP($A50,TableHandbook[],3,FALSE)=0,"",VLOOKUP($A50,TableHandbook[],3,FALSE)),"")</f>
        <v/>
      </c>
      <c r="D50" s="250" t="str">
        <f>IFERROR(IF(VLOOKUP($A50,TableHandbook[],4,FALSE)=0,"",VLOOKUP($A50,TableHandbook[],4,FALSE)),"")</f>
        <v/>
      </c>
      <c r="E50" s="251"/>
      <c r="F50" s="252" t="str">
        <f>IFERROR(IF(VLOOKUP($A50,TableHandbook[],6,FALSE)=0,"",VLOOKUP($A50,TableHandbook[],6,FALSE)),"")</f>
        <v/>
      </c>
      <c r="G50" s="251" t="str">
        <f>IFERROR(IF(VLOOKUP($A50,TableHandbook[],5,FALSE)=0,"",VLOOKUP($A50,TableHandbook[],5,FALSE)),"")</f>
        <v/>
      </c>
      <c r="H50" s="253" t="str">
        <f>IFERROR(VLOOKUP($A50,TableHandbook[],H$2,FALSE),"")</f>
        <v/>
      </c>
      <c r="I50" s="254" t="str">
        <f>IFERROR(VLOOKUP($A50,TableHandbook[],I$2,FALSE),"")</f>
        <v/>
      </c>
      <c r="J50" s="254" t="str">
        <f>IFERROR(VLOOKUP($A50,TableHandbook[],J$2,FALSE),"")</f>
        <v/>
      </c>
      <c r="K50" s="255" t="str">
        <f>IFERROR(VLOOKUP($A50,TableHandbook[],K$2,FALSE),"")</f>
        <v/>
      </c>
      <c r="L50" s="136"/>
      <c r="M50" s="212">
        <v>34</v>
      </c>
    </row>
    <row r="51" spans="1:15" x14ac:dyDescent="0.25">
      <c r="A51" s="248" t="str">
        <f t="shared" si="9"/>
        <v/>
      </c>
      <c r="B51" s="249" t="str">
        <f>IFERROR(IF(VLOOKUP($A51,TableHandbook[],2,FALSE)=0,"",VLOOKUP($A51,TableHandbook[],2,FALSE)),"")</f>
        <v/>
      </c>
      <c r="C51" s="250" t="str">
        <f>IFERROR(IF(VLOOKUP($A51,TableHandbook[],3,FALSE)=0,"",VLOOKUP($A51,TableHandbook[],3,FALSE)),"")</f>
        <v/>
      </c>
      <c r="D51" s="250" t="str">
        <f>IFERROR(IF(VLOOKUP($A51,TableHandbook[],4,FALSE)=0,"",VLOOKUP($A51,TableHandbook[],4,FALSE)),"")</f>
        <v/>
      </c>
      <c r="E51" s="251"/>
      <c r="F51" s="252" t="str">
        <f>IFERROR(IF(VLOOKUP($A51,TableHandbook[],6,FALSE)=0,"",VLOOKUP($A51,TableHandbook[],6,FALSE)),"")</f>
        <v/>
      </c>
      <c r="G51" s="251" t="str">
        <f>IFERROR(IF(VLOOKUP($A51,TableHandbook[],5,FALSE)=0,"",VLOOKUP($A51,TableHandbook[],5,FALSE)),"")</f>
        <v/>
      </c>
      <c r="H51" s="253" t="str">
        <f>IFERROR(VLOOKUP($A51,TableHandbook[],H$2,FALSE),"")</f>
        <v/>
      </c>
      <c r="I51" s="254" t="str">
        <f>IFERROR(VLOOKUP($A51,TableHandbook[],I$2,FALSE),"")</f>
        <v/>
      </c>
      <c r="J51" s="254" t="str">
        <f>IFERROR(VLOOKUP($A51,TableHandbook[],J$2,FALSE),"")</f>
        <v/>
      </c>
      <c r="K51" s="255" t="str">
        <f>IFERROR(VLOOKUP($A51,TableHandbook[],K$2,FALSE),"")</f>
        <v/>
      </c>
      <c r="L51" s="136"/>
      <c r="M51" s="212">
        <v>35</v>
      </c>
    </row>
    <row r="52" spans="1:15" x14ac:dyDescent="0.25">
      <c r="A52" s="248" t="str">
        <f t="shared" si="9"/>
        <v/>
      </c>
      <c r="B52" s="249" t="str">
        <f>IFERROR(IF(VLOOKUP($A52,TableHandbook[],2,FALSE)=0,"",VLOOKUP($A52,TableHandbook[],2,FALSE)),"")</f>
        <v/>
      </c>
      <c r="C52" s="250" t="str">
        <f>IFERROR(IF(VLOOKUP($A52,TableHandbook[],3,FALSE)=0,"",VLOOKUP($A52,TableHandbook[],3,FALSE)),"")</f>
        <v/>
      </c>
      <c r="D52" s="250" t="str">
        <f>IFERROR(IF(VLOOKUP($A52,TableHandbook[],4,FALSE)=0,"",VLOOKUP($A52,TableHandbook[],4,FALSE)),"")</f>
        <v/>
      </c>
      <c r="E52" s="251"/>
      <c r="F52" s="252" t="str">
        <f>IFERROR(IF(VLOOKUP($A52,TableHandbook[],6,FALSE)=0,"",VLOOKUP($A52,TableHandbook[],6,FALSE)),"")</f>
        <v/>
      </c>
      <c r="G52" s="251" t="str">
        <f>IFERROR(IF(VLOOKUP($A52,TableHandbook[],5,FALSE)=0,"",VLOOKUP($A52,TableHandbook[],5,FALSE)),"")</f>
        <v/>
      </c>
      <c r="H52" s="253" t="str">
        <f>IFERROR(VLOOKUP($A52,TableHandbook[],H$2,FALSE),"")</f>
        <v/>
      </c>
      <c r="I52" s="254" t="str">
        <f>IFERROR(VLOOKUP($A52,TableHandbook[],I$2,FALSE),"")</f>
        <v/>
      </c>
      <c r="J52" s="254" t="str">
        <f>IFERROR(VLOOKUP($A52,TableHandbook[],J$2,FALSE),"")</f>
        <v/>
      </c>
      <c r="K52" s="255" t="str">
        <f>IFERROR(VLOOKUP($A52,TableHandbook[],K$2,FALSE),"")</f>
        <v/>
      </c>
      <c r="L52" s="136"/>
      <c r="M52" s="212">
        <v>36</v>
      </c>
    </row>
    <row r="53" spans="1:15" x14ac:dyDescent="0.25">
      <c r="A53" s="248" t="str">
        <f t="shared" si="9"/>
        <v/>
      </c>
      <c r="B53" s="249" t="str">
        <f>IFERROR(IF(VLOOKUP($A53,TableHandbook[],2,FALSE)=0,"",VLOOKUP($A53,TableHandbook[],2,FALSE)),"")</f>
        <v/>
      </c>
      <c r="C53" s="250" t="str">
        <f>IFERROR(IF(VLOOKUP($A53,TableHandbook[],3,FALSE)=0,"",VLOOKUP($A53,TableHandbook[],3,FALSE)),"")</f>
        <v/>
      </c>
      <c r="D53" s="250" t="str">
        <f>IFERROR(IF(VLOOKUP($A53,TableHandbook[],4,FALSE)=0,"",VLOOKUP($A53,TableHandbook[],4,FALSE)),"")</f>
        <v/>
      </c>
      <c r="E53" s="251"/>
      <c r="F53" s="252" t="str">
        <f>IFERROR(IF(VLOOKUP($A53,TableHandbook[],6,FALSE)=0,"",VLOOKUP($A53,TableHandbook[],6,FALSE)),"")</f>
        <v/>
      </c>
      <c r="G53" s="251" t="str">
        <f>IFERROR(IF(VLOOKUP($A53,TableHandbook[],5,FALSE)=0,"",VLOOKUP($A53,TableHandbook[],5,FALSE)),"")</f>
        <v/>
      </c>
      <c r="H53" s="253" t="str">
        <f>IFERROR(VLOOKUP($A53,TableHandbook[],H$2,FALSE),"")</f>
        <v/>
      </c>
      <c r="I53" s="254" t="str">
        <f>IFERROR(VLOOKUP($A53,TableHandbook[],I$2,FALSE),"")</f>
        <v/>
      </c>
      <c r="J53" s="254" t="str">
        <f>IFERROR(VLOOKUP($A53,TableHandbook[],J$2,FALSE),"")</f>
        <v/>
      </c>
      <c r="K53" s="255" t="str">
        <f>IFERROR(VLOOKUP($A53,TableHandbook[],K$2,FALSE),"")</f>
        <v/>
      </c>
      <c r="L53" s="136"/>
      <c r="M53" s="212">
        <v>37</v>
      </c>
    </row>
    <row r="54" spans="1:15" s="233" customFormat="1" ht="13.9" customHeight="1" x14ac:dyDescent="0.2">
      <c r="A54" s="226"/>
      <c r="B54" s="226"/>
      <c r="C54" s="226"/>
      <c r="D54" s="227"/>
      <c r="E54" s="228"/>
      <c r="F54" s="229"/>
      <c r="G54" s="229"/>
      <c r="H54" s="229"/>
      <c r="I54" s="229"/>
      <c r="J54" s="229"/>
      <c r="K54" s="229"/>
      <c r="L54" s="230"/>
      <c r="M54" s="231"/>
      <c r="N54" s="232"/>
      <c r="O54" s="232"/>
    </row>
    <row r="55" spans="1:15" s="258" customFormat="1" ht="20.25" x14ac:dyDescent="0.3">
      <c r="A55" s="234" t="s">
        <v>31</v>
      </c>
      <c r="B55" s="235"/>
      <c r="C55" s="235"/>
      <c r="D55" s="236"/>
      <c r="E55" s="237"/>
      <c r="F55" s="238"/>
      <c r="G55" s="238"/>
      <c r="H55" s="239" t="str">
        <f>H$8</f>
        <v>2025 Availabilities</v>
      </c>
      <c r="I55" s="240"/>
      <c r="J55" s="241"/>
      <c r="K55" s="242"/>
      <c r="L55" s="256" t="str">
        <f>VLOOKUP(D5,TableCourses[],2,FALSE)</f>
        <v>B-CRARTS</v>
      </c>
      <c r="M55" s="257"/>
    </row>
    <row r="56" spans="1:15" s="247" customFormat="1" ht="21" x14ac:dyDescent="0.25">
      <c r="A56" s="259"/>
      <c r="B56" s="246"/>
      <c r="C56" s="246"/>
      <c r="D56" s="195" t="s">
        <v>3</v>
      </c>
      <c r="E56" s="260"/>
      <c r="F56" s="194" t="s">
        <v>22</v>
      </c>
      <c r="G56" s="194" t="s">
        <v>23</v>
      </c>
      <c r="H56" s="203" t="str">
        <f>H$9</f>
        <v>Sem1 BEN</v>
      </c>
      <c r="I56" s="204" t="str">
        <f t="shared" ref="I56:L56" si="10">I$9</f>
        <v>Sem1 FO</v>
      </c>
      <c r="J56" s="204" t="str">
        <f t="shared" si="10"/>
        <v>Sem2 BEN</v>
      </c>
      <c r="K56" s="205" t="str">
        <f t="shared" si="10"/>
        <v>Sem2 FO</v>
      </c>
      <c r="L56" s="194" t="str">
        <f t="shared" si="10"/>
        <v>Notes / Progress</v>
      </c>
      <c r="M56" s="244"/>
    </row>
    <row r="57" spans="1:15" x14ac:dyDescent="0.25">
      <c r="A57" s="248" t="str">
        <f t="shared" ref="A57:A68" si="11">IFERROR(IF(HLOOKUP($L$55,RangeOptions,M57,FALSE)=0,"",HLOOKUP($L$55,RangeOptions,M57,FALSE)),"")</f>
        <v>Opt-Y1</v>
      </c>
      <c r="B57" s="249" t="str">
        <f>IFERROR(IF(VLOOKUP($A57,TableHandbook[],2,FALSE)=0,"",VLOOKUP($A57,TableHandbook[],2,FALSE)),"")</f>
        <v/>
      </c>
      <c r="C57" s="249" t="str">
        <f>IFERROR(IF(VLOOKUP($A57,TableHandbook[],3,FALSE)=0,"",VLOOKUP($A57,TableHandbook[],3,FALSE)),"")</f>
        <v/>
      </c>
      <c r="D57" s="250" t="str">
        <f>IFERROR(IF(VLOOKUP($A57,TableHandbook[],4,FALSE)=0,"",VLOOKUP($A57,TableHandbook[],4,FALSE)),"")</f>
        <v>Study two RECOMMENDED Year 1 Options (see Enrolment Guidelines)</v>
      </c>
      <c r="E57" s="251"/>
      <c r="F57" s="252" t="str">
        <f>IFERROR(IF(VLOOKUP($A57,TableHandbook[],6,FALSE)=0,"",VLOOKUP($A57,TableHandbook[],6,FALSE)),"")</f>
        <v>See below</v>
      </c>
      <c r="G57" s="251">
        <f>IFERROR(IF(VLOOKUP($A57,TableHandbook[],5,FALSE)=0,"",VLOOKUP($A57,TableHandbook[],5,FALSE)),"")</f>
        <v>50</v>
      </c>
      <c r="H57" s="253" t="str">
        <f>IFERROR(VLOOKUP($A57,TableHandbook[],H$2,FALSE),"")</f>
        <v/>
      </c>
      <c r="I57" s="254" t="str">
        <f>IFERROR(VLOOKUP($A57,TableHandbook[],I$2,FALSE),"")</f>
        <v/>
      </c>
      <c r="J57" s="254" t="str">
        <f>IFERROR(VLOOKUP($A57,TableHandbook[],J$2,FALSE),"")</f>
        <v/>
      </c>
      <c r="K57" s="255" t="str">
        <f>IFERROR(VLOOKUP($A57,TableHandbook[],K$2,FALSE),"")</f>
        <v/>
      </c>
      <c r="L57" s="136"/>
      <c r="M57" s="212">
        <v>2</v>
      </c>
    </row>
    <row r="58" spans="1:15" x14ac:dyDescent="0.25">
      <c r="A58" s="248" t="str">
        <f t="shared" si="11"/>
        <v>SCST1000</v>
      </c>
      <c r="B58" s="249">
        <f>IFERROR(IF(VLOOKUP($A58,TableHandbook[],2,FALSE)=0,"",VLOOKUP($A58,TableHandbook[],2,FALSE)),"")</f>
        <v>2</v>
      </c>
      <c r="C58" s="249" t="str">
        <f>IFERROR(IF(VLOOKUP($A58,TableHandbook[],3,FALSE)=0,"",VLOOKUP($A58,TableHandbook[],3,FALSE)),"")</f>
        <v/>
      </c>
      <c r="D58" s="250" t="str">
        <f>IFERROR(IF(VLOOKUP($A58,TableHandbook[],4,FALSE)=0,"",VLOOKUP($A58,TableHandbook[],4,FALSE)),"")</f>
        <v>Introduction to Screen Creativity (recommended Screen Arts Option)</v>
      </c>
      <c r="E58" s="251"/>
      <c r="F58" s="252" t="str">
        <f>IFERROR(IF(VLOOKUP($A58,TableHandbook[],6,FALSE)=0,"",VLOOKUP($A58,TableHandbook[],6,FALSE)),"")</f>
        <v>None</v>
      </c>
      <c r="G58" s="251">
        <f>IFERROR(IF(VLOOKUP($A58,TableHandbook[],5,FALSE)=0,"",VLOOKUP($A58,TableHandbook[],5,FALSE)),"")</f>
        <v>25</v>
      </c>
      <c r="H58" s="253" t="str">
        <f>IFERROR(VLOOKUP($A58,TableHandbook[],H$2,FALSE),"")</f>
        <v>Y</v>
      </c>
      <c r="I58" s="254" t="str">
        <f>IFERROR(VLOOKUP($A58,TableHandbook[],I$2,FALSE),"")</f>
        <v/>
      </c>
      <c r="J58" s="254" t="str">
        <f>IFERROR(VLOOKUP($A58,TableHandbook[],J$2,FALSE),"")</f>
        <v>Y</v>
      </c>
      <c r="K58" s="255" t="str">
        <f>IFERROR(VLOOKUP($A58,TableHandbook[],K$2,FALSE),"")</f>
        <v/>
      </c>
      <c r="L58" s="136"/>
      <c r="M58" s="212">
        <v>3</v>
      </c>
    </row>
    <row r="59" spans="1:15" x14ac:dyDescent="0.25">
      <c r="A59" s="248" t="str">
        <f t="shared" si="11"/>
        <v>SPRO1000</v>
      </c>
      <c r="B59" s="249">
        <f>IFERROR(IF(VLOOKUP($A59,TableHandbook[],2,FALSE)=0,"",VLOOKUP($A59,TableHandbook[],2,FALSE)),"")</f>
        <v>3</v>
      </c>
      <c r="C59" s="249" t="str">
        <f>IFERROR(IF(VLOOKUP($A59,TableHandbook[],3,FALSE)=0,"",VLOOKUP($A59,TableHandbook[],3,FALSE)),"")</f>
        <v/>
      </c>
      <c r="D59" s="250" t="str">
        <f>IFERROR(IF(VLOOKUP($A59,TableHandbook[],4,FALSE)=0,"",VLOOKUP($A59,TableHandbook[],4,FALSE)),"")</f>
        <v>Introduction to Screen Practice (recommended Screen Arts Option)</v>
      </c>
      <c r="E59" s="251"/>
      <c r="F59" s="252" t="str">
        <f>IFERROR(IF(VLOOKUP($A59,TableHandbook[],6,FALSE)=0,"",VLOOKUP($A59,TableHandbook[],6,FALSE)),"")</f>
        <v>None</v>
      </c>
      <c r="G59" s="251">
        <f>IFERROR(IF(VLOOKUP($A59,TableHandbook[],5,FALSE)=0,"",VLOOKUP($A59,TableHandbook[],5,FALSE)),"")</f>
        <v>25</v>
      </c>
      <c r="H59" s="253" t="str">
        <f>IFERROR(VLOOKUP($A59,TableHandbook[],H$2,FALSE),"")</f>
        <v>Y</v>
      </c>
      <c r="I59" s="254" t="str">
        <f>IFERROR(VLOOKUP($A59,TableHandbook[],I$2,FALSE),"")</f>
        <v/>
      </c>
      <c r="J59" s="254" t="str">
        <f>IFERROR(VLOOKUP($A59,TableHandbook[],J$2,FALSE),"")</f>
        <v>Y</v>
      </c>
      <c r="K59" s="255" t="str">
        <f>IFERROR(VLOOKUP($A59,TableHandbook[],K$2,FALSE),"")</f>
        <v/>
      </c>
      <c r="L59" s="136"/>
      <c r="M59" s="212">
        <v>4</v>
      </c>
    </row>
    <row r="60" spans="1:15" x14ac:dyDescent="0.25">
      <c r="A60" s="248" t="str">
        <f t="shared" si="11"/>
        <v>THTR1001</v>
      </c>
      <c r="B60" s="249">
        <f>IFERROR(IF(VLOOKUP($A60,TableHandbook[],2,FALSE)=0,"",VLOOKUP($A60,TableHandbook[],2,FALSE)),"")</f>
        <v>1</v>
      </c>
      <c r="C60" s="249" t="str">
        <f>IFERROR(IF(VLOOKUP($A60,TableHandbook[],3,FALSE)=0,"",VLOOKUP($A60,TableHandbook[],3,FALSE)),"")</f>
        <v/>
      </c>
      <c r="D60" s="250" t="str">
        <f>IFERROR(IF(VLOOKUP($A60,TableHandbook[],4,FALSE)=0,"",VLOOKUP($A60,TableHandbook[],4,FALSE)),"")</f>
        <v>Acting Fundamentals (recommended Theatre Arts Option)</v>
      </c>
      <c r="E60" s="251"/>
      <c r="F60" s="252" t="str">
        <f>IFERROR(IF(VLOOKUP($A60,TableHandbook[],6,FALSE)=0,"",VLOOKUP($A60,TableHandbook[],6,FALSE)),"")</f>
        <v>None</v>
      </c>
      <c r="G60" s="251">
        <f>IFERROR(IF(VLOOKUP($A60,TableHandbook[],5,FALSE)=0,"",VLOOKUP($A60,TableHandbook[],5,FALSE)),"")</f>
        <v>25</v>
      </c>
      <c r="H60" s="253" t="str">
        <f>IFERROR(VLOOKUP($A60,TableHandbook[],H$2,FALSE),"")</f>
        <v>Y</v>
      </c>
      <c r="I60" s="254" t="str">
        <f>IFERROR(VLOOKUP($A60,TableHandbook[],I$2,FALSE),"")</f>
        <v/>
      </c>
      <c r="J60" s="254" t="str">
        <f>IFERROR(VLOOKUP($A60,TableHandbook[],J$2,FALSE),"")</f>
        <v/>
      </c>
      <c r="K60" s="255" t="str">
        <f>IFERROR(VLOOKUP($A60,TableHandbook[],K$2,FALSE),"")</f>
        <v/>
      </c>
      <c r="L60" s="136"/>
      <c r="M60" s="212">
        <v>5</v>
      </c>
    </row>
    <row r="61" spans="1:15" x14ac:dyDescent="0.25">
      <c r="A61" s="248" t="str">
        <f t="shared" si="11"/>
        <v>THTR1002</v>
      </c>
      <c r="B61" s="249">
        <f>IFERROR(IF(VLOOKUP($A61,TableHandbook[],2,FALSE)=0,"",VLOOKUP($A61,TableHandbook[],2,FALSE)),"")</f>
        <v>1</v>
      </c>
      <c r="C61" s="249" t="str">
        <f>IFERROR(IF(VLOOKUP($A61,TableHandbook[],3,FALSE)=0,"",VLOOKUP($A61,TableHandbook[],3,FALSE)),"")</f>
        <v/>
      </c>
      <c r="D61" s="250" t="str">
        <f>IFERROR(IF(VLOOKUP($A61,TableHandbook[],4,FALSE)=0,"",VLOOKUP($A61,TableHandbook[],4,FALSE)),"")</f>
        <v>Devising Fundamentals (recommended Theatre Arts Option)</v>
      </c>
      <c r="E61" s="251"/>
      <c r="F61" s="252" t="str">
        <f>IFERROR(IF(VLOOKUP($A61,TableHandbook[],6,FALSE)=0,"",VLOOKUP($A61,TableHandbook[],6,FALSE)),"")</f>
        <v>None</v>
      </c>
      <c r="G61" s="251">
        <f>IFERROR(IF(VLOOKUP($A61,TableHandbook[],5,FALSE)=0,"",VLOOKUP($A61,TableHandbook[],5,FALSE)),"")</f>
        <v>25</v>
      </c>
      <c r="H61" s="253" t="str">
        <f>IFERROR(VLOOKUP($A61,TableHandbook[],H$2,FALSE),"")</f>
        <v/>
      </c>
      <c r="I61" s="254" t="str">
        <f>IFERROR(VLOOKUP($A61,TableHandbook[],I$2,FALSE),"")</f>
        <v/>
      </c>
      <c r="J61" s="254" t="str">
        <f>IFERROR(VLOOKUP($A61,TableHandbook[],J$2,FALSE),"")</f>
        <v>Y</v>
      </c>
      <c r="K61" s="255" t="str">
        <f>IFERROR(VLOOKUP($A61,TableHandbook[],K$2,FALSE),"")</f>
        <v/>
      </c>
      <c r="L61" s="136"/>
      <c r="M61" s="212">
        <v>6</v>
      </c>
    </row>
    <row r="62" spans="1:15" x14ac:dyDescent="0.25">
      <c r="A62" s="248" t="str">
        <f t="shared" si="11"/>
        <v>VISA1004</v>
      </c>
      <c r="B62" s="249">
        <f>IFERROR(IF(VLOOKUP($A62,TableHandbook[],2,FALSE)=0,"",VLOOKUP($A62,TableHandbook[],2,FALSE)),"")</f>
        <v>2</v>
      </c>
      <c r="C62" s="249" t="str">
        <f>IFERROR(IF(VLOOKUP($A62,TableHandbook[],3,FALSE)=0,"",VLOOKUP($A62,TableHandbook[],3,FALSE)),"")</f>
        <v/>
      </c>
      <c r="D62" s="250" t="str">
        <f>IFERROR(IF(VLOOKUP($A62,TableHandbook[],4,FALSE)=0,"",VLOOKUP($A62,TableHandbook[],4,FALSE)),"")</f>
        <v>Fine Art Studio Methods (recommended Fine Arts Option)</v>
      </c>
      <c r="E62" s="251"/>
      <c r="F62" s="252" t="str">
        <f>IFERROR(IF(VLOOKUP($A62,TableHandbook[],6,FALSE)=0,"",VLOOKUP($A62,TableHandbook[],6,FALSE)),"")</f>
        <v>None</v>
      </c>
      <c r="G62" s="251">
        <f>IFERROR(IF(VLOOKUP($A62,TableHandbook[],5,FALSE)=0,"",VLOOKUP($A62,TableHandbook[],5,FALSE)),"")</f>
        <v>25</v>
      </c>
      <c r="H62" s="253" t="str">
        <f>IFERROR(VLOOKUP($A62,TableHandbook[],H$2,FALSE),"")</f>
        <v/>
      </c>
      <c r="I62" s="254" t="str">
        <f>IFERROR(VLOOKUP($A62,TableHandbook[],I$2,FALSE),"")</f>
        <v/>
      </c>
      <c r="J62" s="254" t="str">
        <f>IFERROR(VLOOKUP($A62,TableHandbook[],J$2,FALSE),"")</f>
        <v>Y</v>
      </c>
      <c r="K62" s="255" t="str">
        <f>IFERROR(VLOOKUP($A62,TableHandbook[],K$2,FALSE),"")</f>
        <v/>
      </c>
      <c r="L62" s="136"/>
      <c r="M62" s="212">
        <v>7</v>
      </c>
    </row>
    <row r="63" spans="1:15" x14ac:dyDescent="0.25">
      <c r="A63" s="248" t="str">
        <f t="shared" si="11"/>
        <v>VISA1005</v>
      </c>
      <c r="B63" s="249">
        <f>IFERROR(IF(VLOOKUP($A63,TableHandbook[],2,FALSE)=0,"",VLOOKUP($A63,TableHandbook[],2,FALSE)),"")</f>
        <v>2</v>
      </c>
      <c r="C63" s="249" t="str">
        <f>IFERROR(IF(VLOOKUP($A63,TableHandbook[],3,FALSE)=0,"",VLOOKUP($A63,TableHandbook[],3,FALSE)),"")</f>
        <v/>
      </c>
      <c r="D63" s="250" t="str">
        <f>IFERROR(IF(VLOOKUP($A63,TableHandbook[],4,FALSE)=0,"",VLOOKUP($A63,TableHandbook[],4,FALSE)),"")</f>
        <v>Fine Art Studio Materials (recommended Fine Arts Option)</v>
      </c>
      <c r="E63" s="251"/>
      <c r="F63" s="252" t="str">
        <f>IFERROR(IF(VLOOKUP($A63,TableHandbook[],6,FALSE)=0,"",VLOOKUP($A63,TableHandbook[],6,FALSE)),"")</f>
        <v>None</v>
      </c>
      <c r="G63" s="251">
        <f>IFERROR(IF(VLOOKUP($A63,TableHandbook[],5,FALSE)=0,"",VLOOKUP($A63,TableHandbook[],5,FALSE)),"")</f>
        <v>25</v>
      </c>
      <c r="H63" s="253" t="str">
        <f>IFERROR(VLOOKUP($A63,TableHandbook[],H$2,FALSE),"")</f>
        <v>Y</v>
      </c>
      <c r="I63" s="254" t="str">
        <f>IFERROR(VLOOKUP($A63,TableHandbook[],I$2,FALSE),"")</f>
        <v/>
      </c>
      <c r="J63" s="254" t="str">
        <f>IFERROR(VLOOKUP($A63,TableHandbook[],J$2,FALSE),"")</f>
        <v/>
      </c>
      <c r="K63" s="255" t="str">
        <f>IFERROR(VLOOKUP($A63,TableHandbook[],K$2,FALSE),"")</f>
        <v/>
      </c>
      <c r="L63" s="136"/>
      <c r="M63" s="212">
        <v>8</v>
      </c>
    </row>
    <row r="64" spans="1:15" x14ac:dyDescent="0.25">
      <c r="A64" s="248" t="str">
        <f t="shared" si="11"/>
        <v/>
      </c>
      <c r="B64" s="249" t="str">
        <f>IFERROR(IF(VLOOKUP($A64,TableHandbook[],2,FALSE)=0,"",VLOOKUP($A64,TableHandbook[],2,FALSE)),"")</f>
        <v/>
      </c>
      <c r="C64" s="249" t="str">
        <f>IFERROR(IF(VLOOKUP($A64,TableHandbook[],3,FALSE)=0,"",VLOOKUP($A64,TableHandbook[],3,FALSE)),"")</f>
        <v/>
      </c>
      <c r="D64" s="250" t="str">
        <f>IFERROR(IF(VLOOKUP($A64,TableHandbook[],4,FALSE)=0,"",VLOOKUP($A64,TableHandbook[],4,FALSE)),"")</f>
        <v/>
      </c>
      <c r="E64" s="251"/>
      <c r="F64" s="252" t="str">
        <f>IFERROR(IF(VLOOKUP($A64,TableHandbook[],6,FALSE)=0,"",VLOOKUP($A64,TableHandbook[],6,FALSE)),"")</f>
        <v/>
      </c>
      <c r="G64" s="251" t="str">
        <f>IFERROR(IF(VLOOKUP($A64,TableHandbook[],5,FALSE)=0,"",VLOOKUP($A64,TableHandbook[],5,FALSE)),"")</f>
        <v/>
      </c>
      <c r="H64" s="253" t="str">
        <f>IFERROR(VLOOKUP($A64,TableHandbook[],H$2,FALSE),"")</f>
        <v/>
      </c>
      <c r="I64" s="254" t="str">
        <f>IFERROR(VLOOKUP($A64,TableHandbook[],I$2,FALSE),"")</f>
        <v/>
      </c>
      <c r="J64" s="254" t="str">
        <f>IFERROR(VLOOKUP($A64,TableHandbook[],J$2,FALSE),"")</f>
        <v/>
      </c>
      <c r="K64" s="255" t="str">
        <f>IFERROR(VLOOKUP($A64,TableHandbook[],K$2,FALSE),"")</f>
        <v/>
      </c>
      <c r="L64" s="136"/>
      <c r="M64" s="212">
        <v>9</v>
      </c>
    </row>
    <row r="65" spans="1:13" x14ac:dyDescent="0.25">
      <c r="A65" s="248" t="str">
        <f t="shared" si="11"/>
        <v>Opt-Y2</v>
      </c>
      <c r="B65" s="249" t="str">
        <f>IFERROR(IF(VLOOKUP($A65,TableHandbook[],2,FALSE)=0,"",VLOOKUP($A65,TableHandbook[],2,FALSE)),"")</f>
        <v/>
      </c>
      <c r="C65" s="249" t="str">
        <f>IFERROR(IF(VLOOKUP($A65,TableHandbook[],3,FALSE)=0,"",VLOOKUP($A65,TableHandbook[],3,FALSE)),"")</f>
        <v/>
      </c>
      <c r="D65" s="250" t="str">
        <f>IFERROR(IF(VLOOKUP($A65,TableHandbook[],4,FALSE)=0,"",VLOOKUP($A65,TableHandbook[],4,FALSE)),"")</f>
        <v>Study one RECOMMENDED Year 2 Option (see Enrolment Guidelines)</v>
      </c>
      <c r="E65" s="251"/>
      <c r="F65" s="252" t="str">
        <f>IFERROR(IF(VLOOKUP($A65,TableHandbook[],6,FALSE)=0,"",VLOOKUP($A65,TableHandbook[],6,FALSE)),"")</f>
        <v>See below</v>
      </c>
      <c r="G65" s="251">
        <f>IFERROR(IF(VLOOKUP($A65,TableHandbook[],5,FALSE)=0,"",VLOOKUP($A65,TableHandbook[],5,FALSE)),"")</f>
        <v>25</v>
      </c>
      <c r="H65" s="253" t="str">
        <f>IFERROR(VLOOKUP($A65,TableHandbook[],H$2,FALSE),"")</f>
        <v/>
      </c>
      <c r="I65" s="254" t="str">
        <f>IFERROR(VLOOKUP($A65,TableHandbook[],I$2,FALSE),"")</f>
        <v/>
      </c>
      <c r="J65" s="254" t="str">
        <f>IFERROR(VLOOKUP($A65,TableHandbook[],J$2,FALSE),"")</f>
        <v/>
      </c>
      <c r="K65" s="255" t="str">
        <f>IFERROR(VLOOKUP($A65,TableHandbook[],K$2,FALSE),"")</f>
        <v/>
      </c>
      <c r="L65" s="136"/>
      <c r="M65" s="212">
        <v>10</v>
      </c>
    </row>
    <row r="66" spans="1:13" x14ac:dyDescent="0.25">
      <c r="A66" s="248" t="str">
        <f t="shared" si="11"/>
        <v>SPRO2000</v>
      </c>
      <c r="B66" s="249">
        <f>IFERROR(IF(VLOOKUP($A66,TableHandbook[],2,FALSE)=0,"",VLOOKUP($A66,TableHandbook[],2,FALSE)),"")</f>
        <v>3</v>
      </c>
      <c r="C66" s="249" t="str">
        <f>IFERROR(IF(VLOOKUP($A66,TableHandbook[],3,FALSE)=0,"",VLOOKUP($A66,TableHandbook[],3,FALSE)),"")</f>
        <v/>
      </c>
      <c r="D66" s="250" t="str">
        <f>IFERROR(IF(VLOOKUP($A66,TableHandbook[],4,FALSE)=0,"",VLOOKUP($A66,TableHandbook[],4,FALSE)),"")</f>
        <v>Studio Production (recommended Screen Arts Option)</v>
      </c>
      <c r="E66" s="251"/>
      <c r="F66" s="252" t="str">
        <f>IFERROR(IF(VLOOKUP($A66,TableHandbook[],6,FALSE)=0,"",VLOOKUP($A66,TableHandbook[],6,FALSE)),"")</f>
        <v>None</v>
      </c>
      <c r="G66" s="251">
        <f>IFERROR(IF(VLOOKUP($A66,TableHandbook[],5,FALSE)=0,"",VLOOKUP($A66,TableHandbook[],5,FALSE)),"")</f>
        <v>25</v>
      </c>
      <c r="H66" s="253" t="str">
        <f>IFERROR(VLOOKUP($A66,TableHandbook[],H$2,FALSE),"")</f>
        <v>Y</v>
      </c>
      <c r="I66" s="254" t="str">
        <f>IFERROR(VLOOKUP($A66,TableHandbook[],I$2,FALSE),"")</f>
        <v/>
      </c>
      <c r="J66" s="254" t="str">
        <f>IFERROR(VLOOKUP($A66,TableHandbook[],J$2,FALSE),"")</f>
        <v>Y</v>
      </c>
      <c r="K66" s="255" t="str">
        <f>IFERROR(VLOOKUP($A66,TableHandbook[],K$2,FALSE),"")</f>
        <v/>
      </c>
      <c r="L66" s="136"/>
      <c r="M66" s="212">
        <v>11</v>
      </c>
    </row>
    <row r="67" spans="1:13" x14ac:dyDescent="0.25">
      <c r="A67" s="248" t="str">
        <f t="shared" si="11"/>
        <v>THTR2005</v>
      </c>
      <c r="B67" s="249">
        <f>IFERROR(IF(VLOOKUP($A67,TableHandbook[],2,FALSE)=0,"",VLOOKUP($A67,TableHandbook[],2,FALSE)),"")</f>
        <v>1</v>
      </c>
      <c r="C67" s="249" t="str">
        <f>IFERROR(IF(VLOOKUP($A67,TableHandbook[],3,FALSE)=0,"",VLOOKUP($A67,TableHandbook[],3,FALSE)),"")</f>
        <v/>
      </c>
      <c r="D67" s="250" t="str">
        <f>IFERROR(IF(VLOOKUP($A67,TableHandbook[],4,FALSE)=0,"",VLOOKUP($A67,TableHandbook[],4,FALSE)),"")</f>
        <v>Collaborative Theatre Practice (recommended Theatre Arts Option)</v>
      </c>
      <c r="E67" s="251"/>
      <c r="F67" s="252" t="str">
        <f>IFERROR(IF(VLOOKUP($A67,TableHandbook[],6,FALSE)=0,"",VLOOKUP($A67,TableHandbook[],6,FALSE)),"")</f>
        <v>None</v>
      </c>
      <c r="G67" s="251">
        <f>IFERROR(IF(VLOOKUP($A67,TableHandbook[],5,FALSE)=0,"",VLOOKUP($A67,TableHandbook[],5,FALSE)),"")</f>
        <v>25</v>
      </c>
      <c r="H67" s="253" t="str">
        <f>IFERROR(VLOOKUP($A67,TableHandbook[],H$2,FALSE),"")</f>
        <v>Y</v>
      </c>
      <c r="I67" s="254" t="str">
        <f>IFERROR(VLOOKUP($A67,TableHandbook[],I$2,FALSE),"")</f>
        <v/>
      </c>
      <c r="J67" s="254" t="str">
        <f>IFERROR(VLOOKUP($A67,TableHandbook[],J$2,FALSE),"")</f>
        <v/>
      </c>
      <c r="K67" s="255" t="str">
        <f>IFERROR(VLOOKUP($A67,TableHandbook[],K$2,FALSE),"")</f>
        <v/>
      </c>
      <c r="L67" s="136"/>
      <c r="M67" s="212">
        <v>12</v>
      </c>
    </row>
    <row r="68" spans="1:13" x14ac:dyDescent="0.25">
      <c r="A68" s="248" t="str">
        <f t="shared" si="11"/>
        <v>VISA2005</v>
      </c>
      <c r="B68" s="249">
        <f>IFERROR(IF(VLOOKUP($A68,TableHandbook[],2,FALSE)=0,"",VLOOKUP($A68,TableHandbook[],2,FALSE)),"")</f>
        <v>2</v>
      </c>
      <c r="C68" s="249" t="str">
        <f>IFERROR(IF(VLOOKUP($A68,TableHandbook[],3,FALSE)=0,"",VLOOKUP($A68,TableHandbook[],3,FALSE)),"")</f>
        <v/>
      </c>
      <c r="D68" s="250" t="str">
        <f>IFERROR(IF(VLOOKUP($A68,TableHandbook[],4,FALSE)=0,"",VLOOKUP($A68,TableHandbook[],4,FALSE)),"")</f>
        <v>Fine Art Studio Processes (recommended Fine Arts Option)</v>
      </c>
      <c r="E68" s="251"/>
      <c r="F68" s="252" t="str">
        <f>IFERROR(IF(VLOOKUP($A68,TableHandbook[],6,FALSE)=0,"",VLOOKUP($A68,TableHandbook[],6,FALSE)),"")</f>
        <v>100CP</v>
      </c>
      <c r="G68" s="251">
        <f>IFERROR(IF(VLOOKUP($A68,TableHandbook[],5,FALSE)=0,"",VLOOKUP($A68,TableHandbook[],5,FALSE)),"")</f>
        <v>25</v>
      </c>
      <c r="H68" s="253" t="str">
        <f>IFERROR(VLOOKUP($A68,TableHandbook[],H$2,FALSE),"")</f>
        <v>Y</v>
      </c>
      <c r="I68" s="254" t="str">
        <f>IFERROR(VLOOKUP($A68,TableHandbook[],I$2,FALSE),"")</f>
        <v/>
      </c>
      <c r="J68" s="254" t="str">
        <f>IFERROR(VLOOKUP($A68,TableHandbook[],J$2,FALSE),"")</f>
        <v/>
      </c>
      <c r="K68" s="255" t="str">
        <f>IFERROR(VLOOKUP($A68,TableHandbook[],K$2,FALSE),"")</f>
        <v/>
      </c>
      <c r="L68" s="136"/>
      <c r="M68" s="212">
        <v>13</v>
      </c>
    </row>
    <row r="69" spans="1:13" ht="32.25" customHeight="1" x14ac:dyDescent="0.25">
      <c r="A69" s="261" t="s">
        <v>32</v>
      </c>
      <c r="B69" s="261"/>
      <c r="C69" s="261"/>
      <c r="D69" s="261"/>
      <c r="E69" s="261"/>
      <c r="F69" s="261"/>
      <c r="G69" s="261"/>
      <c r="H69" s="261"/>
      <c r="I69" s="261"/>
      <c r="J69" s="261"/>
      <c r="K69" s="261"/>
      <c r="L69" s="261"/>
    </row>
    <row r="70" spans="1:13" x14ac:dyDescent="0.25">
      <c r="A70" s="262"/>
      <c r="B70" s="263"/>
      <c r="C70" s="263"/>
      <c r="D70" s="263"/>
      <c r="E70" s="264"/>
      <c r="F70" s="263"/>
      <c r="G70" s="263"/>
      <c r="H70" s="263"/>
      <c r="I70" s="263"/>
      <c r="J70" s="263"/>
      <c r="K70" s="263"/>
      <c r="L70" s="265"/>
    </row>
    <row r="71" spans="1:13" ht="15" customHeight="1" x14ac:dyDescent="0.25">
      <c r="A71" s="266" t="s">
        <v>33</v>
      </c>
      <c r="B71" s="266"/>
      <c r="C71" s="266"/>
      <c r="D71" s="266"/>
      <c r="E71" s="267"/>
      <c r="F71" s="229"/>
      <c r="G71" s="268"/>
      <c r="H71" s="268"/>
      <c r="I71" s="268"/>
      <c r="J71" s="268"/>
      <c r="K71" s="268"/>
      <c r="L71" s="268" t="s">
        <v>34</v>
      </c>
    </row>
  </sheetData>
  <sheetProtection algorithmName="SHA-512" hashValue="TKgyPgE0Tl6Vzdo6N7yq1NtQjTslk1daXNZHdw+DJ8Y6JkCpEaFve6bU1BMcTtSlk996RzZzmINOEJpbVdZVxw==" saltValue="+f8pUhRjbIyF+udCWOpETw==" spinCount="100000" sheet="1" objects="1" scenarios="1" formatCells="0" formatColumns="0" formatRows="0"/>
  <mergeCells count="2">
    <mergeCell ref="A3:D3"/>
    <mergeCell ref="A69:L69"/>
  </mergeCells>
  <conditionalFormatting sqref="A42:L53 A57:L68">
    <cfRule type="expression" dxfId="20" priority="3">
      <formula>LEFT($D42,5)="Study"</formula>
    </cfRule>
  </conditionalFormatting>
  <conditionalFormatting sqref="A42:L53">
    <cfRule type="expression" dxfId="19" priority="2">
      <formula>$A42=""</formula>
    </cfRule>
  </conditionalFormatting>
  <conditionalFormatting sqref="D5:D7">
    <cfRule type="containsText" dxfId="18" priority="4" operator="containsText" text="Choose">
      <formula>NOT(ISERROR(SEARCH("Choose",D5)))</formula>
    </cfRule>
  </conditionalFormatting>
  <conditionalFormatting sqref="H10:K18 H20:K28 H30:K38">
    <cfRule type="expression" dxfId="17" priority="1">
      <formula>$E10=LEFT(H$9,4)</formula>
    </cfRule>
  </conditionalFormatting>
  <dataValidations count="1">
    <dataValidation type="list" allowBlank="1" showInputMessage="1" showErrorMessage="1" sqref="L24 L34 L14" xr:uid="{00000000-0002-0000-0000-000000000000}"/>
  </dataValidations>
  <printOptions horizontalCentered="1"/>
  <pageMargins left="0.31496062992125984" right="0.31496062992125984" top="0.39370078740157483" bottom="0.39370078740157483" header="0.19685039370078741" footer="0.19685039370078741"/>
  <pageSetup paperSize="9" scale="62" orientation="portrait" r:id="rId1"/>
  <rowBreaks count="1" manualBreakCount="1">
    <brk id="38" max="1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Unitsets!$A$14:$A$16</xm:f>
          </x14:formula1>
          <xm:sqref>D7</xm:sqref>
        </x14:dataValidation>
        <x14:dataValidation type="list" showInputMessage="1" showErrorMessage="1" xr:uid="{00000000-0002-0000-0000-000002000000}">
          <x14:formula1>
            <xm:f>Unitsets!$A$8:$A$11</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72"/>
  <sheetViews>
    <sheetView topLeftCell="E1" zoomScale="85" zoomScaleNormal="85" workbookViewId="0">
      <selection activeCell="B27" sqref="B27"/>
    </sheetView>
  </sheetViews>
  <sheetFormatPr defaultRowHeight="15.75" x14ac:dyDescent="0.25"/>
  <cols>
    <col min="1" max="1" width="66.125" style="15" bestFit="1" customWidth="1"/>
    <col min="2" max="2" width="11.375" style="8" bestFit="1" customWidth="1"/>
    <col min="3" max="3" width="12.75" style="8" bestFit="1" customWidth="1"/>
    <col min="4" max="4" width="17.375" style="8" bestFit="1" customWidth="1"/>
    <col min="5" max="5" width="14.875" style="8" bestFit="1" customWidth="1"/>
    <col min="6" max="6" width="19.125" style="8" bestFit="1" customWidth="1"/>
    <col min="7" max="7" width="19.375" style="8" bestFit="1" customWidth="1"/>
    <col min="8" max="8" width="17.875" style="8" bestFit="1" customWidth="1"/>
    <col min="9" max="9" width="9.25" style="8" customWidth="1"/>
    <col min="10" max="10" width="20" style="8" bestFit="1" customWidth="1"/>
    <col min="11" max="11" width="3.625" customWidth="1"/>
    <col min="12" max="12" width="8.5" bestFit="1" customWidth="1"/>
    <col min="13" max="13" width="14" bestFit="1" customWidth="1"/>
    <col min="14" max="14" width="6.5" bestFit="1" customWidth="1"/>
    <col min="15" max="15" width="15.875" bestFit="1" customWidth="1"/>
    <col min="16" max="16" width="6.5" bestFit="1" customWidth="1"/>
    <col min="17" max="17" width="14.625" bestFit="1" customWidth="1"/>
    <col min="18" max="18" width="6.5" bestFit="1" customWidth="1"/>
    <col min="19" max="19" width="14.625" bestFit="1" customWidth="1"/>
    <col min="20" max="20" width="6.5" bestFit="1" customWidth="1"/>
    <col min="21" max="21" width="14.5" bestFit="1" customWidth="1"/>
    <col min="22" max="22" width="6.5" bestFit="1" customWidth="1"/>
    <col min="23" max="23" width="14.5" bestFit="1" customWidth="1"/>
    <col min="24" max="24" width="6.5" bestFit="1" customWidth="1"/>
    <col min="25" max="25" width="6" customWidth="1"/>
    <col min="26" max="26" width="9.75" customWidth="1"/>
    <col min="27" max="27" width="6" customWidth="1"/>
    <col min="28" max="28" width="7.625" customWidth="1"/>
    <col min="29" max="29" width="6" customWidth="1"/>
    <col min="30" max="30" width="7.625" customWidth="1"/>
    <col min="31" max="31" width="6" customWidth="1"/>
    <col min="32" max="32" width="8.875" customWidth="1"/>
    <col min="33" max="33" width="6" customWidth="1"/>
    <col min="34" max="34" width="8.125" customWidth="1"/>
    <col min="35" max="35" width="6" customWidth="1"/>
    <col min="36" max="36" width="9.375" customWidth="1"/>
    <col min="37" max="37" width="6" customWidth="1"/>
    <col min="38" max="38" width="9.125" customWidth="1"/>
    <col min="39" max="39" width="6" customWidth="1"/>
    <col min="40" max="40" width="9.375" customWidth="1"/>
    <col min="41" max="41" width="6" bestFit="1" customWidth="1"/>
    <col min="42" max="42" width="11.75" customWidth="1"/>
    <col min="43" max="43" width="6" bestFit="1" customWidth="1"/>
    <col min="44" max="44" width="10" customWidth="1"/>
    <col min="45" max="45" width="7.125" customWidth="1"/>
    <col min="46" max="46" width="10" customWidth="1"/>
    <col min="47" max="47" width="6" bestFit="1" customWidth="1"/>
    <col min="48" max="48" width="10.375" customWidth="1"/>
    <col min="49" max="49" width="6" bestFit="1" customWidth="1"/>
    <col min="50" max="50" width="12.375" customWidth="1"/>
    <col min="51" max="51" width="6" bestFit="1" customWidth="1"/>
    <col min="53" max="53" width="6" bestFit="1" customWidth="1"/>
    <col min="54" max="54" width="10.125" customWidth="1"/>
    <col min="55" max="55" width="6" bestFit="1" customWidth="1"/>
    <col min="102" max="102" width="13.75" bestFit="1" customWidth="1"/>
    <col min="104" max="104" width="13.75" bestFit="1" customWidth="1"/>
  </cols>
  <sheetData>
    <row r="1" spans="1:59" x14ac:dyDescent="0.25">
      <c r="A1" s="17" t="s">
        <v>11</v>
      </c>
      <c r="B1" s="18"/>
      <c r="C1" s="18"/>
      <c r="D1" s="18"/>
      <c r="AP1" s="55" t="s">
        <v>35</v>
      </c>
    </row>
    <row r="2" spans="1:59" x14ac:dyDescent="0.25">
      <c r="A2" s="17"/>
      <c r="B2"/>
      <c r="C2"/>
      <c r="D2"/>
      <c r="E2"/>
      <c r="F2"/>
      <c r="G2"/>
      <c r="H2"/>
      <c r="I2"/>
      <c r="J2"/>
      <c r="L2" s="31"/>
      <c r="M2" s="11"/>
      <c r="N2" s="12"/>
      <c r="O2" s="11"/>
      <c r="P2" s="11"/>
      <c r="Q2" s="11"/>
      <c r="R2" s="11"/>
      <c r="S2" s="11"/>
      <c r="T2" s="11"/>
      <c r="U2" s="11"/>
      <c r="V2" s="11"/>
      <c r="W2" s="11"/>
      <c r="X2" s="11"/>
      <c r="Y2" s="11"/>
      <c r="Z2" s="11"/>
      <c r="AA2" s="11"/>
      <c r="AB2" s="11"/>
      <c r="AC2" s="11"/>
      <c r="AD2" s="11"/>
      <c r="AE2" s="11"/>
      <c r="AF2" s="11"/>
      <c r="AG2" s="11"/>
      <c r="AH2" s="11"/>
      <c r="AI2" s="11"/>
      <c r="AJ2" s="11"/>
      <c r="AK2" s="11"/>
      <c r="AL2" s="11"/>
      <c r="AM2" s="10"/>
      <c r="AN2" s="11"/>
      <c r="AO2" s="12"/>
      <c r="AP2" s="55" t="s">
        <v>36</v>
      </c>
      <c r="AQ2">
        <v>2</v>
      </c>
      <c r="AR2">
        <v>3</v>
      </c>
      <c r="AS2">
        <v>4</v>
      </c>
      <c r="AT2">
        <v>5</v>
      </c>
      <c r="AU2">
        <v>6</v>
      </c>
      <c r="AV2">
        <v>16</v>
      </c>
      <c r="AW2">
        <v>17</v>
      </c>
      <c r="AX2">
        <v>18</v>
      </c>
      <c r="AY2">
        <v>19</v>
      </c>
      <c r="AZ2" s="25"/>
      <c r="BA2" s="25"/>
      <c r="BB2" s="25"/>
      <c r="BC2" s="25"/>
      <c r="BD2" s="25"/>
    </row>
    <row r="3" spans="1:59" ht="31.5" x14ac:dyDescent="0.25">
      <c r="A3" s="138" t="s">
        <v>37</v>
      </c>
      <c r="B3"/>
      <c r="C3"/>
      <c r="D3"/>
      <c r="E3"/>
      <c r="F3"/>
      <c r="G3"/>
      <c r="H3"/>
      <c r="J3" s="101" t="s">
        <v>38</v>
      </c>
      <c r="K3" s="1">
        <v>1</v>
      </c>
      <c r="L3" s="39"/>
      <c r="M3" s="13" t="s">
        <v>39</v>
      </c>
      <c r="N3" s="39"/>
      <c r="O3" s="14" t="s">
        <v>40</v>
      </c>
      <c r="P3" s="39"/>
      <c r="Q3" s="13" t="s">
        <v>41</v>
      </c>
      <c r="R3" s="39"/>
      <c r="S3" s="14" t="s">
        <v>42</v>
      </c>
      <c r="T3" s="39"/>
      <c r="U3" s="13" t="s">
        <v>43</v>
      </c>
      <c r="V3" s="39"/>
      <c r="W3" s="14" t="s">
        <v>44</v>
      </c>
      <c r="AP3" s="40" t="s">
        <v>45</v>
      </c>
      <c r="AQ3" s="40" t="s">
        <v>1</v>
      </c>
      <c r="AR3" s="41"/>
      <c r="AS3" s="40" t="s">
        <v>46</v>
      </c>
      <c r="AT3" s="42" t="s">
        <v>5</v>
      </c>
      <c r="AU3" s="42" t="s">
        <v>47</v>
      </c>
      <c r="AV3" s="44" t="s">
        <v>48</v>
      </c>
      <c r="AW3" s="44" t="s">
        <v>49</v>
      </c>
      <c r="AX3" s="44" t="s">
        <v>50</v>
      </c>
      <c r="AY3" s="44" t="s">
        <v>51</v>
      </c>
      <c r="AZ3" s="25"/>
      <c r="BA3" s="25"/>
      <c r="BB3" s="25"/>
      <c r="BC3" s="25"/>
      <c r="BD3" s="25"/>
      <c r="BE3" s="25"/>
      <c r="BF3" s="25"/>
      <c r="BG3" s="25"/>
    </row>
    <row r="4" spans="1:59" x14ac:dyDescent="0.25">
      <c r="A4" s="8" t="s">
        <v>52</v>
      </c>
      <c r="B4" s="15" t="s">
        <v>0</v>
      </c>
      <c r="C4" s="8" t="s">
        <v>53</v>
      </c>
      <c r="D4" s="8" t="s">
        <v>54</v>
      </c>
      <c r="E4" s="8" t="s">
        <v>55</v>
      </c>
      <c r="F4" s="8" t="s">
        <v>56</v>
      </c>
      <c r="G4" s="8" t="s">
        <v>57</v>
      </c>
      <c r="H4" s="8" t="s">
        <v>58</v>
      </c>
      <c r="K4" s="21">
        <v>2</v>
      </c>
      <c r="L4" s="76" t="s">
        <v>59</v>
      </c>
      <c r="M4" s="77" t="s">
        <v>60</v>
      </c>
      <c r="N4" s="76" t="s">
        <v>61</v>
      </c>
      <c r="O4" s="93" t="s">
        <v>62</v>
      </c>
      <c r="P4" s="76" t="s">
        <v>59</v>
      </c>
      <c r="Q4" s="77" t="s">
        <v>60</v>
      </c>
      <c r="R4" s="76" t="s">
        <v>61</v>
      </c>
      <c r="S4" s="77" t="s">
        <v>63</v>
      </c>
      <c r="T4" s="76" t="s">
        <v>59</v>
      </c>
      <c r="U4" s="77" t="s">
        <v>60</v>
      </c>
      <c r="V4" s="76" t="s">
        <v>61</v>
      </c>
      <c r="W4" s="77" t="s">
        <v>63</v>
      </c>
      <c r="AP4" s="56" t="e">
        <f>IF(HLOOKUP($AP$1,RangeUnitsetsCourse,K4,FALSE)="Spec",HLOOKUP($AP$1,RangeSpecSets,$K$33,FALSE),HLOOKUP($AP$1,RangeUnitsetsCourse,K4,FALSE))</f>
        <v>#N/A</v>
      </c>
      <c r="AQ4" s="57" t="e">
        <f>VLOOKUP($AP4,TableHandbook[],AQ$2,FALSE)</f>
        <v>#N/A</v>
      </c>
      <c r="AR4" s="33" t="e">
        <f>VLOOKUP($AP4,TableHandbook[],AR$2,FALSE)</f>
        <v>#N/A</v>
      </c>
      <c r="AS4" s="58" t="e">
        <f>VLOOKUP($AP4,TableHandbook[],AS$2,FALSE)</f>
        <v>#N/A</v>
      </c>
      <c r="AT4" s="59" t="e">
        <f>VLOOKUP($AP4,TableHandbook[],AT$2,FALSE)</f>
        <v>#N/A</v>
      </c>
      <c r="AU4" s="26" t="e">
        <f>VLOOKUP($AP4,TableHandbook[],AU$2,FALSE)</f>
        <v>#N/A</v>
      </c>
      <c r="AV4" s="60" t="e">
        <f>VLOOKUP($AP4,TableHandbook[],AV$2,FALSE)</f>
        <v>#N/A</v>
      </c>
      <c r="AW4" s="60" t="e">
        <f>VLOOKUP($AP4,TableHandbook[],AW$2,FALSE)</f>
        <v>#N/A</v>
      </c>
      <c r="AX4" s="60" t="e">
        <f>VLOOKUP($AP4,TableHandbook[],AX$2,FALSE)</f>
        <v>#N/A</v>
      </c>
      <c r="AY4" s="61" t="e">
        <f>VLOOKUP($AP4,TableHandbook[],AY$2,FALSE)</f>
        <v>#N/A</v>
      </c>
      <c r="AZ4" s="25"/>
      <c r="BA4" s="25"/>
      <c r="BB4" s="25"/>
      <c r="BC4" s="25"/>
      <c r="BD4" s="25"/>
      <c r="BE4" s="25"/>
      <c r="BF4" s="25"/>
      <c r="BG4" s="25"/>
    </row>
    <row r="5" spans="1:59" x14ac:dyDescent="0.25">
      <c r="A5" s="15" t="s">
        <v>11</v>
      </c>
      <c r="B5" s="142" t="s">
        <v>64</v>
      </c>
      <c r="C5" s="121" t="s">
        <v>65</v>
      </c>
      <c r="D5" s="122">
        <v>43831</v>
      </c>
      <c r="E5" s="121">
        <v>2</v>
      </c>
      <c r="F5" s="122">
        <v>43831</v>
      </c>
      <c r="G5" s="98" t="s">
        <v>66</v>
      </c>
      <c r="H5" s="121" t="s">
        <v>67</v>
      </c>
      <c r="K5" s="21">
        <v>3</v>
      </c>
      <c r="L5" s="78" t="s">
        <v>59</v>
      </c>
      <c r="M5" s="100" t="s">
        <v>68</v>
      </c>
      <c r="N5" s="78" t="s">
        <v>61</v>
      </c>
      <c r="O5" s="85"/>
      <c r="P5" s="78" t="s">
        <v>59</v>
      </c>
      <c r="Q5" s="100" t="s">
        <v>68</v>
      </c>
      <c r="R5" s="78" t="s">
        <v>61</v>
      </c>
      <c r="S5" s="100" t="s">
        <v>69</v>
      </c>
      <c r="T5" s="78" t="s">
        <v>59</v>
      </c>
      <c r="U5" s="100" t="s">
        <v>68</v>
      </c>
      <c r="V5" s="78" t="s">
        <v>61</v>
      </c>
      <c r="W5" s="100" t="s">
        <v>69</v>
      </c>
      <c r="AP5" s="62" t="e">
        <f>IF(HLOOKUP($AP$1,RangeUnitsetsCourse,K5,FALSE)="Spec",HLOOKUP($AP$1,RangeSpecSets,$K$33,FALSE),HLOOKUP($AP$1,RangeUnitsetsCourse,K5,FALSE))</f>
        <v>#N/A</v>
      </c>
      <c r="AQ5" s="5" t="e">
        <f>VLOOKUP($AP5,TableHandbook[],AQ$2,FALSE)</f>
        <v>#N/A</v>
      </c>
      <c r="AR5" t="e">
        <f>VLOOKUP($AP5,TableHandbook[],AR$2,FALSE)</f>
        <v>#N/A</v>
      </c>
      <c r="AS5" s="4" t="e">
        <f>VLOOKUP($AP5,TableHandbook[],AS$2,FALSE)</f>
        <v>#N/A</v>
      </c>
      <c r="AT5" s="63" t="e">
        <f>VLOOKUP($AP5,TableHandbook[],AT$2,FALSE)</f>
        <v>#N/A</v>
      </c>
      <c r="AU5" s="67" t="e">
        <f>VLOOKUP($AP5,TableHandbook[],AU$2,FALSE)</f>
        <v>#N/A</v>
      </c>
      <c r="AV5" s="2" t="e">
        <f>VLOOKUP($AP5,TableHandbook[],AV$2,FALSE)</f>
        <v>#N/A</v>
      </c>
      <c r="AW5" s="2" t="e">
        <f>VLOOKUP($AP5,TableHandbook[],AW$2,FALSE)</f>
        <v>#N/A</v>
      </c>
      <c r="AX5" s="2" t="e">
        <f>VLOOKUP($AP5,TableHandbook[],AX$2,FALSE)</f>
        <v>#N/A</v>
      </c>
      <c r="AY5" s="64" t="e">
        <f>VLOOKUP($AP5,TableHandbook[],AY$2,FALSE)</f>
        <v>#N/A</v>
      </c>
      <c r="AZ5" s="25"/>
      <c r="BA5" s="25"/>
      <c r="BB5" s="25"/>
      <c r="BC5" s="25"/>
      <c r="BD5" s="25"/>
      <c r="BE5" s="25"/>
      <c r="BF5" s="25"/>
      <c r="BG5" s="25"/>
    </row>
    <row r="6" spans="1:59" x14ac:dyDescent="0.25">
      <c r="J6" s="135" t="s">
        <v>70</v>
      </c>
      <c r="K6" s="21">
        <v>4</v>
      </c>
      <c r="L6" s="78" t="s">
        <v>59</v>
      </c>
      <c r="M6" s="134" t="s">
        <v>71</v>
      </c>
      <c r="N6" s="78" t="s">
        <v>61</v>
      </c>
      <c r="O6" s="85"/>
      <c r="P6" s="78" t="s">
        <v>59</v>
      </c>
      <c r="Q6" s="134" t="s">
        <v>72</v>
      </c>
      <c r="R6" s="78" t="s">
        <v>61</v>
      </c>
      <c r="S6" s="134" t="s">
        <v>73</v>
      </c>
      <c r="T6" s="78" t="s">
        <v>59</v>
      </c>
      <c r="U6" s="134" t="s">
        <v>74</v>
      </c>
      <c r="V6" s="78" t="s">
        <v>61</v>
      </c>
      <c r="W6" s="134" t="s">
        <v>75</v>
      </c>
      <c r="AP6" s="62" t="e">
        <f>IF(HLOOKUP($AP$1,RangeUnitsetsCourse,K6,FALSE)="Spec",HLOOKUP($AP$1,RangeSpecSets,$K$33,FALSE),HLOOKUP($AP$1,RangeUnitsetsCourse,K6,FALSE))</f>
        <v>#N/A</v>
      </c>
      <c r="AQ6" s="5" t="e">
        <f>VLOOKUP($AP6,TableHandbook[],AQ$2,FALSE)</f>
        <v>#N/A</v>
      </c>
      <c r="AR6" t="e">
        <f>VLOOKUP($AP6,TableHandbook[],AR$2,FALSE)</f>
        <v>#N/A</v>
      </c>
      <c r="AS6" s="4" t="e">
        <f>VLOOKUP($AP6,TableHandbook[],AS$2,FALSE)</f>
        <v>#N/A</v>
      </c>
      <c r="AT6" s="63" t="e">
        <f>VLOOKUP($AP6,TableHandbook[],AT$2,FALSE)</f>
        <v>#N/A</v>
      </c>
      <c r="AU6" s="67" t="e">
        <f>VLOOKUP($AP6,TableHandbook[],AU$2,FALSE)</f>
        <v>#N/A</v>
      </c>
      <c r="AV6" s="2" t="e">
        <f>VLOOKUP($AP6,TableHandbook[],AV$2,FALSE)</f>
        <v>#N/A</v>
      </c>
      <c r="AW6" s="2" t="e">
        <f>VLOOKUP($AP6,TableHandbook[],AW$2,FALSE)</f>
        <v>#N/A</v>
      </c>
      <c r="AX6" s="2" t="e">
        <f>VLOOKUP($AP6,TableHandbook[],AX$2,FALSE)</f>
        <v>#N/A</v>
      </c>
      <c r="AY6" s="64" t="e">
        <f>VLOOKUP($AP6,TableHandbook[],AY$2,FALSE)</f>
        <v>#N/A</v>
      </c>
      <c r="AZ6" s="8"/>
      <c r="BA6" s="5"/>
      <c r="BB6" s="25"/>
      <c r="BC6" s="25"/>
      <c r="BD6" s="25"/>
      <c r="BE6" s="25"/>
      <c r="BF6" s="25"/>
      <c r="BG6" s="25"/>
    </row>
    <row r="7" spans="1:59" x14ac:dyDescent="0.25">
      <c r="A7" s="138" t="s">
        <v>76</v>
      </c>
      <c r="K7" s="21">
        <v>5</v>
      </c>
      <c r="L7" s="78" t="s">
        <v>59</v>
      </c>
      <c r="M7" s="100" t="s">
        <v>77</v>
      </c>
      <c r="N7" s="78" t="s">
        <v>61</v>
      </c>
      <c r="O7" s="85"/>
      <c r="P7" s="78" t="s">
        <v>59</v>
      </c>
      <c r="Q7" s="100" t="s">
        <v>77</v>
      </c>
      <c r="R7" s="78" t="s">
        <v>61</v>
      </c>
      <c r="S7" s="100" t="s">
        <v>77</v>
      </c>
      <c r="T7" s="78" t="s">
        <v>59</v>
      </c>
      <c r="U7" s="100" t="s">
        <v>77</v>
      </c>
      <c r="V7" s="78" t="s">
        <v>61</v>
      </c>
      <c r="W7" s="100" t="s">
        <v>77</v>
      </c>
      <c r="AP7" s="74" t="e">
        <f>IF(HLOOKUP($AP$1,RangeUnitsetsCourse,K7,FALSE)="Spec Unit",HLOOKUP($AP$2,RangeSpecSets,$K$33,FALSE),HLOOKUP($AP$1,RangeUnitsetsCourse,K7,FALSE))</f>
        <v>#N/A</v>
      </c>
      <c r="AQ7" s="5" t="e">
        <f>VLOOKUP($AP7,TableHandbook[],AQ$2,FALSE)</f>
        <v>#N/A</v>
      </c>
      <c r="AR7" t="e">
        <f>VLOOKUP($AP7,TableHandbook[],AR$2,FALSE)</f>
        <v>#N/A</v>
      </c>
      <c r="AS7" s="4" t="e">
        <f>VLOOKUP($AP7,TableHandbook[],AS$2,FALSE)</f>
        <v>#N/A</v>
      </c>
      <c r="AT7" s="63" t="e">
        <f>VLOOKUP($AP7,TableHandbook[],AT$2,FALSE)</f>
        <v>#N/A</v>
      </c>
      <c r="AU7" s="67" t="e">
        <f>VLOOKUP($AP7,TableHandbook[],AU$2,FALSE)</f>
        <v>#N/A</v>
      </c>
      <c r="AV7" s="2" t="e">
        <f>VLOOKUP($AP7,TableHandbook[],AV$2,FALSE)</f>
        <v>#N/A</v>
      </c>
      <c r="AW7" s="2" t="e">
        <f>VLOOKUP($AP7,TableHandbook[],AW$2,FALSE)</f>
        <v>#N/A</v>
      </c>
      <c r="AX7" s="2" t="e">
        <f>VLOOKUP($AP7,TableHandbook[],AX$2,FALSE)</f>
        <v>#N/A</v>
      </c>
      <c r="AY7" s="64" t="e">
        <f>VLOOKUP($AP7,TableHandbook[],AY$2,FALSE)</f>
        <v>#N/A</v>
      </c>
      <c r="AZ7" s="8"/>
      <c r="BA7" s="5"/>
      <c r="BB7" s="4"/>
      <c r="BC7" s="5"/>
      <c r="BD7" s="4"/>
      <c r="BE7" s="5"/>
      <c r="BF7" s="5"/>
    </row>
    <row r="8" spans="1:59" x14ac:dyDescent="0.25">
      <c r="A8" s="8" t="s">
        <v>78</v>
      </c>
      <c r="B8" s="15" t="s">
        <v>0</v>
      </c>
      <c r="C8" s="8" t="s">
        <v>53</v>
      </c>
      <c r="D8" s="8" t="s">
        <v>54</v>
      </c>
      <c r="E8" s="8" t="s">
        <v>55</v>
      </c>
      <c r="F8" s="8" t="s">
        <v>56</v>
      </c>
      <c r="G8" s="8" t="s">
        <v>57</v>
      </c>
      <c r="J8"/>
      <c r="K8" s="21">
        <v>6</v>
      </c>
      <c r="L8" s="78" t="s">
        <v>61</v>
      </c>
      <c r="M8" s="100" t="s">
        <v>63</v>
      </c>
      <c r="N8" s="78" t="s">
        <v>59</v>
      </c>
      <c r="O8" s="85"/>
      <c r="P8" s="78" t="s">
        <v>61</v>
      </c>
      <c r="Q8" s="100" t="s">
        <v>63</v>
      </c>
      <c r="R8" s="78" t="s">
        <v>59</v>
      </c>
      <c r="S8" s="100" t="s">
        <v>60</v>
      </c>
      <c r="T8" s="78" t="s">
        <v>61</v>
      </c>
      <c r="U8" s="100" t="s">
        <v>63</v>
      </c>
      <c r="V8" s="78" t="s">
        <v>59</v>
      </c>
      <c r="W8" s="100" t="s">
        <v>60</v>
      </c>
      <c r="AP8" s="56" t="e">
        <f>IF(HLOOKUP($AP$1,RangeUnitsetsCourse,K8,FALSE)="Spec",HLOOKUP($AP$1,RangeSpecSets,#REF!,FALSE),HLOOKUP($AP$1,RangeUnitsetsCourse,K8,FALSE))</f>
        <v>#N/A</v>
      </c>
      <c r="AQ8" s="57" t="e">
        <f>VLOOKUP($AP8,TableHandbook[],AQ$2,FALSE)</f>
        <v>#N/A</v>
      </c>
      <c r="AR8" s="33" t="e">
        <f>VLOOKUP($AP8,TableHandbook[],AR$2,FALSE)</f>
        <v>#N/A</v>
      </c>
      <c r="AS8" s="58" t="e">
        <f>VLOOKUP($AP8,TableHandbook[],AS$2,FALSE)</f>
        <v>#N/A</v>
      </c>
      <c r="AT8" s="59" t="e">
        <f>VLOOKUP($AP8,TableHandbook[],AT$2,FALSE)</f>
        <v>#N/A</v>
      </c>
      <c r="AU8" s="26" t="e">
        <f>VLOOKUP($AP8,TableHandbook[],AU$2,FALSE)</f>
        <v>#N/A</v>
      </c>
      <c r="AV8" s="60" t="e">
        <f>VLOOKUP($AP8,TableHandbook[],AV$2,FALSE)</f>
        <v>#N/A</v>
      </c>
      <c r="AW8" s="60" t="e">
        <f>VLOOKUP($AP8,TableHandbook[],AW$2,FALSE)</f>
        <v>#N/A</v>
      </c>
      <c r="AX8" s="60" t="e">
        <f>VLOOKUP($AP8,TableHandbook[],AX$2,FALSE)</f>
        <v>#N/A</v>
      </c>
      <c r="AY8" s="61" t="e">
        <f>VLOOKUP($AP8,TableHandbook[],AY$2,FALSE)</f>
        <v>#N/A</v>
      </c>
      <c r="BA8" s="32"/>
      <c r="BB8" s="4"/>
      <c r="BC8" s="5"/>
      <c r="BD8" s="4"/>
      <c r="BE8" s="24"/>
      <c r="BF8" s="5"/>
    </row>
    <row r="9" spans="1:59" x14ac:dyDescent="0.25">
      <c r="A9" s="8" t="s">
        <v>79</v>
      </c>
      <c r="B9" s="121" t="s">
        <v>80</v>
      </c>
      <c r="C9" s="159" t="s">
        <v>81</v>
      </c>
      <c r="D9" s="144">
        <v>45658</v>
      </c>
      <c r="E9" s="143">
        <v>4</v>
      </c>
      <c r="F9" s="144">
        <v>45658</v>
      </c>
      <c r="G9" s="98" t="s">
        <v>82</v>
      </c>
      <c r="J9"/>
      <c r="K9" s="21">
        <v>7</v>
      </c>
      <c r="L9" s="78" t="s">
        <v>61</v>
      </c>
      <c r="M9" s="100" t="s">
        <v>69</v>
      </c>
      <c r="N9" s="78" t="s">
        <v>59</v>
      </c>
      <c r="O9" s="85"/>
      <c r="P9" s="78" t="s">
        <v>61</v>
      </c>
      <c r="Q9" s="100" t="s">
        <v>69</v>
      </c>
      <c r="R9" s="78" t="s">
        <v>59</v>
      </c>
      <c r="S9" s="100" t="s">
        <v>68</v>
      </c>
      <c r="T9" s="78" t="s">
        <v>61</v>
      </c>
      <c r="U9" s="100" t="s">
        <v>69</v>
      </c>
      <c r="V9" s="78" t="s">
        <v>59</v>
      </c>
      <c r="W9" s="100" t="s">
        <v>68</v>
      </c>
      <c r="AP9" s="62" t="e">
        <f>IF(HLOOKUP($AP$1,RangeUnitsetsCourse,K9,FALSE)="Spec",HLOOKUP($AP$1,RangeSpecSets,#REF!,FALSE),HLOOKUP($AP$1,RangeUnitsetsCourse,K9,FALSE))</f>
        <v>#N/A</v>
      </c>
      <c r="AQ9" s="5" t="e">
        <f>VLOOKUP($AP9,TableHandbook[],AQ$2,FALSE)</f>
        <v>#N/A</v>
      </c>
      <c r="AR9" t="e">
        <f>VLOOKUP($AP9,TableHandbook[],AR$2,FALSE)</f>
        <v>#N/A</v>
      </c>
      <c r="AS9" s="4" t="e">
        <f>VLOOKUP($AP9,TableHandbook[],AS$2,FALSE)</f>
        <v>#N/A</v>
      </c>
      <c r="AT9" s="63" t="e">
        <f>VLOOKUP($AP9,TableHandbook[],AT$2,FALSE)</f>
        <v>#N/A</v>
      </c>
      <c r="AU9" s="67" t="e">
        <f>VLOOKUP($AP9,TableHandbook[],AU$2,FALSE)</f>
        <v>#N/A</v>
      </c>
      <c r="AV9" s="2" t="e">
        <f>VLOOKUP($AP9,TableHandbook[],AV$2,FALSE)</f>
        <v>#N/A</v>
      </c>
      <c r="AW9" s="2" t="e">
        <f>VLOOKUP($AP9,TableHandbook[],AW$2,FALSE)</f>
        <v>#N/A</v>
      </c>
      <c r="AX9" s="2" t="e">
        <f>VLOOKUP($AP9,TableHandbook[],AX$2,FALSE)</f>
        <v>#N/A</v>
      </c>
      <c r="AY9" s="64" t="e">
        <f>VLOOKUP($AP9,TableHandbook[],AY$2,FALSE)</f>
        <v>#N/A</v>
      </c>
      <c r="BE9" s="5"/>
      <c r="BF9" s="5"/>
    </row>
    <row r="10" spans="1:59" x14ac:dyDescent="0.25">
      <c r="A10" s="8" t="s">
        <v>83</v>
      </c>
      <c r="B10" s="121" t="s">
        <v>84</v>
      </c>
      <c r="C10" s="121" t="s">
        <v>65</v>
      </c>
      <c r="D10" s="122">
        <v>43831</v>
      </c>
      <c r="E10" s="121">
        <v>2</v>
      </c>
      <c r="F10" s="122">
        <v>44197</v>
      </c>
      <c r="G10" s="98" t="s">
        <v>82</v>
      </c>
      <c r="J10"/>
      <c r="K10" s="21">
        <v>8</v>
      </c>
      <c r="L10" s="78" t="s">
        <v>61</v>
      </c>
      <c r="M10" s="134" t="s">
        <v>85</v>
      </c>
      <c r="N10" s="78" t="s">
        <v>59</v>
      </c>
      <c r="O10" s="85"/>
      <c r="P10" s="78" t="s">
        <v>61</v>
      </c>
      <c r="Q10" s="134" t="s">
        <v>73</v>
      </c>
      <c r="R10" s="78" t="s">
        <v>59</v>
      </c>
      <c r="S10" s="134" t="s">
        <v>72</v>
      </c>
      <c r="T10" s="78" t="s">
        <v>61</v>
      </c>
      <c r="U10" s="134" t="s">
        <v>75</v>
      </c>
      <c r="V10" s="78" t="s">
        <v>59</v>
      </c>
      <c r="W10" s="134" t="s">
        <v>74</v>
      </c>
      <c r="AP10" s="62" t="e">
        <f>IF(HLOOKUP($AP$1,RangeUnitsetsCourse,K10,FALSE)="Spec",HLOOKUP($AP$1,RangeSpecSets,#REF!,FALSE),HLOOKUP($AP$1,RangeUnitsetsCourse,K10,FALSE))</f>
        <v>#N/A</v>
      </c>
      <c r="AQ10" s="5" t="e">
        <f>VLOOKUP($AP10,TableHandbook[],AQ$2,FALSE)</f>
        <v>#N/A</v>
      </c>
      <c r="AR10" t="e">
        <f>VLOOKUP($AP10,TableHandbook[],AR$2,FALSE)</f>
        <v>#N/A</v>
      </c>
      <c r="AS10" s="4" t="e">
        <f>VLOOKUP($AP10,TableHandbook[],AS$2,FALSE)</f>
        <v>#N/A</v>
      </c>
      <c r="AT10" s="63" t="e">
        <f>VLOOKUP($AP10,TableHandbook[],AT$2,FALSE)</f>
        <v>#N/A</v>
      </c>
      <c r="AU10" s="67" t="e">
        <f>VLOOKUP($AP10,TableHandbook[],AU$2,FALSE)</f>
        <v>#N/A</v>
      </c>
      <c r="AV10" s="2" t="e">
        <f>VLOOKUP($AP10,TableHandbook[],AV$2,FALSE)</f>
        <v>#N/A</v>
      </c>
      <c r="AW10" s="2" t="e">
        <f>VLOOKUP($AP10,TableHandbook[],AW$2,FALSE)</f>
        <v>#N/A</v>
      </c>
      <c r="AX10" s="2" t="e">
        <f>VLOOKUP($AP10,TableHandbook[],AX$2,FALSE)</f>
        <v>#N/A</v>
      </c>
      <c r="AY10" s="64" t="e">
        <f>VLOOKUP($AP10,TableHandbook[],AY$2,FALSE)</f>
        <v>#N/A</v>
      </c>
      <c r="BA10" s="32"/>
      <c r="BE10" s="5"/>
      <c r="BF10" s="5"/>
    </row>
    <row r="11" spans="1:59" x14ac:dyDescent="0.25">
      <c r="A11" s="8" t="s">
        <v>14</v>
      </c>
      <c r="B11" s="121" t="s">
        <v>86</v>
      </c>
      <c r="C11" s="121" t="s">
        <v>65</v>
      </c>
      <c r="D11" s="122">
        <v>43831</v>
      </c>
      <c r="E11" s="121">
        <v>1</v>
      </c>
      <c r="F11" s="122">
        <v>43831</v>
      </c>
      <c r="G11" s="98" t="s">
        <v>82</v>
      </c>
      <c r="J11"/>
      <c r="K11" s="21">
        <v>9</v>
      </c>
      <c r="L11" s="78" t="s">
        <v>61</v>
      </c>
      <c r="M11" s="100" t="s">
        <v>77</v>
      </c>
      <c r="N11" s="79" t="s">
        <v>59</v>
      </c>
      <c r="O11" s="85"/>
      <c r="P11" s="78" t="s">
        <v>61</v>
      </c>
      <c r="Q11" s="100" t="s">
        <v>77</v>
      </c>
      <c r="R11" s="79" t="s">
        <v>59</v>
      </c>
      <c r="S11" s="132" t="s">
        <v>77</v>
      </c>
      <c r="T11" s="78" t="s">
        <v>61</v>
      </c>
      <c r="U11" s="100" t="s">
        <v>77</v>
      </c>
      <c r="V11" s="79" t="s">
        <v>59</v>
      </c>
      <c r="W11" s="132" t="s">
        <v>77</v>
      </c>
      <c r="AP11" s="74" t="e">
        <f>IF(HLOOKUP($AP$1,RangeUnitsetsCourse,K11,FALSE)="Spec Unit",HLOOKUP($AP$2,RangeSpecSets,#REF!,FALSE),HLOOKUP($AP$1,RangeUnitsetsCourse,K11,FALSE))</f>
        <v>#N/A</v>
      </c>
      <c r="AQ11" s="35" t="e">
        <f>VLOOKUP($AP11,TableHandbook[],AQ$2,FALSE)</f>
        <v>#N/A</v>
      </c>
      <c r="AR11" s="36" t="e">
        <f>VLOOKUP($AP11,TableHandbook[],AR$2,FALSE)</f>
        <v>#N/A</v>
      </c>
      <c r="AS11" s="34" t="e">
        <f>VLOOKUP($AP11,TableHandbook[],AS$2,FALSE)</f>
        <v>#N/A</v>
      </c>
      <c r="AT11" s="37" t="e">
        <f>VLOOKUP($AP11,TableHandbook[],AT$2,FALSE)</f>
        <v>#N/A</v>
      </c>
      <c r="AU11" s="68" t="e">
        <f>VLOOKUP($AP11,TableHandbook[],AU$2,FALSE)</f>
        <v>#N/A</v>
      </c>
      <c r="AV11" s="65" t="e">
        <f>VLOOKUP($AP11,TableHandbook[],AV$2,FALSE)</f>
        <v>#N/A</v>
      </c>
      <c r="AW11" s="65" t="e">
        <f>VLOOKUP($AP11,TableHandbook[],AW$2,FALSE)</f>
        <v>#N/A</v>
      </c>
      <c r="AX11" s="65" t="e">
        <f>VLOOKUP($AP11,TableHandbook[],AX$2,FALSE)</f>
        <v>#N/A</v>
      </c>
      <c r="AY11" s="66" t="e">
        <f>VLOOKUP($AP11,TableHandbook[],AY$2,FALSE)</f>
        <v>#N/A</v>
      </c>
      <c r="BA11" s="38"/>
      <c r="BE11" s="5"/>
      <c r="BF11" s="5"/>
    </row>
    <row r="12" spans="1:59" x14ac:dyDescent="0.25">
      <c r="A12" s="8"/>
      <c r="B12" s="121"/>
      <c r="C12" s="121"/>
      <c r="D12" s="5"/>
      <c r="E12" s="122"/>
      <c r="F12" s="122"/>
      <c r="K12" s="21">
        <v>10</v>
      </c>
      <c r="L12" s="80" t="s">
        <v>87</v>
      </c>
      <c r="M12" s="95" t="s">
        <v>88</v>
      </c>
      <c r="N12" s="80" t="s">
        <v>89</v>
      </c>
      <c r="O12" s="84"/>
      <c r="P12" s="80" t="s">
        <v>87</v>
      </c>
      <c r="Q12" s="95" t="s">
        <v>90</v>
      </c>
      <c r="R12" s="80" t="s">
        <v>89</v>
      </c>
      <c r="S12" s="95" t="s">
        <v>91</v>
      </c>
      <c r="T12" s="80" t="s">
        <v>87</v>
      </c>
      <c r="U12" s="95" t="s">
        <v>92</v>
      </c>
      <c r="V12" s="80" t="s">
        <v>89</v>
      </c>
      <c r="W12" s="95" t="s">
        <v>93</v>
      </c>
      <c r="AP12" s="56" t="e">
        <f>IF(HLOOKUP($AP$1,RangeUnitsetsCourse,K12,FALSE)="Spec",HLOOKUP($AP$1,RangeSpecSets,$K$35,FALSE),HLOOKUP($AP$1,RangeUnitsetsCourse,K12,FALSE))</f>
        <v>#N/A</v>
      </c>
      <c r="AQ12" s="57" t="e">
        <f>VLOOKUP($AP12,TableHandbook[],AQ$2,FALSE)</f>
        <v>#N/A</v>
      </c>
      <c r="AR12" s="33" t="e">
        <f>VLOOKUP($AP12,TableHandbook[],AR$2,FALSE)</f>
        <v>#N/A</v>
      </c>
      <c r="AS12" s="58" t="e">
        <f>VLOOKUP($AP12,TableHandbook[],AS$2,FALSE)</f>
        <v>#N/A</v>
      </c>
      <c r="AT12" s="59" t="e">
        <f>VLOOKUP($AP12,TableHandbook[],AT$2,FALSE)</f>
        <v>#N/A</v>
      </c>
      <c r="AU12" s="26" t="e">
        <f>VLOOKUP($AP12,TableHandbook[],AU$2,FALSE)</f>
        <v>#N/A</v>
      </c>
      <c r="AV12" s="60" t="e">
        <f>VLOOKUP($AP12,TableHandbook[],AV$2,FALSE)</f>
        <v>#N/A</v>
      </c>
      <c r="AW12" s="60" t="e">
        <f>VLOOKUP($AP12,TableHandbook[],AW$2,FALSE)</f>
        <v>#N/A</v>
      </c>
      <c r="AX12" s="60" t="e">
        <f>VLOOKUP($AP12,TableHandbook[],AX$2,FALSE)</f>
        <v>#N/A</v>
      </c>
      <c r="AY12" s="61" t="e">
        <f>VLOOKUP($AP12,TableHandbook[],AY$2,FALSE)</f>
        <v>#N/A</v>
      </c>
      <c r="BE12" s="5"/>
      <c r="BF12" s="5"/>
    </row>
    <row r="13" spans="1:59" x14ac:dyDescent="0.25">
      <c r="A13" s="138" t="s">
        <v>94</v>
      </c>
      <c r="K13" s="21">
        <v>11</v>
      </c>
      <c r="L13" s="81" t="s">
        <v>87</v>
      </c>
      <c r="M13" s="94" t="s">
        <v>95</v>
      </c>
      <c r="N13" s="81" t="s">
        <v>89</v>
      </c>
      <c r="O13" s="85"/>
      <c r="P13" s="81" t="s">
        <v>87</v>
      </c>
      <c r="Q13" s="94" t="s">
        <v>96</v>
      </c>
      <c r="R13" s="81" t="s">
        <v>89</v>
      </c>
      <c r="S13" s="94" t="s">
        <v>97</v>
      </c>
      <c r="T13" s="81" t="s">
        <v>87</v>
      </c>
      <c r="U13" s="94" t="s">
        <v>98</v>
      </c>
      <c r="V13" s="81" t="s">
        <v>89</v>
      </c>
      <c r="W13" s="94" t="s">
        <v>99</v>
      </c>
      <c r="AP13" s="62" t="e">
        <f>IF(HLOOKUP($AP$1,RangeUnitsetsCourse,K13,FALSE)="Spec",HLOOKUP($AP$1,RangeSpecSets,$K$35,FALSE),HLOOKUP($AP$1,RangeUnitsetsCourse,K13,FALSE))</f>
        <v>#N/A</v>
      </c>
      <c r="AQ13" s="5" t="e">
        <f>VLOOKUP($AP13,TableHandbook[],AQ$2,FALSE)</f>
        <v>#N/A</v>
      </c>
      <c r="AR13" t="e">
        <f>VLOOKUP($AP13,TableHandbook[],AR$2,FALSE)</f>
        <v>#N/A</v>
      </c>
      <c r="AS13" s="4" t="e">
        <f>VLOOKUP($AP13,TableHandbook[],AS$2,FALSE)</f>
        <v>#N/A</v>
      </c>
      <c r="AT13" s="63" t="e">
        <f>VLOOKUP($AP13,TableHandbook[],AT$2,FALSE)</f>
        <v>#N/A</v>
      </c>
      <c r="AU13" s="67" t="e">
        <f>VLOOKUP($AP13,TableHandbook[],AU$2,FALSE)</f>
        <v>#N/A</v>
      </c>
      <c r="AV13" s="2" t="e">
        <f>VLOOKUP($AP13,TableHandbook[],AV$2,FALSE)</f>
        <v>#N/A</v>
      </c>
      <c r="AW13" s="2" t="e">
        <f>VLOOKUP($AP13,TableHandbook[],AW$2,FALSE)</f>
        <v>#N/A</v>
      </c>
      <c r="AX13" s="2" t="e">
        <f>VLOOKUP($AP13,TableHandbook[],AX$2,FALSE)</f>
        <v>#N/A</v>
      </c>
      <c r="AY13" s="64" t="e">
        <f>VLOOKUP($AP13,TableHandbook[],AY$2,FALSE)</f>
        <v>#N/A</v>
      </c>
      <c r="BE13" s="5"/>
      <c r="BF13" s="5"/>
    </row>
    <row r="14" spans="1:59" x14ac:dyDescent="0.25">
      <c r="A14" s="16" t="s">
        <v>100</v>
      </c>
      <c r="B14" s="19" t="s">
        <v>101</v>
      </c>
      <c r="C14" s="8" t="s">
        <v>102</v>
      </c>
      <c r="J14"/>
      <c r="K14" s="21">
        <v>12</v>
      </c>
      <c r="L14" s="81" t="s">
        <v>87</v>
      </c>
      <c r="M14" s="134" t="s">
        <v>103</v>
      </c>
      <c r="N14" s="81" t="s">
        <v>89</v>
      </c>
      <c r="O14" s="85"/>
      <c r="P14" s="81" t="s">
        <v>87</v>
      </c>
      <c r="Q14" s="134" t="s">
        <v>104</v>
      </c>
      <c r="R14" s="81" t="s">
        <v>89</v>
      </c>
      <c r="S14" s="100" t="s">
        <v>105</v>
      </c>
      <c r="T14" s="81" t="s">
        <v>87</v>
      </c>
      <c r="U14" s="134" t="s">
        <v>106</v>
      </c>
      <c r="V14" s="81" t="s">
        <v>89</v>
      </c>
      <c r="W14" s="100" t="s">
        <v>105</v>
      </c>
      <c r="AP14" s="62" t="e">
        <f>IF(HLOOKUP($AP$1,RangeUnitsetsCourse,K14,FALSE)="Spec",HLOOKUP($AP$1,RangeSpecSets,$K$35,FALSE),HLOOKUP($AP$1,RangeUnitsetsCourse,K14,FALSE))</f>
        <v>#N/A</v>
      </c>
      <c r="AQ14" s="5" t="e">
        <f>VLOOKUP($AP14,TableHandbook[],AQ$2,FALSE)</f>
        <v>#N/A</v>
      </c>
      <c r="AR14" t="e">
        <f>VLOOKUP($AP14,TableHandbook[],AR$2,FALSE)</f>
        <v>#N/A</v>
      </c>
      <c r="AS14" s="4" t="e">
        <f>VLOOKUP($AP14,TableHandbook[],AS$2,FALSE)</f>
        <v>#N/A</v>
      </c>
      <c r="AT14" s="63" t="e">
        <f>VLOOKUP($AP14,TableHandbook[],AT$2,FALSE)</f>
        <v>#N/A</v>
      </c>
      <c r="AU14" s="67" t="e">
        <f>VLOOKUP($AP14,TableHandbook[],AU$2,FALSE)</f>
        <v>#N/A</v>
      </c>
      <c r="AV14" s="2" t="e">
        <f>VLOOKUP($AP14,TableHandbook[],AV$2,FALSE)</f>
        <v>#N/A</v>
      </c>
      <c r="AW14" s="2" t="e">
        <f>VLOOKUP($AP14,TableHandbook[],AW$2,FALSE)</f>
        <v>#N/A</v>
      </c>
      <c r="AX14" s="2" t="e">
        <f>VLOOKUP($AP14,TableHandbook[],AX$2,FALSE)</f>
        <v>#N/A</v>
      </c>
      <c r="AY14" s="64" t="e">
        <f>VLOOKUP($AP14,TableHandbook[],AY$2,FALSE)</f>
        <v>#N/A</v>
      </c>
      <c r="BE14" s="5"/>
      <c r="BF14" s="5"/>
    </row>
    <row r="15" spans="1:59" x14ac:dyDescent="0.25">
      <c r="A15" s="8" t="s">
        <v>17</v>
      </c>
      <c r="B15" s="9" t="s">
        <v>107</v>
      </c>
      <c r="C15" s="9" t="s">
        <v>108</v>
      </c>
      <c r="K15" s="21">
        <v>13</v>
      </c>
      <c r="L15" s="81" t="s">
        <v>87</v>
      </c>
      <c r="M15" s="100" t="s">
        <v>109</v>
      </c>
      <c r="N15" s="81" t="s">
        <v>89</v>
      </c>
      <c r="O15" s="85"/>
      <c r="P15" s="81" t="s">
        <v>87</v>
      </c>
      <c r="Q15" s="100" t="s">
        <v>109</v>
      </c>
      <c r="R15" s="81" t="s">
        <v>89</v>
      </c>
      <c r="S15" s="100" t="s">
        <v>109</v>
      </c>
      <c r="T15" s="81" t="s">
        <v>87</v>
      </c>
      <c r="U15" s="100" t="s">
        <v>109</v>
      </c>
      <c r="V15" s="81" t="s">
        <v>89</v>
      </c>
      <c r="W15" s="100" t="s">
        <v>109</v>
      </c>
      <c r="AP15" s="74" t="e">
        <f>IF(HLOOKUP($AP$1,RangeUnitsetsCourse,K15,FALSE)="Spec Unit",HLOOKUP($AP$2,RangeSpecSets,$K$35,FALSE),HLOOKUP($AP$1,RangeUnitsetsCourse,K15,FALSE))</f>
        <v>#N/A</v>
      </c>
      <c r="AQ15" s="35" t="e">
        <f>VLOOKUP($AP15,TableHandbook[],AQ$2,FALSE)</f>
        <v>#N/A</v>
      </c>
      <c r="AR15" s="36" t="e">
        <f>VLOOKUP($AP15,TableHandbook[],AR$2,FALSE)</f>
        <v>#N/A</v>
      </c>
      <c r="AS15" s="34" t="e">
        <f>VLOOKUP($AP15,TableHandbook[],AS$2,FALSE)</f>
        <v>#N/A</v>
      </c>
      <c r="AT15" s="37" t="e">
        <f>VLOOKUP($AP15,TableHandbook[],AT$2,FALSE)</f>
        <v>#N/A</v>
      </c>
      <c r="AU15" s="68" t="e">
        <f>VLOOKUP($AP15,TableHandbook[],AU$2,FALSE)</f>
        <v>#N/A</v>
      </c>
      <c r="AV15" s="65" t="e">
        <f>VLOOKUP($AP15,TableHandbook[],AV$2,FALSE)</f>
        <v>#N/A</v>
      </c>
      <c r="AW15" s="65" t="e">
        <f>VLOOKUP($AP15,TableHandbook[],AW$2,FALSE)</f>
        <v>#N/A</v>
      </c>
      <c r="AX15" s="65" t="e">
        <f>VLOOKUP($AP15,TableHandbook[],AX$2,FALSE)</f>
        <v>#N/A</v>
      </c>
      <c r="AY15" s="66" t="e">
        <f>VLOOKUP($AP15,TableHandbook[],AY$2,FALSE)</f>
        <v>#N/A</v>
      </c>
      <c r="AZ15" s="8"/>
      <c r="BA15" s="5"/>
      <c r="BE15" s="5"/>
      <c r="BF15" s="5"/>
    </row>
    <row r="16" spans="1:59" x14ac:dyDescent="0.25">
      <c r="A16" s="8" t="s">
        <v>110</v>
      </c>
      <c r="B16" s="9" t="s">
        <v>108</v>
      </c>
      <c r="C16" s="9" t="s">
        <v>107</v>
      </c>
      <c r="I16" s="20"/>
      <c r="K16" s="21">
        <v>14</v>
      </c>
      <c r="L16" s="81" t="s">
        <v>89</v>
      </c>
      <c r="M16" s="94" t="s">
        <v>111</v>
      </c>
      <c r="N16" s="81" t="s">
        <v>87</v>
      </c>
      <c r="O16" s="85"/>
      <c r="P16" s="81" t="s">
        <v>89</v>
      </c>
      <c r="Q16" s="94" t="s">
        <v>91</v>
      </c>
      <c r="R16" s="81" t="s">
        <v>87</v>
      </c>
      <c r="S16" s="94" t="s">
        <v>90</v>
      </c>
      <c r="T16" s="81" t="s">
        <v>89</v>
      </c>
      <c r="U16" s="94" t="s">
        <v>93</v>
      </c>
      <c r="V16" s="81" t="s">
        <v>87</v>
      </c>
      <c r="W16" s="94" t="s">
        <v>92</v>
      </c>
      <c r="AP16" s="56" t="e">
        <f>IF(HLOOKUP($AP$1,RangeUnitsetsCourse,K16,FALSE)="Spec",HLOOKUP($AP$1,RangeSpecSets,$K$36,FALSE),HLOOKUP($AP$1,RangeUnitsetsCourse,K16,FALSE))</f>
        <v>#N/A</v>
      </c>
      <c r="AQ16" s="57" t="e">
        <f>VLOOKUP($AP16,TableHandbook[],AQ$2,FALSE)</f>
        <v>#N/A</v>
      </c>
      <c r="AR16" s="33" t="e">
        <f>VLOOKUP($AP16,TableHandbook[],AR$2,FALSE)</f>
        <v>#N/A</v>
      </c>
      <c r="AS16" s="58" t="e">
        <f>VLOOKUP($AP16,TableHandbook[],AS$2,FALSE)</f>
        <v>#N/A</v>
      </c>
      <c r="AT16" s="59" t="e">
        <f>VLOOKUP($AP16,TableHandbook[],AT$2,FALSE)</f>
        <v>#N/A</v>
      </c>
      <c r="AU16" s="26" t="e">
        <f>VLOOKUP($AP16,TableHandbook[],AU$2,FALSE)</f>
        <v>#N/A</v>
      </c>
      <c r="AV16" s="60" t="e">
        <f>VLOOKUP($AP16,TableHandbook[],AV$2,FALSE)</f>
        <v>#N/A</v>
      </c>
      <c r="AW16" s="60" t="e">
        <f>VLOOKUP($AP16,TableHandbook[],AW$2,FALSE)</f>
        <v>#N/A</v>
      </c>
      <c r="AX16" s="60" t="e">
        <f>VLOOKUP($AP16,TableHandbook[],AX$2,FALSE)</f>
        <v>#N/A</v>
      </c>
      <c r="AY16" s="61" t="e">
        <f>VLOOKUP($AP16,TableHandbook[],AY$2,FALSE)</f>
        <v>#N/A</v>
      </c>
      <c r="AZ16" s="8"/>
      <c r="BA16" s="5"/>
      <c r="BB16" s="4"/>
      <c r="BC16" s="5"/>
      <c r="BD16" s="7"/>
      <c r="BE16" s="5"/>
      <c r="BF16" s="5"/>
    </row>
    <row r="17" spans="1:58" x14ac:dyDescent="0.25">
      <c r="E17" s="20"/>
      <c r="K17" s="21">
        <v>15</v>
      </c>
      <c r="L17" s="81" t="s">
        <v>89</v>
      </c>
      <c r="M17" s="94" t="s">
        <v>112</v>
      </c>
      <c r="N17" s="81" t="s">
        <v>87</v>
      </c>
      <c r="O17" s="85"/>
      <c r="P17" s="81" t="s">
        <v>89</v>
      </c>
      <c r="Q17" s="94" t="s">
        <v>97</v>
      </c>
      <c r="R17" s="81" t="s">
        <v>87</v>
      </c>
      <c r="S17" s="94" t="s">
        <v>96</v>
      </c>
      <c r="T17" s="81" t="s">
        <v>89</v>
      </c>
      <c r="U17" s="94" t="s">
        <v>99</v>
      </c>
      <c r="V17" s="81" t="s">
        <v>87</v>
      </c>
      <c r="W17" s="94" t="s">
        <v>98</v>
      </c>
      <c r="AP17" s="62" t="e">
        <f>IF(HLOOKUP($AP$1,RangeUnitsetsCourse,K17,FALSE)="Spec",HLOOKUP($AP$1,RangeSpecSets,$K$36,FALSE),HLOOKUP($AP$1,RangeUnitsetsCourse,K17,FALSE))</f>
        <v>#N/A</v>
      </c>
      <c r="AQ17" s="5" t="e">
        <f>VLOOKUP($AP17,TableHandbook[],AQ$2,FALSE)</f>
        <v>#N/A</v>
      </c>
      <c r="AR17" t="e">
        <f>VLOOKUP($AP17,TableHandbook[],AR$2,FALSE)</f>
        <v>#N/A</v>
      </c>
      <c r="AS17" s="4" t="e">
        <f>VLOOKUP($AP17,TableHandbook[],AS$2,FALSE)</f>
        <v>#N/A</v>
      </c>
      <c r="AT17" s="63" t="e">
        <f>VLOOKUP($AP17,TableHandbook[],AT$2,FALSE)</f>
        <v>#N/A</v>
      </c>
      <c r="AU17" s="67" t="e">
        <f>VLOOKUP($AP17,TableHandbook[],AU$2,FALSE)</f>
        <v>#N/A</v>
      </c>
      <c r="AV17" s="2" t="e">
        <f>VLOOKUP($AP17,TableHandbook[],AV$2,FALSE)</f>
        <v>#N/A</v>
      </c>
      <c r="AW17" s="2" t="e">
        <f>VLOOKUP($AP17,TableHandbook[],AW$2,FALSE)</f>
        <v>#N/A</v>
      </c>
      <c r="AX17" s="2" t="e">
        <f>VLOOKUP($AP17,TableHandbook[],AX$2,FALSE)</f>
        <v>#N/A</v>
      </c>
      <c r="AY17" s="64" t="e">
        <f>VLOOKUP($AP17,TableHandbook[],AY$2,FALSE)</f>
        <v>#N/A</v>
      </c>
      <c r="AZ17" s="8"/>
      <c r="BA17" s="5"/>
      <c r="BB17" s="4"/>
      <c r="BC17" s="5"/>
      <c r="BD17" s="7"/>
      <c r="BE17" s="5"/>
      <c r="BF17" s="5"/>
    </row>
    <row r="18" spans="1:58" x14ac:dyDescent="0.25">
      <c r="A18"/>
      <c r="B18"/>
      <c r="C18"/>
      <c r="D18"/>
      <c r="E18"/>
      <c r="F18"/>
      <c r="K18" s="21">
        <v>16</v>
      </c>
      <c r="L18" s="81" t="s">
        <v>89</v>
      </c>
      <c r="M18" s="100" t="s">
        <v>105</v>
      </c>
      <c r="N18" s="81" t="s">
        <v>87</v>
      </c>
      <c r="O18" s="85"/>
      <c r="P18" s="81" t="s">
        <v>89</v>
      </c>
      <c r="Q18" s="100" t="s">
        <v>105</v>
      </c>
      <c r="R18" s="81" t="s">
        <v>87</v>
      </c>
      <c r="S18" s="134" t="s">
        <v>104</v>
      </c>
      <c r="T18" s="81" t="s">
        <v>89</v>
      </c>
      <c r="U18" s="100" t="s">
        <v>105</v>
      </c>
      <c r="V18" s="81" t="s">
        <v>87</v>
      </c>
      <c r="W18" s="134" t="s">
        <v>106</v>
      </c>
      <c r="AP18" s="62" t="e">
        <f>IF(HLOOKUP($AP$1,RangeUnitsetsCourse,K18,FALSE)="Spec",HLOOKUP($AP$1,RangeSpecSets,$K$36,FALSE),HLOOKUP($AP$1,RangeUnitsetsCourse,K18,FALSE))</f>
        <v>#N/A</v>
      </c>
      <c r="AQ18" s="5" t="e">
        <f>VLOOKUP($AP18,TableHandbook[],AQ$2,FALSE)</f>
        <v>#N/A</v>
      </c>
      <c r="AR18" t="e">
        <f>VLOOKUP($AP18,TableHandbook[],AR$2,FALSE)</f>
        <v>#N/A</v>
      </c>
      <c r="AS18" s="4" t="e">
        <f>VLOOKUP($AP18,TableHandbook[],AS$2,FALSE)</f>
        <v>#N/A</v>
      </c>
      <c r="AT18" s="63" t="e">
        <f>VLOOKUP($AP18,TableHandbook[],AT$2,FALSE)</f>
        <v>#N/A</v>
      </c>
      <c r="AU18" s="67" t="e">
        <f>VLOOKUP($AP18,TableHandbook[],AU$2,FALSE)</f>
        <v>#N/A</v>
      </c>
      <c r="AV18" s="2" t="e">
        <f>VLOOKUP($AP18,TableHandbook[],AV$2,FALSE)</f>
        <v>#N/A</v>
      </c>
      <c r="AW18" s="2" t="e">
        <f>VLOOKUP($AP18,TableHandbook[],AW$2,FALSE)</f>
        <v>#N/A</v>
      </c>
      <c r="AX18" s="2" t="e">
        <f>VLOOKUP($AP18,TableHandbook[],AX$2,FALSE)</f>
        <v>#N/A</v>
      </c>
      <c r="AY18" s="64" t="e">
        <f>VLOOKUP($AP18,TableHandbook[],AY$2,FALSE)</f>
        <v>#N/A</v>
      </c>
      <c r="AZ18" s="8"/>
      <c r="BA18" s="5"/>
      <c r="BB18" s="4"/>
      <c r="BC18" s="5"/>
      <c r="BD18" s="7"/>
      <c r="BE18" s="5"/>
      <c r="BF18" s="5"/>
    </row>
    <row r="19" spans="1:58" x14ac:dyDescent="0.25">
      <c r="A19"/>
      <c r="B19"/>
      <c r="C19"/>
      <c r="D19"/>
      <c r="E19"/>
      <c r="F19"/>
      <c r="K19" s="21">
        <v>17</v>
      </c>
      <c r="L19" s="82" t="s">
        <v>89</v>
      </c>
      <c r="M19" s="100" t="s">
        <v>109</v>
      </c>
      <c r="N19" s="82" t="s">
        <v>87</v>
      </c>
      <c r="O19" s="85"/>
      <c r="P19" s="82" t="s">
        <v>89</v>
      </c>
      <c r="Q19" s="100" t="s">
        <v>109</v>
      </c>
      <c r="R19" s="82" t="s">
        <v>87</v>
      </c>
      <c r="S19" s="100" t="s">
        <v>109</v>
      </c>
      <c r="T19" s="82" t="s">
        <v>89</v>
      </c>
      <c r="U19" s="100" t="s">
        <v>109</v>
      </c>
      <c r="V19" s="82" t="s">
        <v>87</v>
      </c>
      <c r="W19" s="132" t="s">
        <v>109</v>
      </c>
      <c r="AP19" s="74" t="e">
        <f>IF(HLOOKUP($AP$1,RangeUnitsetsCourse,K19,FALSE)="Spec Unit",HLOOKUP($AP$2,RangeSpecSets,$K$36,FALSE),HLOOKUP($AP$1,RangeUnitsetsCourse,K19,FALSE))</f>
        <v>#N/A</v>
      </c>
      <c r="AQ19" s="35" t="e">
        <f>VLOOKUP($AP19,TableHandbook[],AQ$2,FALSE)</f>
        <v>#N/A</v>
      </c>
      <c r="AR19" s="36" t="e">
        <f>VLOOKUP($AP19,TableHandbook[],AR$2,FALSE)</f>
        <v>#N/A</v>
      </c>
      <c r="AS19" s="34" t="e">
        <f>VLOOKUP($AP19,TableHandbook[],AS$2,FALSE)</f>
        <v>#N/A</v>
      </c>
      <c r="AT19" s="37" t="e">
        <f>VLOOKUP($AP19,TableHandbook[],AT$2,FALSE)</f>
        <v>#N/A</v>
      </c>
      <c r="AU19" s="68" t="e">
        <f>VLOOKUP($AP19,TableHandbook[],AU$2,FALSE)</f>
        <v>#N/A</v>
      </c>
      <c r="AV19" s="65" t="e">
        <f>VLOOKUP($AP19,TableHandbook[],AV$2,FALSE)</f>
        <v>#N/A</v>
      </c>
      <c r="AW19" s="65" t="e">
        <f>VLOOKUP($AP19,TableHandbook[],AW$2,FALSE)</f>
        <v>#N/A</v>
      </c>
      <c r="AX19" s="65" t="e">
        <f>VLOOKUP($AP19,TableHandbook[],AX$2,FALSE)</f>
        <v>#N/A</v>
      </c>
      <c r="AY19" s="66" t="e">
        <f>VLOOKUP($AP19,TableHandbook[],AY$2,FALSE)</f>
        <v>#N/A</v>
      </c>
      <c r="BB19" s="4"/>
      <c r="BC19" s="5"/>
      <c r="BD19" s="6"/>
      <c r="BE19" s="5"/>
      <c r="BF19" s="24"/>
    </row>
    <row r="20" spans="1:58" x14ac:dyDescent="0.25">
      <c r="A20" s="145"/>
      <c r="B20"/>
      <c r="C20"/>
      <c r="D20"/>
      <c r="E20"/>
      <c r="F20"/>
      <c r="K20" s="21">
        <v>18</v>
      </c>
      <c r="L20" s="80" t="s">
        <v>113</v>
      </c>
      <c r="M20" s="95" t="s">
        <v>114</v>
      </c>
      <c r="N20" s="80" t="s">
        <v>115</v>
      </c>
      <c r="O20" s="84"/>
      <c r="P20" s="80" t="s">
        <v>113</v>
      </c>
      <c r="Q20" s="95" t="s">
        <v>116</v>
      </c>
      <c r="R20" s="80" t="s">
        <v>115</v>
      </c>
      <c r="S20" s="95" t="s">
        <v>117</v>
      </c>
      <c r="T20" s="80" t="s">
        <v>113</v>
      </c>
      <c r="U20" s="95" t="s">
        <v>118</v>
      </c>
      <c r="V20" s="80" t="s">
        <v>115</v>
      </c>
      <c r="W20" s="95" t="s">
        <v>119</v>
      </c>
      <c r="AP20" s="56" t="e">
        <f>IF(HLOOKUP($AP$1,RangeUnitsetsCourse,K20,FALSE)="Spec",HLOOKUP($AP$1,RangeSpecSets,$K$33,FALSE),HLOOKUP($AP$1,RangeUnitsetsCourse,K20,FALSE))</f>
        <v>#N/A</v>
      </c>
      <c r="AQ20" s="57" t="e">
        <f>VLOOKUP($AP20,TableHandbook[],AQ$2,FALSE)</f>
        <v>#N/A</v>
      </c>
      <c r="AR20" s="33" t="e">
        <f>VLOOKUP($AP20,TableHandbook[],AR$2,FALSE)</f>
        <v>#N/A</v>
      </c>
      <c r="AS20" s="58" t="e">
        <f>VLOOKUP($AP20,TableHandbook[],AS$2,FALSE)</f>
        <v>#N/A</v>
      </c>
      <c r="AT20" s="59" t="e">
        <f>VLOOKUP($AP20,TableHandbook[],AT$2,FALSE)</f>
        <v>#N/A</v>
      </c>
      <c r="AU20" s="26" t="e">
        <f>VLOOKUP($AP20,TableHandbook[],AU$2,FALSE)</f>
        <v>#N/A</v>
      </c>
      <c r="AV20" s="60" t="e">
        <f>VLOOKUP($AP20,TableHandbook[],AV$2,FALSE)</f>
        <v>#N/A</v>
      </c>
      <c r="AW20" s="60" t="e">
        <f>VLOOKUP($AP20,TableHandbook[],AW$2,FALSE)</f>
        <v>#N/A</v>
      </c>
      <c r="AX20" s="60" t="e">
        <f>VLOOKUP($AP20,TableHandbook[],AX$2,FALSE)</f>
        <v>#N/A</v>
      </c>
      <c r="AY20" s="61" t="e">
        <f>VLOOKUP($AP20,TableHandbook[],AY$2,FALSE)</f>
        <v>#N/A</v>
      </c>
    </row>
    <row r="21" spans="1:58" x14ac:dyDescent="0.25">
      <c r="A21"/>
      <c r="B21"/>
      <c r="C21"/>
      <c r="D21"/>
      <c r="E21"/>
      <c r="F21"/>
      <c r="I21"/>
      <c r="K21" s="21">
        <v>19</v>
      </c>
      <c r="L21" s="81" t="s">
        <v>113</v>
      </c>
      <c r="M21" s="94" t="s">
        <v>120</v>
      </c>
      <c r="N21" s="81" t="s">
        <v>115</v>
      </c>
      <c r="O21" s="85"/>
      <c r="P21" s="81" t="s">
        <v>113</v>
      </c>
      <c r="Q21" s="94" t="s">
        <v>121</v>
      </c>
      <c r="R21" s="81" t="s">
        <v>115</v>
      </c>
      <c r="S21" s="94" t="s">
        <v>122</v>
      </c>
      <c r="T21" s="81" t="s">
        <v>113</v>
      </c>
      <c r="U21" s="94" t="s">
        <v>123</v>
      </c>
      <c r="V21" s="81" t="s">
        <v>115</v>
      </c>
      <c r="W21" s="94" t="s">
        <v>124</v>
      </c>
      <c r="AP21" s="62" t="e">
        <f>IF(HLOOKUP($AP$1,RangeUnitsetsCourse,K21,FALSE)="Spec",HLOOKUP($AP$1,RangeSpecSets,$K$33,FALSE),HLOOKUP($AP$1,RangeUnitsetsCourse,K21,FALSE))</f>
        <v>#N/A</v>
      </c>
      <c r="AQ21" s="5" t="e">
        <f>VLOOKUP($AP21,TableHandbook[],AQ$2,FALSE)</f>
        <v>#N/A</v>
      </c>
      <c r="AR21" t="e">
        <f>VLOOKUP($AP21,TableHandbook[],AR$2,FALSE)</f>
        <v>#N/A</v>
      </c>
      <c r="AS21" s="4" t="e">
        <f>VLOOKUP($AP21,TableHandbook[],AS$2,FALSE)</f>
        <v>#N/A</v>
      </c>
      <c r="AT21" s="63" t="e">
        <f>VLOOKUP($AP21,TableHandbook[],AT$2,FALSE)</f>
        <v>#N/A</v>
      </c>
      <c r="AU21" s="67" t="e">
        <f>VLOOKUP($AP21,TableHandbook[],AU$2,FALSE)</f>
        <v>#N/A</v>
      </c>
      <c r="AV21" s="2" t="e">
        <f>VLOOKUP($AP21,TableHandbook[],AV$2,FALSE)</f>
        <v>#N/A</v>
      </c>
      <c r="AW21" s="2" t="e">
        <f>VLOOKUP($AP21,TableHandbook[],AW$2,FALSE)</f>
        <v>#N/A</v>
      </c>
      <c r="AX21" s="2" t="e">
        <f>VLOOKUP($AP21,TableHandbook[],AX$2,FALSE)</f>
        <v>#N/A</v>
      </c>
      <c r="AY21" s="64" t="e">
        <f>VLOOKUP($AP21,TableHandbook[],AY$2,FALSE)</f>
        <v>#N/A</v>
      </c>
    </row>
    <row r="22" spans="1:58" x14ac:dyDescent="0.25">
      <c r="A22" s="150" t="s">
        <v>125</v>
      </c>
      <c r="B22" s="119">
        <v>45548</v>
      </c>
      <c r="C22"/>
      <c r="D22"/>
      <c r="E22"/>
      <c r="F22"/>
      <c r="I22"/>
      <c r="J22" s="164" t="s">
        <v>126</v>
      </c>
      <c r="K22" s="21">
        <v>20</v>
      </c>
      <c r="L22" s="81" t="s">
        <v>113</v>
      </c>
      <c r="M22" s="94" t="s">
        <v>127</v>
      </c>
      <c r="N22" s="81" t="s">
        <v>115</v>
      </c>
      <c r="O22" s="85"/>
      <c r="P22" s="81" t="s">
        <v>113</v>
      </c>
      <c r="Q22" s="100" t="s">
        <v>109</v>
      </c>
      <c r="R22" s="81" t="s">
        <v>115</v>
      </c>
      <c r="S22" s="123" t="s">
        <v>128</v>
      </c>
      <c r="T22" s="81" t="s">
        <v>113</v>
      </c>
      <c r="U22" s="100" t="s">
        <v>109</v>
      </c>
      <c r="V22" s="81" t="s">
        <v>115</v>
      </c>
      <c r="W22" s="123" t="s">
        <v>128</v>
      </c>
      <c r="AP22" s="62" t="e">
        <f>IF(HLOOKUP($AP$1,RangeUnitsetsCourse,K22,FALSE)="Spec",HLOOKUP($AP$1,RangeSpecSets,$K$33,FALSE),HLOOKUP($AP$1,RangeUnitsetsCourse,K22,FALSE))</f>
        <v>#N/A</v>
      </c>
      <c r="AQ22" s="5" t="e">
        <f>VLOOKUP($AP22,TableHandbook[],AQ$2,FALSE)</f>
        <v>#N/A</v>
      </c>
      <c r="AR22" t="e">
        <f>VLOOKUP($AP22,TableHandbook[],AR$2,FALSE)</f>
        <v>#N/A</v>
      </c>
      <c r="AS22" s="4" t="e">
        <f>VLOOKUP($AP22,TableHandbook[],AS$2,FALSE)</f>
        <v>#N/A</v>
      </c>
      <c r="AT22" s="63" t="e">
        <f>VLOOKUP($AP22,TableHandbook[],AT$2,FALSE)</f>
        <v>#N/A</v>
      </c>
      <c r="AU22" s="67" t="e">
        <f>VLOOKUP($AP22,TableHandbook[],AU$2,FALSE)</f>
        <v>#N/A</v>
      </c>
      <c r="AV22" s="2" t="e">
        <f>VLOOKUP($AP22,TableHandbook[],AV$2,FALSE)</f>
        <v>#N/A</v>
      </c>
      <c r="AW22" s="2" t="e">
        <f>VLOOKUP($AP22,TableHandbook[],AW$2,FALSE)</f>
        <v>#N/A</v>
      </c>
      <c r="AX22" s="2" t="e">
        <f>VLOOKUP($AP22,TableHandbook[],AX$2,FALSE)</f>
        <v>#N/A</v>
      </c>
      <c r="AY22" s="64" t="e">
        <f>VLOOKUP($AP22,TableHandbook[],AY$2,FALSE)</f>
        <v>#N/A</v>
      </c>
    </row>
    <row r="23" spans="1:58" x14ac:dyDescent="0.25">
      <c r="A23" s="150" t="s">
        <v>129</v>
      </c>
      <c r="B23" s="119">
        <v>45548</v>
      </c>
      <c r="C23"/>
      <c r="D23"/>
      <c r="E23"/>
      <c r="F23"/>
      <c r="G23"/>
      <c r="H23"/>
      <c r="I23"/>
      <c r="K23" s="21">
        <v>21</v>
      </c>
      <c r="L23" s="81" t="s">
        <v>113</v>
      </c>
      <c r="M23" s="100" t="s">
        <v>109</v>
      </c>
      <c r="N23" s="81" t="s">
        <v>115</v>
      </c>
      <c r="O23" s="85"/>
      <c r="P23" s="81" t="s">
        <v>113</v>
      </c>
      <c r="Q23" s="100" t="s">
        <v>109</v>
      </c>
      <c r="R23" s="81" t="s">
        <v>115</v>
      </c>
      <c r="S23" s="123" t="s">
        <v>130</v>
      </c>
      <c r="T23" s="81" t="s">
        <v>113</v>
      </c>
      <c r="U23" s="100" t="s">
        <v>109</v>
      </c>
      <c r="V23" s="81" t="s">
        <v>115</v>
      </c>
      <c r="W23" s="123" t="s">
        <v>130</v>
      </c>
      <c r="AP23" s="62" t="e">
        <f>IF(HLOOKUP($AP$1,RangeUnitsetsCourse,K23,FALSE)="Spec",HLOOKUP($AP$1,RangeSpecSets,$K$33,FALSE),HLOOKUP($AP$1,RangeUnitsetsCourse,K23,FALSE))</f>
        <v>#N/A</v>
      </c>
      <c r="AQ23" s="35" t="e">
        <f>VLOOKUP($AP23,TableHandbook[],AQ$2,FALSE)</f>
        <v>#N/A</v>
      </c>
      <c r="AR23" s="36" t="e">
        <f>VLOOKUP($AP23,TableHandbook[],AR$2,FALSE)</f>
        <v>#N/A</v>
      </c>
      <c r="AS23" s="34" t="e">
        <f>VLOOKUP($AP23,TableHandbook[],AS$2,FALSE)</f>
        <v>#N/A</v>
      </c>
      <c r="AT23" s="37" t="e">
        <f>VLOOKUP($AP23,TableHandbook[],AT$2,FALSE)</f>
        <v>#N/A</v>
      </c>
      <c r="AU23" s="68" t="e">
        <f>VLOOKUP($AP23,TableHandbook[],AU$2,FALSE)</f>
        <v>#N/A</v>
      </c>
      <c r="AV23" s="65" t="e">
        <f>VLOOKUP($AP23,TableHandbook[],AV$2,FALSE)</f>
        <v>#N/A</v>
      </c>
      <c r="AW23" s="65" t="e">
        <f>VLOOKUP($AP23,TableHandbook[],AW$2,FALSE)</f>
        <v>#N/A</v>
      </c>
      <c r="AX23" s="65" t="e">
        <f>VLOOKUP($AP23,TableHandbook[],AX$2,FALSE)</f>
        <v>#N/A</v>
      </c>
      <c r="AY23" s="66" t="e">
        <f>VLOOKUP($AP23,TableHandbook[],AY$2,FALSE)</f>
        <v>#N/A</v>
      </c>
    </row>
    <row r="24" spans="1:58" x14ac:dyDescent="0.25">
      <c r="A24" s="150" t="s">
        <v>131</v>
      </c>
      <c r="B24" s="119">
        <v>45548</v>
      </c>
      <c r="C24"/>
      <c r="D24"/>
      <c r="E24"/>
      <c r="F24"/>
      <c r="G24"/>
      <c r="H24"/>
      <c r="I24"/>
      <c r="K24" s="21">
        <v>22</v>
      </c>
      <c r="L24" s="81" t="s">
        <v>115</v>
      </c>
      <c r="M24" s="94" t="s">
        <v>132</v>
      </c>
      <c r="N24" s="81" t="s">
        <v>113</v>
      </c>
      <c r="O24" s="85"/>
      <c r="P24" s="81" t="s">
        <v>115</v>
      </c>
      <c r="Q24" s="94" t="s">
        <v>117</v>
      </c>
      <c r="R24" s="81" t="s">
        <v>113</v>
      </c>
      <c r="S24" s="94" t="s">
        <v>116</v>
      </c>
      <c r="T24" s="81" t="s">
        <v>115</v>
      </c>
      <c r="U24" s="94" t="s">
        <v>119</v>
      </c>
      <c r="V24" s="81" t="s">
        <v>113</v>
      </c>
      <c r="W24" s="94" t="s">
        <v>118</v>
      </c>
      <c r="AP24" s="56" t="e">
        <f>IF(HLOOKUP($AP$1,RangeUnitsetsCourse,K24,FALSE)="Spec",HLOOKUP($AP$1,RangeSpecSets,$K$33,FALSE),HLOOKUP($AP$1,RangeUnitsetsCourse,K24,FALSE))</f>
        <v>#N/A</v>
      </c>
      <c r="AQ24" s="57" t="e">
        <f>VLOOKUP($AP24,TableHandbook[],AQ$2,FALSE)</f>
        <v>#N/A</v>
      </c>
      <c r="AR24" s="33" t="e">
        <f>VLOOKUP($AP24,TableHandbook[],AR$2,FALSE)</f>
        <v>#N/A</v>
      </c>
      <c r="AS24" s="58" t="e">
        <f>VLOOKUP($AP24,TableHandbook[],AS$2,FALSE)</f>
        <v>#N/A</v>
      </c>
      <c r="AT24" s="59" t="e">
        <f>VLOOKUP($AP24,TableHandbook[],AT$2,FALSE)</f>
        <v>#N/A</v>
      </c>
      <c r="AU24" s="26" t="e">
        <f>VLOOKUP($AP24,TableHandbook[],AU$2,FALSE)</f>
        <v>#N/A</v>
      </c>
      <c r="AV24" s="60" t="e">
        <f>VLOOKUP($AP24,TableHandbook[],AV$2,FALSE)</f>
        <v>#N/A</v>
      </c>
      <c r="AW24" s="60" t="e">
        <f>VLOOKUP($AP24,TableHandbook[],AW$2,FALSE)</f>
        <v>#N/A</v>
      </c>
      <c r="AX24" s="60" t="e">
        <f>VLOOKUP($AP24,TableHandbook[],AX$2,FALSE)</f>
        <v>#N/A</v>
      </c>
      <c r="AY24" s="61" t="e">
        <f>VLOOKUP($AP24,TableHandbook[],AY$2,FALSE)</f>
        <v>#N/A</v>
      </c>
    </row>
    <row r="25" spans="1:58" x14ac:dyDescent="0.25">
      <c r="A25" s="150" t="s">
        <v>133</v>
      </c>
      <c r="B25" s="119">
        <v>45580</v>
      </c>
      <c r="C25"/>
      <c r="D25"/>
      <c r="E25"/>
      <c r="F25"/>
      <c r="G25"/>
      <c r="H25"/>
      <c r="I25"/>
      <c r="K25" s="21">
        <v>23</v>
      </c>
      <c r="L25" s="81" t="s">
        <v>115</v>
      </c>
      <c r="M25" s="100" t="s">
        <v>109</v>
      </c>
      <c r="N25" s="81" t="s">
        <v>113</v>
      </c>
      <c r="O25" s="85"/>
      <c r="P25" s="81" t="s">
        <v>115</v>
      </c>
      <c r="Q25" s="94" t="s">
        <v>122</v>
      </c>
      <c r="R25" s="81" t="s">
        <v>113</v>
      </c>
      <c r="S25" s="94" t="s">
        <v>121</v>
      </c>
      <c r="T25" s="81" t="s">
        <v>115</v>
      </c>
      <c r="U25" s="94" t="s">
        <v>124</v>
      </c>
      <c r="V25" s="81" t="s">
        <v>113</v>
      </c>
      <c r="W25" s="94" t="s">
        <v>123</v>
      </c>
      <c r="AP25" s="62" t="e">
        <f>IF(HLOOKUP($AP$1,RangeUnitsetsCourse,K25,FALSE)="Spec",HLOOKUP($AP$1,RangeSpecSets,$K$33,FALSE),HLOOKUP($AP$1,RangeUnitsetsCourse,K25,FALSE))</f>
        <v>#N/A</v>
      </c>
      <c r="AQ25" s="5" t="e">
        <f>VLOOKUP($AP25,TableHandbook[],AQ$2,FALSE)</f>
        <v>#N/A</v>
      </c>
      <c r="AR25" t="e">
        <f>VLOOKUP($AP25,TableHandbook[],AR$2,FALSE)</f>
        <v>#N/A</v>
      </c>
      <c r="AS25" s="4" t="e">
        <f>VLOOKUP($AP25,TableHandbook[],AS$2,FALSE)</f>
        <v>#N/A</v>
      </c>
      <c r="AT25" s="63" t="e">
        <f>VLOOKUP($AP25,TableHandbook[],AT$2,FALSE)</f>
        <v>#N/A</v>
      </c>
      <c r="AU25" s="67" t="e">
        <f>VLOOKUP($AP25,TableHandbook[],AU$2,FALSE)</f>
        <v>#N/A</v>
      </c>
      <c r="AV25" s="2" t="e">
        <f>VLOOKUP($AP25,TableHandbook[],AV$2,FALSE)</f>
        <v>#N/A</v>
      </c>
      <c r="AW25" s="2" t="e">
        <f>VLOOKUP($AP25,TableHandbook[],AW$2,FALSE)</f>
        <v>#N/A</v>
      </c>
      <c r="AX25" s="2" t="e">
        <f>VLOOKUP($AP25,TableHandbook[],AX$2,FALSE)</f>
        <v>#N/A</v>
      </c>
      <c r="AY25" s="64" t="e">
        <f>VLOOKUP($AP25,TableHandbook[],AY$2,FALSE)</f>
        <v>#N/A</v>
      </c>
    </row>
    <row r="26" spans="1:58" x14ac:dyDescent="0.25">
      <c r="A26" s="150" t="s">
        <v>134</v>
      </c>
      <c r="B26" s="119">
        <v>45610</v>
      </c>
      <c r="C26"/>
      <c r="D26"/>
      <c r="E26"/>
      <c r="F26"/>
      <c r="G26"/>
      <c r="H26"/>
      <c r="I26"/>
      <c r="K26" s="21">
        <v>24</v>
      </c>
      <c r="L26" s="81" t="s">
        <v>115</v>
      </c>
      <c r="M26" s="123" t="s">
        <v>128</v>
      </c>
      <c r="N26" s="81" t="s">
        <v>113</v>
      </c>
      <c r="O26" s="85"/>
      <c r="P26" s="81" t="s">
        <v>115</v>
      </c>
      <c r="Q26" s="123" t="s">
        <v>128</v>
      </c>
      <c r="R26" s="81" t="s">
        <v>113</v>
      </c>
      <c r="S26" s="100" t="s">
        <v>109</v>
      </c>
      <c r="T26" s="81" t="s">
        <v>115</v>
      </c>
      <c r="U26" s="123" t="s">
        <v>128</v>
      </c>
      <c r="V26" s="81" t="s">
        <v>113</v>
      </c>
      <c r="W26" s="100" t="s">
        <v>109</v>
      </c>
      <c r="AP26" s="62" t="e">
        <f>IF(HLOOKUP($AP$1,RangeUnitsetsCourse,K26,FALSE)="Spec",HLOOKUP($AP$1,RangeSpecSets,$K$33,FALSE),HLOOKUP($AP$1,RangeUnitsetsCourse,K26,FALSE))</f>
        <v>#N/A</v>
      </c>
      <c r="AQ26" s="5" t="e">
        <f>VLOOKUP($AP26,TableHandbook[],AQ$2,FALSE)</f>
        <v>#N/A</v>
      </c>
      <c r="AR26" t="e">
        <f>VLOOKUP($AP26,TableHandbook[],AR$2,FALSE)</f>
        <v>#N/A</v>
      </c>
      <c r="AS26" s="4" t="e">
        <f>VLOOKUP($AP26,TableHandbook[],AS$2,FALSE)</f>
        <v>#N/A</v>
      </c>
      <c r="AT26" s="63" t="e">
        <f>VLOOKUP($AP26,TableHandbook[],AT$2,FALSE)</f>
        <v>#N/A</v>
      </c>
      <c r="AU26" s="67" t="e">
        <f>VLOOKUP($AP26,TableHandbook[],AU$2,FALSE)</f>
        <v>#N/A</v>
      </c>
      <c r="AV26" s="2" t="e">
        <f>VLOOKUP($AP26,TableHandbook[],AV$2,FALSE)</f>
        <v>#N/A</v>
      </c>
      <c r="AW26" s="2" t="e">
        <f>VLOOKUP($AP26,TableHandbook[],AW$2,FALSE)</f>
        <v>#N/A</v>
      </c>
      <c r="AX26" s="2" t="e">
        <f>VLOOKUP($AP26,TableHandbook[],AX$2,FALSE)</f>
        <v>#N/A</v>
      </c>
      <c r="AY26" s="64" t="e">
        <f>VLOOKUP($AP26,TableHandbook[],AY$2,FALSE)</f>
        <v>#N/A</v>
      </c>
    </row>
    <row r="27" spans="1:58" x14ac:dyDescent="0.25">
      <c r="A27" s="150" t="s">
        <v>135</v>
      </c>
      <c r="B27" s="119">
        <v>45580</v>
      </c>
      <c r="C27"/>
      <c r="D27"/>
      <c r="E27"/>
      <c r="F27"/>
      <c r="G27"/>
      <c r="H27"/>
      <c r="I27"/>
      <c r="K27" s="21">
        <v>25</v>
      </c>
      <c r="L27" s="82" t="s">
        <v>115</v>
      </c>
      <c r="M27" s="131" t="s">
        <v>130</v>
      </c>
      <c r="N27" s="82" t="s">
        <v>113</v>
      </c>
      <c r="O27" s="83"/>
      <c r="P27" s="82" t="s">
        <v>115</v>
      </c>
      <c r="Q27" s="131" t="s">
        <v>130</v>
      </c>
      <c r="R27" s="82" t="s">
        <v>113</v>
      </c>
      <c r="S27" s="83" t="s">
        <v>109</v>
      </c>
      <c r="T27" s="82" t="s">
        <v>115</v>
      </c>
      <c r="U27" s="131" t="s">
        <v>130</v>
      </c>
      <c r="V27" s="82" t="s">
        <v>113</v>
      </c>
      <c r="W27" s="83" t="s">
        <v>109</v>
      </c>
      <c r="AP27" s="69" t="e">
        <f>IF(HLOOKUP($AP$1,RangeUnitsetsCourse,K27,FALSE)="Spec",HLOOKUP($AP$1,RangeSpecSets,$K$33,FALSE),HLOOKUP($AP$1,RangeUnitsetsCourse,K27,FALSE))</f>
        <v>#N/A</v>
      </c>
      <c r="AQ27" s="35" t="e">
        <f>VLOOKUP($AP27,TableHandbook[],AQ$2,FALSE)</f>
        <v>#N/A</v>
      </c>
      <c r="AR27" s="36" t="e">
        <f>VLOOKUP($AP27,TableHandbook[],AR$2,FALSE)</f>
        <v>#N/A</v>
      </c>
      <c r="AS27" s="34" t="e">
        <f>VLOOKUP($AP27,TableHandbook[],AS$2,FALSE)</f>
        <v>#N/A</v>
      </c>
      <c r="AT27" s="37" t="e">
        <f>VLOOKUP($AP27,TableHandbook[],AT$2,FALSE)</f>
        <v>#N/A</v>
      </c>
      <c r="AU27" s="68" t="e">
        <f>VLOOKUP($AP27,TableHandbook[],AU$2,FALSE)</f>
        <v>#N/A</v>
      </c>
      <c r="AV27" s="65" t="e">
        <f>VLOOKUP($AP27,TableHandbook[],AV$2,FALSE)</f>
        <v>#N/A</v>
      </c>
      <c r="AW27" s="65" t="e">
        <f>VLOOKUP($AP27,TableHandbook[],AW$2,FALSE)</f>
        <v>#N/A</v>
      </c>
      <c r="AX27" s="65" t="e">
        <f>VLOOKUP($AP27,TableHandbook[],AX$2,FALSE)</f>
        <v>#N/A</v>
      </c>
      <c r="AY27" s="66" t="e">
        <f>VLOOKUP($AP27,TableHandbook[],AY$2,FALSE)</f>
        <v>#N/A</v>
      </c>
    </row>
    <row r="28" spans="1:58" x14ac:dyDescent="0.25">
      <c r="A28" s="150" t="s">
        <v>136</v>
      </c>
      <c r="B28" s="119">
        <v>45580</v>
      </c>
      <c r="C28"/>
      <c r="D28"/>
      <c r="E28"/>
      <c r="F28"/>
      <c r="G28"/>
      <c r="H28"/>
      <c r="I28"/>
      <c r="K28" s="21">
        <v>26</v>
      </c>
      <c r="L28" s="80"/>
      <c r="M28" s="93" t="s">
        <v>137</v>
      </c>
      <c r="N28" s="80"/>
      <c r="O28" s="93" t="s">
        <v>138</v>
      </c>
      <c r="P28" s="76"/>
      <c r="Q28" s="84" t="s">
        <v>116</v>
      </c>
      <c r="R28" s="76"/>
      <c r="S28" s="84" t="s">
        <v>116</v>
      </c>
      <c r="T28" s="76"/>
      <c r="U28" s="84" t="s">
        <v>98</v>
      </c>
      <c r="V28" s="76"/>
      <c r="W28" s="84" t="s">
        <v>98</v>
      </c>
    </row>
    <row r="29" spans="1:58" x14ac:dyDescent="0.25">
      <c r="A29" s="150" t="s">
        <v>139</v>
      </c>
      <c r="B29" t="s">
        <v>140</v>
      </c>
      <c r="C29"/>
      <c r="D29"/>
      <c r="E29"/>
      <c r="F29"/>
      <c r="G29"/>
      <c r="H29"/>
      <c r="I29"/>
      <c r="J29"/>
      <c r="K29" s="21">
        <v>27</v>
      </c>
      <c r="L29" s="81"/>
      <c r="M29" s="85" t="s">
        <v>141</v>
      </c>
      <c r="N29" s="81"/>
      <c r="O29" s="85"/>
      <c r="P29" s="1"/>
      <c r="Q29" s="85" t="s">
        <v>142</v>
      </c>
      <c r="R29" s="78"/>
      <c r="S29" s="85" t="s">
        <v>142</v>
      </c>
      <c r="T29" s="78"/>
      <c r="U29" s="85" t="s">
        <v>143</v>
      </c>
      <c r="V29" s="78"/>
      <c r="W29" s="85" t="s">
        <v>143</v>
      </c>
    </row>
    <row r="30" spans="1:58" x14ac:dyDescent="0.25">
      <c r="A30" s="150" t="s">
        <v>144</v>
      </c>
      <c r="B30" t="s">
        <v>140</v>
      </c>
      <c r="C30"/>
      <c r="D30"/>
      <c r="E30"/>
      <c r="F30"/>
      <c r="G30"/>
      <c r="H30"/>
      <c r="I30"/>
      <c r="J30"/>
      <c r="K30" s="21">
        <v>28</v>
      </c>
      <c r="L30" s="81"/>
      <c r="M30" s="85" t="s">
        <v>145</v>
      </c>
      <c r="N30" s="81"/>
      <c r="O30" s="85"/>
      <c r="P30" s="1"/>
      <c r="Q30" s="99" t="s">
        <v>146</v>
      </c>
      <c r="R30" s="78"/>
      <c r="S30" s="99" t="s">
        <v>146</v>
      </c>
      <c r="T30" s="78"/>
      <c r="U30" s="85" t="s">
        <v>145</v>
      </c>
      <c r="V30" s="78"/>
      <c r="W30" s="85" t="s">
        <v>145</v>
      </c>
    </row>
    <row r="31" spans="1:58" x14ac:dyDescent="0.25">
      <c r="A31"/>
      <c r="B31"/>
      <c r="C31"/>
      <c r="D31"/>
      <c r="E31"/>
      <c r="F31"/>
      <c r="G31"/>
      <c r="H31"/>
      <c r="I31"/>
      <c r="J31"/>
      <c r="K31" s="21">
        <v>29</v>
      </c>
      <c r="L31" s="81"/>
      <c r="M31" s="85"/>
      <c r="N31" s="81"/>
      <c r="O31" s="85"/>
      <c r="P31" s="1"/>
      <c r="Q31" s="113" t="s">
        <v>147</v>
      </c>
      <c r="R31" s="78"/>
      <c r="S31" s="113" t="s">
        <v>147</v>
      </c>
      <c r="T31" s="78"/>
      <c r="U31" s="85"/>
      <c r="V31" s="78"/>
      <c r="W31" s="85"/>
    </row>
    <row r="32" spans="1:58" x14ac:dyDescent="0.25">
      <c r="A32"/>
      <c r="B32"/>
      <c r="C32"/>
      <c r="D32"/>
      <c r="E32"/>
      <c r="F32"/>
      <c r="G32"/>
      <c r="H32"/>
      <c r="I32"/>
      <c r="J32" s="101"/>
      <c r="K32" s="21">
        <v>30</v>
      </c>
      <c r="L32" s="78"/>
      <c r="M32" s="85"/>
      <c r="N32" s="78"/>
      <c r="O32" s="85"/>
      <c r="P32" s="1"/>
      <c r="Q32" s="85" t="s">
        <v>121</v>
      </c>
      <c r="R32" s="78"/>
      <c r="S32" s="85" t="s">
        <v>121</v>
      </c>
      <c r="T32" s="78"/>
      <c r="U32" s="85"/>
      <c r="V32" s="78"/>
      <c r="W32" s="85"/>
    </row>
    <row r="33" spans="1:23" x14ac:dyDescent="0.25">
      <c r="A33"/>
      <c r="B33"/>
      <c r="C33"/>
      <c r="D33"/>
      <c r="E33"/>
      <c r="F33"/>
      <c r="G33"/>
      <c r="H33"/>
      <c r="I33"/>
      <c r="J33"/>
      <c r="K33" s="21">
        <v>31</v>
      </c>
      <c r="L33" s="78"/>
      <c r="M33" s="85"/>
      <c r="N33" s="78"/>
      <c r="O33" s="85"/>
      <c r="P33" s="78"/>
      <c r="Q33" s="85" t="s">
        <v>148</v>
      </c>
      <c r="R33" s="78"/>
      <c r="S33" s="85" t="s">
        <v>148</v>
      </c>
      <c r="T33" s="78"/>
      <c r="U33" s="85"/>
      <c r="V33" s="78"/>
      <c r="W33" s="85"/>
    </row>
    <row r="34" spans="1:23" ht="15.75" customHeight="1" x14ac:dyDescent="0.25">
      <c r="A34"/>
      <c r="B34"/>
      <c r="C34"/>
      <c r="D34"/>
      <c r="E34"/>
      <c r="F34"/>
      <c r="G34"/>
      <c r="H34"/>
      <c r="I34"/>
      <c r="J34"/>
      <c r="K34" s="21">
        <v>32</v>
      </c>
      <c r="L34" s="78"/>
      <c r="M34" s="85"/>
      <c r="N34" s="78"/>
      <c r="O34" s="85"/>
      <c r="P34" s="78"/>
      <c r="Q34" s="85" t="s">
        <v>142</v>
      </c>
      <c r="R34" s="78"/>
      <c r="S34" s="85" t="s">
        <v>142</v>
      </c>
      <c r="T34" s="78"/>
      <c r="U34" s="85"/>
      <c r="V34" s="78"/>
      <c r="W34" s="85"/>
    </row>
    <row r="35" spans="1:23" x14ac:dyDescent="0.25">
      <c r="A35"/>
      <c r="B35"/>
      <c r="C35"/>
      <c r="D35"/>
      <c r="E35"/>
      <c r="F35"/>
      <c r="G35"/>
      <c r="H35"/>
      <c r="I35"/>
      <c r="J35"/>
      <c r="K35" s="21">
        <v>33</v>
      </c>
      <c r="L35" s="78"/>
      <c r="M35" s="85"/>
      <c r="N35" s="78"/>
      <c r="O35" s="85"/>
      <c r="P35" s="78"/>
      <c r="Q35" s="85" t="s">
        <v>147</v>
      </c>
      <c r="R35" s="78"/>
      <c r="S35" s="85" t="s">
        <v>147</v>
      </c>
      <c r="T35" s="78"/>
      <c r="U35" s="85"/>
      <c r="V35" s="78"/>
      <c r="W35" s="85"/>
    </row>
    <row r="36" spans="1:23" ht="15.75" customHeight="1" x14ac:dyDescent="0.25">
      <c r="A36"/>
      <c r="B36"/>
      <c r="C36"/>
      <c r="D36"/>
      <c r="E36"/>
      <c r="F36"/>
      <c r="G36"/>
      <c r="H36"/>
      <c r="J36"/>
      <c r="K36" s="21">
        <v>34</v>
      </c>
      <c r="L36" s="78"/>
      <c r="M36" s="85"/>
      <c r="N36" s="78"/>
      <c r="O36" s="85"/>
      <c r="P36" s="78"/>
      <c r="Q36" s="85" t="s">
        <v>122</v>
      </c>
      <c r="R36" s="78"/>
      <c r="S36" s="85" t="s">
        <v>122</v>
      </c>
      <c r="T36" s="78"/>
      <c r="U36" s="85"/>
      <c r="V36" s="78"/>
      <c r="W36" s="85"/>
    </row>
    <row r="37" spans="1:23" ht="15.75" customHeight="1" x14ac:dyDescent="0.25">
      <c r="A37"/>
      <c r="B37"/>
      <c r="C37"/>
      <c r="D37"/>
      <c r="E37"/>
      <c r="F37"/>
      <c r="G37"/>
      <c r="H37"/>
      <c r="J37"/>
      <c r="K37" s="21">
        <v>35</v>
      </c>
      <c r="L37" s="78"/>
      <c r="M37" s="85"/>
      <c r="N37" s="78"/>
      <c r="O37" s="85"/>
      <c r="P37" s="78"/>
      <c r="Q37" s="97" t="s">
        <v>149</v>
      </c>
      <c r="R37" s="78"/>
      <c r="S37" s="97" t="s">
        <v>149</v>
      </c>
      <c r="T37" s="78"/>
      <c r="U37" s="85"/>
      <c r="V37" s="78"/>
      <c r="W37" s="85"/>
    </row>
    <row r="38" spans="1:23" x14ac:dyDescent="0.25">
      <c r="A38"/>
      <c r="B38"/>
      <c r="C38"/>
      <c r="D38"/>
      <c r="E38"/>
      <c r="F38"/>
      <c r="J38"/>
      <c r="K38" s="21">
        <v>36</v>
      </c>
      <c r="L38" s="78"/>
      <c r="M38" s="85"/>
      <c r="N38" s="78"/>
      <c r="O38" s="85"/>
      <c r="P38" s="78"/>
      <c r="Q38" s="85" t="s">
        <v>150</v>
      </c>
      <c r="R38" s="78"/>
      <c r="S38" s="85" t="s">
        <v>150</v>
      </c>
      <c r="T38" s="78"/>
      <c r="U38" s="85"/>
      <c r="V38" s="78"/>
      <c r="W38" s="85"/>
    </row>
    <row r="39" spans="1:23" x14ac:dyDescent="0.25">
      <c r="A39"/>
      <c r="B39"/>
      <c r="C39"/>
      <c r="D39"/>
      <c r="E39"/>
      <c r="F39"/>
      <c r="J39"/>
      <c r="K39" s="21">
        <v>37</v>
      </c>
      <c r="L39" s="79"/>
      <c r="M39" s="83"/>
      <c r="N39" s="79"/>
      <c r="O39" s="83"/>
      <c r="P39" s="79"/>
      <c r="Q39" s="85" t="s">
        <v>145</v>
      </c>
      <c r="R39" s="79"/>
      <c r="S39" s="85" t="s">
        <v>145</v>
      </c>
      <c r="T39" s="79"/>
      <c r="U39" s="83"/>
      <c r="V39" s="79"/>
      <c r="W39" s="83"/>
    </row>
    <row r="40" spans="1:23" x14ac:dyDescent="0.25">
      <c r="A40"/>
      <c r="B40"/>
      <c r="C40"/>
      <c r="D40"/>
      <c r="E40"/>
      <c r="F40"/>
      <c r="Q40" s="112" t="s">
        <v>151</v>
      </c>
      <c r="S40" s="112" t="s">
        <v>151</v>
      </c>
    </row>
    <row r="41" spans="1:23" x14ac:dyDescent="0.25">
      <c r="A41"/>
      <c r="B41"/>
      <c r="C41"/>
      <c r="D41"/>
      <c r="E41"/>
      <c r="F41"/>
    </row>
    <row r="42" spans="1:23" x14ac:dyDescent="0.25">
      <c r="A42"/>
      <c r="B42"/>
      <c r="C42"/>
      <c r="D42"/>
      <c r="E42"/>
      <c r="F42"/>
    </row>
    <row r="43" spans="1:23" x14ac:dyDescent="0.25">
      <c r="A43"/>
      <c r="B43"/>
      <c r="C43"/>
      <c r="D43"/>
      <c r="E43"/>
      <c r="F43"/>
      <c r="J43" s="101" t="s">
        <v>152</v>
      </c>
      <c r="K43" s="1">
        <v>1</v>
      </c>
      <c r="L43" s="108" t="s">
        <v>64</v>
      </c>
      <c r="M43" s="104"/>
      <c r="N43" s="104"/>
      <c r="O43" s="104"/>
    </row>
    <row r="44" spans="1:23" x14ac:dyDescent="0.25">
      <c r="A44"/>
      <c r="B44"/>
      <c r="C44"/>
      <c r="D44"/>
      <c r="E44"/>
      <c r="F44"/>
      <c r="J44" s="103"/>
      <c r="K44" s="1">
        <v>2</v>
      </c>
      <c r="L44" s="109" t="s">
        <v>153</v>
      </c>
      <c r="M44" s="104"/>
      <c r="N44" s="104"/>
      <c r="O44" s="104"/>
    </row>
    <row r="45" spans="1:23" x14ac:dyDescent="0.25">
      <c r="A45"/>
      <c r="B45"/>
      <c r="C45"/>
      <c r="D45"/>
      <c r="E45"/>
      <c r="F45"/>
      <c r="J45" s="4"/>
      <c r="K45" s="1">
        <v>3</v>
      </c>
      <c r="L45" s="110" t="s">
        <v>154</v>
      </c>
      <c r="M45" s="105"/>
      <c r="N45" s="105"/>
      <c r="O45" s="104"/>
    </row>
    <row r="46" spans="1:23" x14ac:dyDescent="0.25">
      <c r="A46"/>
      <c r="B46"/>
      <c r="C46"/>
      <c r="D46"/>
      <c r="E46"/>
      <c r="F46"/>
      <c r="J46" s="4"/>
      <c r="K46" s="1">
        <v>4</v>
      </c>
      <c r="L46" s="109" t="s">
        <v>155</v>
      </c>
      <c r="M46" s="104"/>
      <c r="N46" s="104"/>
      <c r="O46" s="104"/>
    </row>
    <row r="47" spans="1:23" x14ac:dyDescent="0.25">
      <c r="A47"/>
      <c r="B47"/>
      <c r="C47"/>
      <c r="D47"/>
      <c r="E47"/>
      <c r="F47"/>
      <c r="J47" s="4"/>
      <c r="K47" s="1">
        <v>5</v>
      </c>
      <c r="L47" s="109" t="s">
        <v>156</v>
      </c>
      <c r="M47" s="104"/>
      <c r="N47" s="104"/>
      <c r="O47" s="104"/>
    </row>
    <row r="48" spans="1:23" x14ac:dyDescent="0.25">
      <c r="J48" s="4"/>
      <c r="K48" s="1">
        <v>6</v>
      </c>
      <c r="L48" s="109" t="s">
        <v>157</v>
      </c>
      <c r="M48" s="104"/>
      <c r="N48" s="104"/>
      <c r="O48" s="104"/>
    </row>
    <row r="49" spans="10:15" x14ac:dyDescent="0.25">
      <c r="J49" s="4"/>
      <c r="K49" s="1">
        <v>7</v>
      </c>
      <c r="L49" s="109" t="s">
        <v>158</v>
      </c>
      <c r="M49" s="104"/>
      <c r="N49" s="104"/>
      <c r="O49" s="104"/>
    </row>
    <row r="50" spans="10:15" x14ac:dyDescent="0.25">
      <c r="J50" s="4"/>
      <c r="K50" s="1">
        <v>8</v>
      </c>
      <c r="L50" s="109" t="s">
        <v>159</v>
      </c>
      <c r="M50" s="104"/>
      <c r="N50" s="104"/>
      <c r="O50" s="104"/>
    </row>
    <row r="51" spans="10:15" x14ac:dyDescent="0.25">
      <c r="J51" s="4"/>
      <c r="K51" s="1">
        <v>9</v>
      </c>
      <c r="L51" s="109"/>
      <c r="M51" s="104"/>
      <c r="N51" s="104"/>
      <c r="O51" s="104"/>
    </row>
    <row r="52" spans="10:15" x14ac:dyDescent="0.25">
      <c r="J52" s="4"/>
      <c r="K52" s="1">
        <v>10</v>
      </c>
      <c r="L52" s="109" t="s">
        <v>160</v>
      </c>
      <c r="M52" s="104"/>
      <c r="N52" s="104"/>
      <c r="O52" s="104"/>
    </row>
    <row r="53" spans="10:15" x14ac:dyDescent="0.25">
      <c r="J53" s="4"/>
      <c r="K53" s="1">
        <v>11</v>
      </c>
      <c r="L53" s="109" t="s">
        <v>161</v>
      </c>
      <c r="M53" s="104"/>
      <c r="N53" s="104"/>
      <c r="O53" s="104"/>
    </row>
    <row r="54" spans="10:15" x14ac:dyDescent="0.25">
      <c r="J54" s="4"/>
      <c r="K54" s="1">
        <v>12</v>
      </c>
      <c r="L54" s="109" t="s">
        <v>162</v>
      </c>
      <c r="M54" s="104"/>
      <c r="N54" s="104"/>
      <c r="O54" s="104"/>
    </row>
    <row r="55" spans="10:15" x14ac:dyDescent="0.25">
      <c r="J55" s="4"/>
      <c r="K55" s="1">
        <v>13</v>
      </c>
      <c r="L55" s="111" t="s">
        <v>163</v>
      </c>
      <c r="M55" s="104"/>
      <c r="N55" s="104"/>
      <c r="O55" s="104"/>
    </row>
    <row r="56" spans="10:15" x14ac:dyDescent="0.25">
      <c r="J56"/>
    </row>
    <row r="57" spans="10:15" x14ac:dyDescent="0.25">
      <c r="J57"/>
    </row>
    <row r="58" spans="10:15" x14ac:dyDescent="0.25">
      <c r="J58"/>
    </row>
    <row r="59" spans="10:15" x14ac:dyDescent="0.25">
      <c r="J59"/>
    </row>
    <row r="60" spans="10:15" x14ac:dyDescent="0.25">
      <c r="J60"/>
    </row>
    <row r="61" spans="10:15" x14ac:dyDescent="0.25">
      <c r="J61"/>
    </row>
    <row r="62" spans="10:15" x14ac:dyDescent="0.25">
      <c r="J62"/>
    </row>
    <row r="63" spans="10:15" x14ac:dyDescent="0.25">
      <c r="J63"/>
    </row>
    <row r="64" spans="10:15" x14ac:dyDescent="0.25">
      <c r="J64"/>
    </row>
    <row r="65" spans="10:10" x14ac:dyDescent="0.25">
      <c r="J65"/>
    </row>
    <row r="66" spans="10:10" x14ac:dyDescent="0.25">
      <c r="J66"/>
    </row>
    <row r="67" spans="10:10" x14ac:dyDescent="0.25">
      <c r="J67"/>
    </row>
    <row r="68" spans="10:10" x14ac:dyDescent="0.25">
      <c r="J68"/>
    </row>
    <row r="69" spans="10:10" x14ac:dyDescent="0.25">
      <c r="J69"/>
    </row>
    <row r="70" spans="10:10" x14ac:dyDescent="0.25">
      <c r="J70"/>
    </row>
    <row r="71" spans="10:10" x14ac:dyDescent="0.25">
      <c r="J71"/>
    </row>
    <row r="72" spans="10:10" x14ac:dyDescent="0.25">
      <c r="J72"/>
    </row>
  </sheetData>
  <dataValidations count="2">
    <dataValidation type="list" allowBlank="1" showInputMessage="1" showErrorMessage="1" sqref="AP1" xr:uid="{00000000-0002-0000-0100-000000000000}">
      <formula1>$M$3:$O$3</formula1>
    </dataValidation>
    <dataValidation type="list" allowBlank="1" showInputMessage="1" showErrorMessage="1" sqref="AP2" xr:uid="{00000000-0002-0000-0100-000001000000}">
      <formula1>$M$32:$BJ$32</formula1>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3"/>
  <sheetViews>
    <sheetView zoomScale="85" zoomScaleNormal="85" workbookViewId="0">
      <pane xSplit="5" ySplit="3" topLeftCell="F31" activePane="bottomRight" state="frozen"/>
      <selection activeCell="B27" sqref="B27"/>
      <selection pane="topRight" activeCell="B27" sqref="B27"/>
      <selection pane="bottomLeft" activeCell="B27" sqref="B27"/>
      <selection pane="bottomRight" activeCell="B27" sqref="B27"/>
    </sheetView>
  </sheetViews>
  <sheetFormatPr defaultRowHeight="15.75" x14ac:dyDescent="0.25"/>
  <cols>
    <col min="1" max="1" width="16" bestFit="1" customWidth="1"/>
    <col min="2" max="2" width="6" style="2" bestFit="1" customWidth="1"/>
    <col min="3" max="3" width="9.125" bestFit="1" customWidth="1"/>
    <col min="4" max="4" width="58.75" bestFit="1" customWidth="1"/>
    <col min="5" max="5" width="8.625" style="2" bestFit="1" customWidth="1"/>
    <col min="6" max="6" width="34.875" customWidth="1"/>
    <col min="7" max="7" width="7.75" style="2" bestFit="1" customWidth="1"/>
    <col min="8" max="8" width="7.375" style="2" bestFit="1" customWidth="1"/>
    <col min="9" max="9" width="7.75" style="2" bestFit="1" customWidth="1"/>
    <col min="10" max="10" width="7.375" style="2" bestFit="1" customWidth="1"/>
    <col min="11" max="11" width="35" customWidth="1"/>
    <col min="12" max="12" width="6.5" bestFit="1" customWidth="1"/>
    <col min="13" max="14" width="5.375" bestFit="1" customWidth="1"/>
    <col min="15" max="15" width="6" bestFit="1" customWidth="1"/>
  </cols>
  <sheetData>
    <row r="1" spans="1:16" x14ac:dyDescent="0.25">
      <c r="A1" s="30">
        <v>1</v>
      </c>
      <c r="B1" s="30">
        <v>2</v>
      </c>
      <c r="C1" s="30">
        <v>3</v>
      </c>
      <c r="D1" s="30">
        <v>4</v>
      </c>
      <c r="E1" s="30">
        <v>5</v>
      </c>
      <c r="F1" s="30">
        <v>6</v>
      </c>
      <c r="G1" s="30">
        <v>7</v>
      </c>
      <c r="H1" s="30">
        <v>8</v>
      </c>
      <c r="I1" s="30">
        <v>9</v>
      </c>
      <c r="J1" s="30">
        <v>10</v>
      </c>
      <c r="K1" s="30">
        <v>11</v>
      </c>
      <c r="L1" s="30">
        <v>12</v>
      </c>
      <c r="M1" s="30">
        <v>13</v>
      </c>
      <c r="N1" s="30">
        <v>14</v>
      </c>
      <c r="O1" s="30">
        <v>15</v>
      </c>
    </row>
    <row r="2" spans="1:16" x14ac:dyDescent="0.25">
      <c r="A2" s="22"/>
      <c r="B2" s="23"/>
      <c r="C2" s="23"/>
      <c r="D2" s="22"/>
      <c r="E2" s="23"/>
      <c r="F2" s="22"/>
      <c r="G2" s="29"/>
      <c r="H2" s="23"/>
      <c r="I2" s="27"/>
      <c r="J2" s="28"/>
      <c r="K2" s="3"/>
      <c r="L2" s="22"/>
      <c r="M2" s="22"/>
      <c r="N2" s="22"/>
      <c r="O2" s="22"/>
      <c r="P2" s="3"/>
    </row>
    <row r="3" spans="1:16" ht="69.75" x14ac:dyDescent="0.25">
      <c r="A3" s="43" t="s">
        <v>0</v>
      </c>
      <c r="B3" s="43" t="s">
        <v>1</v>
      </c>
      <c r="C3" s="43" t="s">
        <v>2</v>
      </c>
      <c r="D3" s="43" t="s">
        <v>164</v>
      </c>
      <c r="E3" s="43" t="s">
        <v>5</v>
      </c>
      <c r="F3" s="43" t="s">
        <v>165</v>
      </c>
      <c r="G3" s="47" t="s">
        <v>166</v>
      </c>
      <c r="H3" s="48" t="s">
        <v>167</v>
      </c>
      <c r="I3" s="48" t="s">
        <v>168</v>
      </c>
      <c r="J3" s="49" t="s">
        <v>169</v>
      </c>
      <c r="K3" s="92" t="s">
        <v>170</v>
      </c>
      <c r="L3" s="70" t="s">
        <v>64</v>
      </c>
      <c r="M3" s="70" t="s">
        <v>80</v>
      </c>
      <c r="N3" s="70" t="s">
        <v>84</v>
      </c>
      <c r="O3" s="70" t="s">
        <v>86</v>
      </c>
      <c r="P3" s="3"/>
    </row>
    <row r="4" spans="1:16" x14ac:dyDescent="0.25">
      <c r="A4" s="8" t="s">
        <v>130</v>
      </c>
      <c r="B4" s="9"/>
      <c r="C4" s="8"/>
      <c r="D4" s="8" t="s">
        <v>171</v>
      </c>
      <c r="E4" s="9"/>
      <c r="F4" s="73"/>
      <c r="G4" s="45" t="str">
        <f>IFERROR(IF(VLOOKUP(TableHandbook[[#This Row],[UDC]],TableAvailabilities[],2,FALSE)&gt;0,"Y",""),"")</f>
        <v/>
      </c>
      <c r="H4" s="53" t="str">
        <f>IFERROR(IF(VLOOKUP(TableHandbook[[#This Row],[UDC]],TableAvailabilities[],3,FALSE)&gt;0,"Y",""),"")</f>
        <v/>
      </c>
      <c r="I4" s="54" t="str">
        <f>IFERROR(IF(VLOOKUP(TableHandbook[[#This Row],[UDC]],TableAvailabilities[],4,FALSE)&gt;0,"Y",""),"")</f>
        <v/>
      </c>
      <c r="J4" s="46" t="str">
        <f>IFERROR(IF(VLOOKUP(TableHandbook[[#This Row],[UDC]],TableAvailabilities[],5,FALSE)&gt;0,"Y",""),"")</f>
        <v/>
      </c>
      <c r="K4" s="114"/>
      <c r="L4" s="71" t="str">
        <f>IFERROR(VLOOKUP(TableHandbook[[#This Row],[UDC]],TableBCRARTS[],7,FALSE),"")</f>
        <v/>
      </c>
      <c r="M4" s="72" t="str">
        <f>IFERROR(VLOOKUP(TableHandbook[[#This Row],[UDC]],TableMJRUFINAR[],7,FALSE),"")</f>
        <v/>
      </c>
      <c r="N4" s="72" t="str">
        <f>IFERROR(VLOOKUP(TableHandbook[[#This Row],[UDC]],TableMJRUSCRAR[],7,FALSE),"")</f>
        <v/>
      </c>
      <c r="O4" s="72" t="str">
        <f>IFERROR(VLOOKUP(TableHandbook[[#This Row],[UDC]],TableMJRUTHTRA[],7,FALSE),"")</f>
        <v/>
      </c>
      <c r="P4" s="3"/>
    </row>
    <row r="5" spans="1:16" x14ac:dyDescent="0.25">
      <c r="A5" s="96" t="s">
        <v>138</v>
      </c>
      <c r="B5" s="9"/>
      <c r="C5" s="8"/>
      <c r="D5" s="8" t="s">
        <v>172</v>
      </c>
      <c r="E5" s="9"/>
      <c r="F5" s="73"/>
      <c r="G5" s="88" t="str">
        <f>IFERROR(IF(VLOOKUP(TableHandbook[[#This Row],[UDC]],TableAvailabilities[],2,FALSE)&gt;0,"Y",""),"")</f>
        <v/>
      </c>
      <c r="H5" s="89" t="str">
        <f>IFERROR(IF(VLOOKUP(TableHandbook[[#This Row],[UDC]],TableAvailabilities[],3,FALSE)&gt;0,"Y",""),"")</f>
        <v/>
      </c>
      <c r="I5" s="90" t="str">
        <f>IFERROR(IF(VLOOKUP(TableHandbook[[#This Row],[UDC]],TableAvailabilities[],4,FALSE)&gt;0,"Y",""),"")</f>
        <v/>
      </c>
      <c r="J5" s="91" t="str">
        <f>IFERROR(IF(VLOOKUP(TableHandbook[[#This Row],[UDC]],TableAvailabilities[],5,FALSE)&gt;0,"Y",""),"")</f>
        <v/>
      </c>
      <c r="K5" s="115"/>
      <c r="L5" s="86" t="str">
        <f>IFERROR(VLOOKUP(TableHandbook[[#This Row],[UDC]],TableBCRARTS[],7,FALSE),"")</f>
        <v/>
      </c>
      <c r="M5" s="87" t="str">
        <f>IFERROR(VLOOKUP(TableHandbook[[#This Row],[UDC]],TableMJRUFINAR[],7,FALSE),"")</f>
        <v/>
      </c>
      <c r="N5" s="72" t="str">
        <f>IFERROR(VLOOKUP(TableHandbook[[#This Row],[UDC]],TableMJRUSCRAR[],7,FALSE),"")</f>
        <v/>
      </c>
      <c r="O5" s="72" t="str">
        <f>IFERROR(VLOOKUP(TableHandbook[[#This Row],[UDC]],TableMJRUTHTRA[],7,FALSE),"")</f>
        <v/>
      </c>
    </row>
    <row r="6" spans="1:16" x14ac:dyDescent="0.25">
      <c r="A6" s="8" t="s">
        <v>62</v>
      </c>
      <c r="B6" s="9"/>
      <c r="C6" s="8"/>
      <c r="D6" s="8" t="s">
        <v>173</v>
      </c>
      <c r="E6" s="9"/>
      <c r="F6" s="73" t="s">
        <v>174</v>
      </c>
      <c r="G6" s="88" t="str">
        <f>IFERROR(IF(VLOOKUP(TableHandbook[[#This Row],[UDC]],TableAvailabilities[],2,FALSE)&gt;0,"Y",""),"")</f>
        <v/>
      </c>
      <c r="H6" s="89" t="str">
        <f>IFERROR(IF(VLOOKUP(TableHandbook[[#This Row],[UDC]],TableAvailabilities[],3,FALSE)&gt;0,"Y",""),"")</f>
        <v/>
      </c>
      <c r="I6" s="90" t="str">
        <f>IFERROR(IF(VLOOKUP(TableHandbook[[#This Row],[UDC]],TableAvailabilities[],4,FALSE)&gt;0,"Y",""),"")</f>
        <v/>
      </c>
      <c r="J6" s="91" t="str">
        <f>IFERROR(IF(VLOOKUP(TableHandbook[[#This Row],[UDC]],TableAvailabilities[],5,FALSE)&gt;0,"Y",""),"")</f>
        <v/>
      </c>
      <c r="K6" s="114"/>
      <c r="L6" s="86" t="str">
        <f>IFERROR(VLOOKUP(TableHandbook[[#This Row],[UDC]],TableBCRARTS[],7,FALSE),"")</f>
        <v/>
      </c>
      <c r="M6" s="87" t="str">
        <f>IFERROR(VLOOKUP(TableHandbook[[#This Row],[UDC]],TableMJRUFINAR[],7,FALSE),"")</f>
        <v/>
      </c>
      <c r="N6" s="87" t="str">
        <f>IFERROR(VLOOKUP(TableHandbook[[#This Row],[UDC]],TableMJRUSCRAR[],7,FALSE),"")</f>
        <v/>
      </c>
      <c r="O6" s="87" t="str">
        <f>IFERROR(VLOOKUP(TableHandbook[[#This Row],[UDC]],TableMJRUTHTRA[],7,FALSE),"")</f>
        <v/>
      </c>
    </row>
    <row r="7" spans="1:16" x14ac:dyDescent="0.25">
      <c r="A7" s="150" t="s">
        <v>137</v>
      </c>
      <c r="B7" s="156">
        <v>0</v>
      </c>
      <c r="C7" s="150"/>
      <c r="D7" s="150" t="s">
        <v>175</v>
      </c>
      <c r="E7" s="156">
        <v>25</v>
      </c>
      <c r="F7" s="157" t="s">
        <v>176</v>
      </c>
      <c r="G7" s="151" t="str">
        <f>IFERROR(IF(VLOOKUP(TableHandbook[[#This Row],[UDC]],TableAvailabilities[],2,FALSE)&gt;0,"Y",""),"")</f>
        <v/>
      </c>
      <c r="H7" s="152" t="str">
        <f>IFERROR(IF(VLOOKUP(TableHandbook[[#This Row],[UDC]],TableAvailabilities[],3,FALSE)&gt;0,"Y",""),"")</f>
        <v/>
      </c>
      <c r="I7" s="153" t="str">
        <f>IFERROR(IF(VLOOKUP(TableHandbook[[#This Row],[UDC]],TableAvailabilities[],4,FALSE)&gt;0,"Y",""),"")</f>
        <v/>
      </c>
      <c r="J7" s="154" t="str">
        <f>IFERROR(IF(VLOOKUP(TableHandbook[[#This Row],[UDC]],TableAvailabilities[],5,FALSE)&gt;0,"Y",""),"")</f>
        <v/>
      </c>
      <c r="K7" s="163"/>
      <c r="L7" s="158" t="str">
        <f>IFERROR(VLOOKUP(TableHandbook[[#This Row],[UDC]],TableBCRARTS[],7,FALSE),"")</f>
        <v/>
      </c>
      <c r="M7" s="155" t="str">
        <f>IFERROR(VLOOKUP(TableHandbook[[#This Row],[UDC]],TableMJRUFINAR[],7,FALSE),"")</f>
        <v>AltCore</v>
      </c>
      <c r="N7" s="155" t="str">
        <f>IFERROR(VLOOKUP(TableHandbook[[#This Row],[UDC]],TableMJRUSCRAR[],7,FALSE),"")</f>
        <v/>
      </c>
      <c r="O7" s="155" t="str">
        <f>IFERROR(VLOOKUP(TableHandbook[[#This Row],[UDC]],TableMJRUTHTRA[],7,FALSE),"")</f>
        <v/>
      </c>
    </row>
    <row r="8" spans="1:16" x14ac:dyDescent="0.25">
      <c r="A8" s="8" t="s">
        <v>177</v>
      </c>
      <c r="B8" s="9">
        <v>0</v>
      </c>
      <c r="C8" s="8"/>
      <c r="D8" s="8" t="s">
        <v>178</v>
      </c>
      <c r="E8" s="9">
        <v>200</v>
      </c>
      <c r="F8" s="73"/>
      <c r="G8" s="88" t="str">
        <f>IFERROR(IF(VLOOKUP(TableHandbook[[#This Row],[UDC]],TableAvailabilities[],2,FALSE)&gt;0,"Y",""),"")</f>
        <v/>
      </c>
      <c r="H8" s="89" t="str">
        <f>IFERROR(IF(VLOOKUP(TableHandbook[[#This Row],[UDC]],TableAvailabilities[],3,FALSE)&gt;0,"Y",""),"")</f>
        <v/>
      </c>
      <c r="I8" s="90" t="str">
        <f>IFERROR(IF(VLOOKUP(TableHandbook[[#This Row],[UDC]],TableAvailabilities[],4,FALSE)&gt;0,"Y",""),"")</f>
        <v/>
      </c>
      <c r="J8" s="91" t="str">
        <f>IFERROR(IF(VLOOKUP(TableHandbook[[#This Row],[UDC]],TableAvailabilities[],5,FALSE)&gt;0,"Y",""),"")</f>
        <v/>
      </c>
      <c r="K8" s="114"/>
      <c r="L8" s="86" t="str">
        <f>IFERROR(VLOOKUP(TableHandbook[[#This Row],[UDC]],TableBCRARTS[],7,FALSE),"")</f>
        <v>AltCore</v>
      </c>
      <c r="M8" s="87" t="str">
        <f>IFERROR(VLOOKUP(TableHandbook[[#This Row],[UDC]],TableMJRUFINAR[],7,FALSE),"")</f>
        <v/>
      </c>
      <c r="N8" s="87" t="str">
        <f>IFERROR(VLOOKUP(TableHandbook[[#This Row],[UDC]],TableMJRUSCRAR[],7,FALSE),"")</f>
        <v/>
      </c>
      <c r="O8" s="87" t="str">
        <f>IFERROR(VLOOKUP(TableHandbook[[#This Row],[UDC]],TableMJRUTHTRA[],7,FALSE),"")</f>
        <v/>
      </c>
    </row>
    <row r="9" spans="1:16" x14ac:dyDescent="0.25">
      <c r="A9" s="8" t="s">
        <v>116</v>
      </c>
      <c r="B9" s="9">
        <v>0</v>
      </c>
      <c r="C9" s="8"/>
      <c r="D9" s="8" t="s">
        <v>179</v>
      </c>
      <c r="E9" s="9">
        <v>25</v>
      </c>
      <c r="F9" s="73" t="s">
        <v>176</v>
      </c>
      <c r="G9" s="88" t="str">
        <f>IFERROR(IF(VLOOKUP(TableHandbook[[#This Row],[UDC]],TableAvailabilities[],2,FALSE)&gt;0,"Y",""),"")</f>
        <v/>
      </c>
      <c r="H9" s="89" t="str">
        <f>IFERROR(IF(VLOOKUP(TableHandbook[[#This Row],[UDC]],TableAvailabilities[],3,FALSE)&gt;0,"Y",""),"")</f>
        <v/>
      </c>
      <c r="I9" s="90" t="str">
        <f>IFERROR(IF(VLOOKUP(TableHandbook[[#This Row],[UDC]],TableAvailabilities[],4,FALSE)&gt;0,"Y",""),"")</f>
        <v/>
      </c>
      <c r="J9" s="91" t="str">
        <f>IFERROR(IF(VLOOKUP(TableHandbook[[#This Row],[UDC]],TableAvailabilities[],5,FALSE)&gt;0,"Y",""),"")</f>
        <v/>
      </c>
      <c r="K9" s="114"/>
      <c r="L9" s="86" t="str">
        <f>IFERROR(VLOOKUP(TableHandbook[[#This Row],[UDC]],TableBCRARTS[],7,FALSE),"")</f>
        <v/>
      </c>
      <c r="M9" s="87" t="str">
        <f>IFERROR(VLOOKUP(TableHandbook[[#This Row],[UDC]],TableMJRUFINAR[],7,FALSE),"")</f>
        <v/>
      </c>
      <c r="N9" s="87" t="str">
        <f>IFERROR(VLOOKUP(TableHandbook[[#This Row],[UDC]],TableMJRUSCRAR[],7,FALSE),"")</f>
        <v>AltCore</v>
      </c>
      <c r="O9" s="87" t="str">
        <f>IFERROR(VLOOKUP(TableHandbook[[#This Row],[UDC]],TableMJRUTHTRA[],7,FALSE),"")</f>
        <v/>
      </c>
    </row>
    <row r="10" spans="1:16" x14ac:dyDescent="0.25">
      <c r="A10" s="8" t="s">
        <v>63</v>
      </c>
      <c r="B10" s="9">
        <v>3</v>
      </c>
      <c r="C10" s="8"/>
      <c r="D10" s="8" t="s">
        <v>180</v>
      </c>
      <c r="E10" s="9">
        <v>25</v>
      </c>
      <c r="F10" s="73" t="s">
        <v>181</v>
      </c>
      <c r="G10" s="88" t="str">
        <f>IFERROR(IF(VLOOKUP(TableHandbook[[#This Row],[UDC]],TableAvailabilities[],2,FALSE)&gt;0,"Y",""),"")</f>
        <v>Y</v>
      </c>
      <c r="H10" s="89" t="str">
        <f>IFERROR(IF(VLOOKUP(TableHandbook[[#This Row],[UDC]],TableAvailabilities[],3,FALSE)&gt;0,"Y",""),"")</f>
        <v>Y</v>
      </c>
      <c r="I10" s="90" t="str">
        <f>IFERROR(IF(VLOOKUP(TableHandbook[[#This Row],[UDC]],TableAvailabilities[],4,FALSE)&gt;0,"Y",""),"")</f>
        <v>Y</v>
      </c>
      <c r="J10" s="91" t="str">
        <f>IFERROR(IF(VLOOKUP(TableHandbook[[#This Row],[UDC]],TableAvailabilities[],5,FALSE)&gt;0,"Y",""),"")</f>
        <v>Y</v>
      </c>
      <c r="K10" s="114"/>
      <c r="L10" s="86" t="str">
        <f>IFERROR(VLOOKUP(TableHandbook[[#This Row],[UDC]],TableBCRARTS[],7,FALSE),"")</f>
        <v>Core</v>
      </c>
      <c r="M10" s="87" t="str">
        <f>IFERROR(VLOOKUP(TableHandbook[[#This Row],[UDC]],TableMJRUFINAR[],7,FALSE),"")</f>
        <v/>
      </c>
      <c r="N10" s="87" t="str">
        <f>IFERROR(VLOOKUP(TableHandbook[[#This Row],[UDC]],TableMJRUSCRAR[],7,FALSE),"")</f>
        <v/>
      </c>
      <c r="O10" s="87" t="str">
        <f>IFERROR(VLOOKUP(TableHandbook[[#This Row],[UDC]],TableMJRUTHTRA[],7,FALSE),"")</f>
        <v/>
      </c>
    </row>
    <row r="11" spans="1:16" x14ac:dyDescent="0.25">
      <c r="A11" s="8" t="s">
        <v>60</v>
      </c>
      <c r="B11" s="9">
        <v>2</v>
      </c>
      <c r="C11" s="8"/>
      <c r="D11" s="8" t="s">
        <v>182</v>
      </c>
      <c r="E11" s="9">
        <v>25</v>
      </c>
      <c r="F11" s="73" t="s">
        <v>181</v>
      </c>
      <c r="G11" s="88" t="str">
        <f>IFERROR(IF(VLOOKUP(TableHandbook[[#This Row],[UDC]],TableAvailabilities[],2,FALSE)&gt;0,"Y",""),"")</f>
        <v>Y</v>
      </c>
      <c r="H11" s="89" t="str">
        <f>IFERROR(IF(VLOOKUP(TableHandbook[[#This Row],[UDC]],TableAvailabilities[],3,FALSE)&gt;0,"Y",""),"")</f>
        <v>Y</v>
      </c>
      <c r="I11" s="90" t="str">
        <f>IFERROR(IF(VLOOKUP(TableHandbook[[#This Row],[UDC]],TableAvailabilities[],4,FALSE)&gt;0,"Y",""),"")</f>
        <v>Y</v>
      </c>
      <c r="J11" s="91" t="str">
        <f>IFERROR(IF(VLOOKUP(TableHandbook[[#This Row],[UDC]],TableAvailabilities[],5,FALSE)&gt;0,"Y",""),"")</f>
        <v>Y</v>
      </c>
      <c r="K11" s="114"/>
      <c r="L11" s="86" t="str">
        <f>IFERROR(VLOOKUP(TableHandbook[[#This Row],[UDC]],TableBCRARTS[],7,FALSE),"")</f>
        <v>Core</v>
      </c>
      <c r="M11" s="87" t="str">
        <f>IFERROR(VLOOKUP(TableHandbook[[#This Row],[UDC]],TableMJRUFINAR[],7,FALSE),"")</f>
        <v/>
      </c>
      <c r="N11" s="87" t="str">
        <f>IFERROR(VLOOKUP(TableHandbook[[#This Row],[UDC]],TableMJRUSCRAR[],7,FALSE),"")</f>
        <v/>
      </c>
      <c r="O11" s="87" t="str">
        <f>IFERROR(VLOOKUP(TableHandbook[[#This Row],[UDC]],TableMJRUTHTRA[],7,FALSE),"")</f>
        <v/>
      </c>
    </row>
    <row r="12" spans="1:16" x14ac:dyDescent="0.25">
      <c r="A12" s="8" t="s">
        <v>77</v>
      </c>
      <c r="B12" s="9">
        <v>0</v>
      </c>
      <c r="C12" s="8"/>
      <c r="D12" s="8" t="s">
        <v>183</v>
      </c>
      <c r="E12" s="9">
        <v>25</v>
      </c>
      <c r="F12" s="73" t="s">
        <v>184</v>
      </c>
      <c r="G12" s="88" t="str">
        <f>IFERROR(IF(VLOOKUP(TableHandbook[[#This Row],[UDC]],TableAvailabilities[],2,FALSE)&gt;0,"Y",""),"")</f>
        <v/>
      </c>
      <c r="H12" s="89" t="str">
        <f>IFERROR(IF(VLOOKUP(TableHandbook[[#This Row],[UDC]],TableAvailabilities[],3,FALSE)&gt;0,"Y",""),"")</f>
        <v/>
      </c>
      <c r="I12" s="90" t="str">
        <f>IFERROR(IF(VLOOKUP(TableHandbook[[#This Row],[UDC]],TableAvailabilities[],4,FALSE)&gt;0,"Y",""),"")</f>
        <v/>
      </c>
      <c r="J12" s="91" t="str">
        <f>IFERROR(IF(VLOOKUP(TableHandbook[[#This Row],[UDC]],TableAvailabilities[],5,FALSE)&gt;0,"Y",""),"")</f>
        <v/>
      </c>
      <c r="K12" s="114"/>
      <c r="L12" s="86" t="str">
        <f>IFERROR(VLOOKUP(TableHandbook[[#This Row],[UDC]],TableBCRARTS[],7,FALSE),"")</f>
        <v>Elective</v>
      </c>
      <c r="M12" s="87" t="str">
        <f>IFERROR(VLOOKUP(TableHandbook[[#This Row],[UDC]],TableMJRUFINAR[],7,FALSE),"")</f>
        <v/>
      </c>
      <c r="N12" s="87" t="str">
        <f>IFERROR(VLOOKUP(TableHandbook[[#This Row],[UDC]],TableMJRUSCRAR[],7,FALSE),"")</f>
        <v/>
      </c>
      <c r="O12" s="87" t="str">
        <f>IFERROR(VLOOKUP(TableHandbook[[#This Row],[UDC]],TableMJRUTHTRA[],7,FALSE),"")</f>
        <v/>
      </c>
    </row>
    <row r="13" spans="1:16" x14ac:dyDescent="0.25">
      <c r="A13" s="8" t="s">
        <v>80</v>
      </c>
      <c r="B13" s="9">
        <v>2</v>
      </c>
      <c r="C13" s="8"/>
      <c r="D13" s="8" t="s">
        <v>79</v>
      </c>
      <c r="E13" s="9">
        <v>200</v>
      </c>
      <c r="F13" s="73" t="s">
        <v>130</v>
      </c>
      <c r="G13" s="88" t="str">
        <f>IFERROR(IF(VLOOKUP(TableHandbook[[#This Row],[UDC]],TableAvailabilities[],2,FALSE)&gt;0,"Y",""),"")</f>
        <v/>
      </c>
      <c r="H13" s="89" t="str">
        <f>IFERROR(IF(VLOOKUP(TableHandbook[[#This Row],[UDC]],TableAvailabilities[],3,FALSE)&gt;0,"Y",""),"")</f>
        <v/>
      </c>
      <c r="I13" s="90" t="str">
        <f>IFERROR(IF(VLOOKUP(TableHandbook[[#This Row],[UDC]],TableAvailabilities[],4,FALSE)&gt;0,"Y",""),"")</f>
        <v/>
      </c>
      <c r="J13" s="91" t="str">
        <f>IFERROR(IF(VLOOKUP(TableHandbook[[#This Row],[UDC]],TableAvailabilities[],5,FALSE)&gt;0,"Y",""),"")</f>
        <v/>
      </c>
      <c r="K13" s="114"/>
      <c r="L13" s="86" t="str">
        <f>IFERROR(VLOOKUP(TableHandbook[[#This Row],[UDC]],TableBCRARTS[],7,FALSE),"")</f>
        <v>AltCore</v>
      </c>
      <c r="M13" s="87" t="str">
        <f>IFERROR(VLOOKUP(TableHandbook[[#This Row],[UDC]],TableMJRUFINAR[],7,FALSE),"")</f>
        <v/>
      </c>
      <c r="N13" s="87" t="str">
        <f>IFERROR(VLOOKUP(TableHandbook[[#This Row],[UDC]],TableMJRUSCRAR[],7,FALSE),"")</f>
        <v/>
      </c>
      <c r="O13" s="87" t="str">
        <f>IFERROR(VLOOKUP(TableHandbook[[#This Row],[UDC]],TableMJRUTHTRA[],7,FALSE),"")</f>
        <v/>
      </c>
    </row>
    <row r="14" spans="1:16" x14ac:dyDescent="0.25">
      <c r="A14" s="8" t="s">
        <v>185</v>
      </c>
      <c r="B14" s="9">
        <v>1</v>
      </c>
      <c r="C14" s="8"/>
      <c r="D14" s="8" t="s">
        <v>79</v>
      </c>
      <c r="E14" s="9">
        <v>200</v>
      </c>
      <c r="F14" s="73" t="s">
        <v>130</v>
      </c>
      <c r="G14" s="88" t="str">
        <f>IFERROR(IF(VLOOKUP(TableHandbook[[#This Row],[UDC]],TableAvailabilities[],2,FALSE)&gt;0,"Y",""),"")</f>
        <v/>
      </c>
      <c r="H14" s="89" t="str">
        <f>IFERROR(IF(VLOOKUP(TableHandbook[[#This Row],[UDC]],TableAvailabilities[],3,FALSE)&gt;0,"Y",""),"")</f>
        <v/>
      </c>
      <c r="I14" s="90" t="str">
        <f>IFERROR(IF(VLOOKUP(TableHandbook[[#This Row],[UDC]],TableAvailabilities[],4,FALSE)&gt;0,"Y",""),"")</f>
        <v/>
      </c>
      <c r="J14" s="91" t="str">
        <f>IFERROR(IF(VLOOKUP(TableHandbook[[#This Row],[UDC]],TableAvailabilities[],5,FALSE)&gt;0,"Y",""),"")</f>
        <v/>
      </c>
      <c r="K14" s="114"/>
      <c r="L14" s="86" t="str">
        <f>IFERROR(VLOOKUP(TableHandbook[[#This Row],[UDC]],TableBCRARTS[],7,FALSE),"")</f>
        <v/>
      </c>
      <c r="M14" s="87" t="str">
        <f>IFERROR(VLOOKUP(TableHandbook[[#This Row],[UDC]],TableMJRUFINAR[],7,FALSE),"")</f>
        <v/>
      </c>
      <c r="N14" s="87" t="str">
        <f>IFERROR(VLOOKUP(TableHandbook[[#This Row],[UDC]],TableMJRUSCRAR[],7,FALSE),"")</f>
        <v/>
      </c>
      <c r="O14" s="87" t="str">
        <f>IFERROR(VLOOKUP(TableHandbook[[#This Row],[UDC]],TableMJRUTHTRA[],7,FALSE),"")</f>
        <v/>
      </c>
    </row>
    <row r="15" spans="1:16" x14ac:dyDescent="0.25">
      <c r="A15" s="8" t="s">
        <v>84</v>
      </c>
      <c r="B15" s="9">
        <v>1</v>
      </c>
      <c r="C15" s="8"/>
      <c r="D15" s="8" t="s">
        <v>83</v>
      </c>
      <c r="E15" s="9">
        <v>200</v>
      </c>
      <c r="F15" s="73" t="s">
        <v>130</v>
      </c>
      <c r="G15" s="88" t="str">
        <f>IFERROR(IF(VLOOKUP(TableHandbook[[#This Row],[UDC]],TableAvailabilities[],2,FALSE)&gt;0,"Y",""),"")</f>
        <v/>
      </c>
      <c r="H15" s="89" t="str">
        <f>IFERROR(IF(VLOOKUP(TableHandbook[[#This Row],[UDC]],TableAvailabilities[],3,FALSE)&gt;0,"Y",""),"")</f>
        <v/>
      </c>
      <c r="I15" s="90" t="str">
        <f>IFERROR(IF(VLOOKUP(TableHandbook[[#This Row],[UDC]],TableAvailabilities[],4,FALSE)&gt;0,"Y",""),"")</f>
        <v/>
      </c>
      <c r="J15" s="91" t="str">
        <f>IFERROR(IF(VLOOKUP(TableHandbook[[#This Row],[UDC]],TableAvailabilities[],5,FALSE)&gt;0,"Y",""),"")</f>
        <v/>
      </c>
      <c r="K15" s="114"/>
      <c r="L15" s="86" t="str">
        <f>IFERROR(VLOOKUP(TableHandbook[[#This Row],[UDC]],TableBCRARTS[],7,FALSE),"")</f>
        <v>AltCore</v>
      </c>
      <c r="M15" s="87" t="str">
        <f>IFERROR(VLOOKUP(TableHandbook[[#This Row],[UDC]],TableMJRUFINAR[],7,FALSE),"")</f>
        <v/>
      </c>
      <c r="N15" s="87" t="str">
        <f>IFERROR(VLOOKUP(TableHandbook[[#This Row],[UDC]],TableMJRUSCRAR[],7,FALSE),"")</f>
        <v/>
      </c>
      <c r="O15" s="87" t="str">
        <f>IFERROR(VLOOKUP(TableHandbook[[#This Row],[UDC]],TableMJRUTHTRA[],7,FALSE),"")</f>
        <v/>
      </c>
    </row>
    <row r="16" spans="1:16" x14ac:dyDescent="0.25">
      <c r="A16" s="8" t="s">
        <v>86</v>
      </c>
      <c r="B16" s="9">
        <v>1</v>
      </c>
      <c r="C16" s="8"/>
      <c r="D16" s="8" t="s">
        <v>14</v>
      </c>
      <c r="E16" s="9">
        <v>200</v>
      </c>
      <c r="F16" s="73" t="s">
        <v>130</v>
      </c>
      <c r="G16" s="88" t="str">
        <f>IFERROR(IF(VLOOKUP(TableHandbook[[#This Row],[UDC]],TableAvailabilities[],2,FALSE)&gt;0,"Y",""),"")</f>
        <v/>
      </c>
      <c r="H16" s="89" t="str">
        <f>IFERROR(IF(VLOOKUP(TableHandbook[[#This Row],[UDC]],TableAvailabilities[],3,FALSE)&gt;0,"Y",""),"")</f>
        <v/>
      </c>
      <c r="I16" s="90" t="str">
        <f>IFERROR(IF(VLOOKUP(TableHandbook[[#This Row],[UDC]],TableAvailabilities[],4,FALSE)&gt;0,"Y",""),"")</f>
        <v/>
      </c>
      <c r="J16" s="91" t="str">
        <f>IFERROR(IF(VLOOKUP(TableHandbook[[#This Row],[UDC]],TableAvailabilities[],5,FALSE)&gt;0,"Y",""),"")</f>
        <v/>
      </c>
      <c r="K16" s="114"/>
      <c r="L16" s="86" t="str">
        <f>IFERROR(VLOOKUP(TableHandbook[[#This Row],[UDC]],TableBCRARTS[],7,FALSE),"")</f>
        <v>AltCore</v>
      </c>
      <c r="M16" s="87" t="str">
        <f>IFERROR(VLOOKUP(TableHandbook[[#This Row],[UDC]],TableMJRUFINAR[],7,FALSE),"")</f>
        <v/>
      </c>
      <c r="N16" s="87" t="str">
        <f>IFERROR(VLOOKUP(TableHandbook[[#This Row],[UDC]],TableMJRUSCRAR[],7,FALSE),"")</f>
        <v/>
      </c>
      <c r="O16" s="87" t="str">
        <f>IFERROR(VLOOKUP(TableHandbook[[#This Row],[UDC]],TableMJRUTHTRA[],7,FALSE),"")</f>
        <v/>
      </c>
    </row>
    <row r="17" spans="1:15" x14ac:dyDescent="0.25">
      <c r="A17" s="8" t="s">
        <v>121</v>
      </c>
      <c r="B17" s="9">
        <v>0</v>
      </c>
      <c r="C17" s="8"/>
      <c r="D17" s="8" t="s">
        <v>186</v>
      </c>
      <c r="E17" s="9">
        <v>25</v>
      </c>
      <c r="F17" s="73" t="s">
        <v>176</v>
      </c>
      <c r="G17" s="88" t="str">
        <f>IFERROR(IF(VLOOKUP(TableHandbook[[#This Row],[UDC]],TableAvailabilities[],2,FALSE)&gt;0,"Y",""),"")</f>
        <v/>
      </c>
      <c r="H17" s="89" t="str">
        <f>IFERROR(IF(VLOOKUP(TableHandbook[[#This Row],[UDC]],TableAvailabilities[],3,FALSE)&gt;0,"Y",""),"")</f>
        <v/>
      </c>
      <c r="I17" s="90" t="str">
        <f>IFERROR(IF(VLOOKUP(TableHandbook[[#This Row],[UDC]],TableAvailabilities[],4,FALSE)&gt;0,"Y",""),"")</f>
        <v/>
      </c>
      <c r="J17" s="91" t="str">
        <f>IFERROR(IF(VLOOKUP(TableHandbook[[#This Row],[UDC]],TableAvailabilities[],5,FALSE)&gt;0,"Y",""),"")</f>
        <v/>
      </c>
      <c r="K17" s="114"/>
      <c r="L17" s="86" t="str">
        <f>IFERROR(VLOOKUP(TableHandbook[[#This Row],[UDC]],TableBCRARTS[],7,FALSE),"")</f>
        <v/>
      </c>
      <c r="M17" s="87" t="str">
        <f>IFERROR(VLOOKUP(TableHandbook[[#This Row],[UDC]],TableMJRUFINAR[],7,FALSE),"")</f>
        <v/>
      </c>
      <c r="N17" s="87" t="str">
        <f>IFERROR(VLOOKUP(TableHandbook[[#This Row],[UDC]],TableMJRUSCRAR[],7,FALSE),"")</f>
        <v>Option</v>
      </c>
      <c r="O17" s="87" t="str">
        <f>IFERROR(VLOOKUP(TableHandbook[[#This Row],[UDC]],TableMJRUTHTRA[],7,FALSE),"")</f>
        <v/>
      </c>
    </row>
    <row r="18" spans="1:15" x14ac:dyDescent="0.25">
      <c r="A18" s="8" t="s">
        <v>122</v>
      </c>
      <c r="B18" s="9">
        <v>0</v>
      </c>
      <c r="C18" s="8"/>
      <c r="D18" s="8" t="s">
        <v>187</v>
      </c>
      <c r="E18" s="9">
        <v>25</v>
      </c>
      <c r="F18" s="73" t="s">
        <v>176</v>
      </c>
      <c r="G18" s="88" t="str">
        <f>IFERROR(IF(VLOOKUP(TableHandbook[[#This Row],[UDC]],TableAvailabilities[],2,FALSE)&gt;0,"Y",""),"")</f>
        <v/>
      </c>
      <c r="H18" s="89" t="str">
        <f>IFERROR(IF(VLOOKUP(TableHandbook[[#This Row],[UDC]],TableAvailabilities[],3,FALSE)&gt;0,"Y",""),"")</f>
        <v/>
      </c>
      <c r="I18" s="90" t="str">
        <f>IFERROR(IF(VLOOKUP(TableHandbook[[#This Row],[UDC]],TableAvailabilities[],4,FALSE)&gt;0,"Y",""),"")</f>
        <v/>
      </c>
      <c r="J18" s="91" t="str">
        <f>IFERROR(IF(VLOOKUP(TableHandbook[[#This Row],[UDC]],TableAvailabilities[],5,FALSE)&gt;0,"Y",""),"")</f>
        <v/>
      </c>
      <c r="K18" s="114"/>
      <c r="L18" s="86" t="str">
        <f>IFERROR(VLOOKUP(TableHandbook[[#This Row],[UDC]],TableBCRARTS[],7,FALSE),"")</f>
        <v/>
      </c>
      <c r="M18" s="87" t="str">
        <f>IFERROR(VLOOKUP(TableHandbook[[#This Row],[UDC]],TableMJRUFINAR[],7,FALSE),"")</f>
        <v/>
      </c>
      <c r="N18" s="87" t="str">
        <f>IFERROR(VLOOKUP(TableHandbook[[#This Row],[UDC]],TableMJRUSCRAR[],7,FALSE),"")</f>
        <v>Option</v>
      </c>
      <c r="O18" s="87" t="str">
        <f>IFERROR(VLOOKUP(TableHandbook[[#This Row],[UDC]],TableMJRUTHTRA[],7,FALSE),"")</f>
        <v/>
      </c>
    </row>
    <row r="19" spans="1:15" x14ac:dyDescent="0.25">
      <c r="A19" s="8" t="s">
        <v>98</v>
      </c>
      <c r="B19" s="9">
        <v>0</v>
      </c>
      <c r="C19" s="8"/>
      <c r="D19" s="8" t="s">
        <v>188</v>
      </c>
      <c r="E19" s="9">
        <v>25</v>
      </c>
      <c r="F19" s="73" t="s">
        <v>176</v>
      </c>
      <c r="G19" s="88" t="str">
        <f>IFERROR(IF(VLOOKUP(TableHandbook[[#This Row],[UDC]],TableAvailabilities[],2,FALSE)&gt;0,"Y",""),"")</f>
        <v/>
      </c>
      <c r="H19" s="89" t="str">
        <f>IFERROR(IF(VLOOKUP(TableHandbook[[#This Row],[UDC]],TableAvailabilities[],3,FALSE)&gt;0,"Y",""),"")</f>
        <v/>
      </c>
      <c r="I19" s="90" t="str">
        <f>IFERROR(IF(VLOOKUP(TableHandbook[[#This Row],[UDC]],TableAvailabilities[],4,FALSE)&gt;0,"Y",""),"")</f>
        <v/>
      </c>
      <c r="J19" s="91" t="str">
        <f>IFERROR(IF(VLOOKUP(TableHandbook[[#This Row],[UDC]],TableAvailabilities[],5,FALSE)&gt;0,"Y",""),"")</f>
        <v/>
      </c>
      <c r="K19" s="114"/>
      <c r="L19" s="86" t="str">
        <f>IFERROR(VLOOKUP(TableHandbook[[#This Row],[UDC]],TableBCRARTS[],7,FALSE),"")</f>
        <v/>
      </c>
      <c r="M19" s="87" t="str">
        <f>IFERROR(VLOOKUP(TableHandbook[[#This Row],[UDC]],TableMJRUFINAR[],7,FALSE),"")</f>
        <v/>
      </c>
      <c r="N19" s="87" t="str">
        <f>IFERROR(VLOOKUP(TableHandbook[[#This Row],[UDC]],TableMJRUSCRAR[],7,FALSE),"")</f>
        <v/>
      </c>
      <c r="O19" s="87" t="str">
        <f>IFERROR(VLOOKUP(TableHandbook[[#This Row],[UDC]],TableMJRUTHTRA[],7,FALSE),"")</f>
        <v>Option</v>
      </c>
    </row>
    <row r="20" spans="1:15" x14ac:dyDescent="0.25">
      <c r="A20" s="8" t="s">
        <v>153</v>
      </c>
      <c r="B20" s="9">
        <v>0</v>
      </c>
      <c r="C20" s="8"/>
      <c r="D20" s="8" t="s">
        <v>189</v>
      </c>
      <c r="E20" s="9">
        <v>50</v>
      </c>
      <c r="F20" s="73" t="s">
        <v>176</v>
      </c>
      <c r="G20" s="88" t="str">
        <f>IFERROR(IF(VLOOKUP(TableHandbook[[#This Row],[UDC]],TableAvailabilities[],2,FALSE)&gt;0,"Y",""),"")</f>
        <v/>
      </c>
      <c r="H20" s="89" t="str">
        <f>IFERROR(IF(VLOOKUP(TableHandbook[[#This Row],[UDC]],TableAvailabilities[],3,FALSE)&gt;0,"Y",""),"")</f>
        <v/>
      </c>
      <c r="I20" s="90" t="str">
        <f>IFERROR(IF(VLOOKUP(TableHandbook[[#This Row],[UDC]],TableAvailabilities[],4,FALSE)&gt;0,"Y",""),"")</f>
        <v/>
      </c>
      <c r="J20" s="91" t="str">
        <f>IFERROR(IF(VLOOKUP(TableHandbook[[#This Row],[UDC]],TableAvailabilities[],5,FALSE)&gt;0,"Y",""),"")</f>
        <v/>
      </c>
      <c r="K20" s="114"/>
      <c r="L20" s="86" t="str">
        <f>IFERROR(VLOOKUP(TableHandbook[[#This Row],[UDC]],TableBCRARTS[],7,FALSE),"")</f>
        <v>Option</v>
      </c>
      <c r="M20" s="87" t="str">
        <f>IFERROR(VLOOKUP(TableHandbook[[#This Row],[UDC]],TableMJRUFINAR[],7,FALSE),"")</f>
        <v/>
      </c>
      <c r="N20" s="87" t="str">
        <f>IFERROR(VLOOKUP(TableHandbook[[#This Row],[UDC]],TableMJRUSCRAR[],7,FALSE),"")</f>
        <v/>
      </c>
      <c r="O20" s="87" t="str">
        <f>IFERROR(VLOOKUP(TableHandbook[[#This Row],[UDC]],TableMJRUTHTRA[],7,FALSE),"")</f>
        <v/>
      </c>
    </row>
    <row r="21" spans="1:15" x14ac:dyDescent="0.25">
      <c r="A21" s="8" t="s">
        <v>160</v>
      </c>
      <c r="B21" s="9">
        <v>0</v>
      </c>
      <c r="C21" s="8"/>
      <c r="D21" s="8" t="s">
        <v>190</v>
      </c>
      <c r="E21" s="9">
        <v>25</v>
      </c>
      <c r="F21" s="73" t="s">
        <v>176</v>
      </c>
      <c r="G21" s="88" t="str">
        <f>IFERROR(IF(VLOOKUP(TableHandbook[[#This Row],[UDC]],TableAvailabilities[],2,FALSE)&gt;0,"Y",""),"")</f>
        <v/>
      </c>
      <c r="H21" s="89" t="str">
        <f>IFERROR(IF(VLOOKUP(TableHandbook[[#This Row],[UDC]],TableAvailabilities[],3,FALSE)&gt;0,"Y",""),"")</f>
        <v/>
      </c>
      <c r="I21" s="90" t="str">
        <f>IFERROR(IF(VLOOKUP(TableHandbook[[#This Row],[UDC]],TableAvailabilities[],4,FALSE)&gt;0,"Y",""),"")</f>
        <v/>
      </c>
      <c r="J21" s="91" t="str">
        <f>IFERROR(IF(VLOOKUP(TableHandbook[[#This Row],[UDC]],TableAvailabilities[],5,FALSE)&gt;0,"Y",""),"")</f>
        <v/>
      </c>
      <c r="K21" s="114"/>
      <c r="L21" s="86" t="str">
        <f>IFERROR(VLOOKUP(TableHandbook[[#This Row],[UDC]],TableBCRARTS[],7,FALSE),"")</f>
        <v>Option</v>
      </c>
      <c r="M21" s="87" t="str">
        <f>IFERROR(VLOOKUP(TableHandbook[[#This Row],[UDC]],TableMJRUFINAR[],7,FALSE),"")</f>
        <v/>
      </c>
      <c r="N21" s="87" t="str">
        <f>IFERROR(VLOOKUP(TableHandbook[[#This Row],[UDC]],TableMJRUSCRAR[],7,FALSE),"")</f>
        <v/>
      </c>
      <c r="O21" s="87" t="str">
        <f>IFERROR(VLOOKUP(TableHandbook[[#This Row],[UDC]],TableMJRUTHTRA[],7,FALSE),"")</f>
        <v/>
      </c>
    </row>
    <row r="22" spans="1:15" x14ac:dyDescent="0.25">
      <c r="A22" s="8" t="s">
        <v>154</v>
      </c>
      <c r="B22" s="9">
        <v>2</v>
      </c>
      <c r="C22" s="8"/>
      <c r="D22" s="8" t="s">
        <v>191</v>
      </c>
      <c r="E22" s="9">
        <v>25</v>
      </c>
      <c r="F22" s="73" t="s">
        <v>181</v>
      </c>
      <c r="G22" s="88" t="str">
        <f>IFERROR(IF(VLOOKUP(TableHandbook[[#This Row],[UDC]],TableAvailabilities[],2,FALSE)&gt;0,"Y",""),"")</f>
        <v>Y</v>
      </c>
      <c r="H22" s="89" t="str">
        <f>IFERROR(IF(VLOOKUP(TableHandbook[[#This Row],[UDC]],TableAvailabilities[],3,FALSE)&gt;0,"Y",""),"")</f>
        <v/>
      </c>
      <c r="I22" s="90" t="str">
        <f>IFERROR(IF(VLOOKUP(TableHandbook[[#This Row],[UDC]],TableAvailabilities[],4,FALSE)&gt;0,"Y",""),"")</f>
        <v>Y</v>
      </c>
      <c r="J22" s="91" t="str">
        <f>IFERROR(IF(VLOOKUP(TableHandbook[[#This Row],[UDC]],TableAvailabilities[],5,FALSE)&gt;0,"Y",""),"")</f>
        <v/>
      </c>
      <c r="K22" s="114"/>
      <c r="L22" s="86" t="str">
        <f>IFERROR(VLOOKUP(TableHandbook[[#This Row],[UDC]],TableBCRARTS[],7,FALSE),"")</f>
        <v>Option</v>
      </c>
      <c r="M22" s="87" t="str">
        <f>IFERROR(VLOOKUP(TableHandbook[[#This Row],[UDC]],TableMJRUFINAR[],7,FALSE),"")</f>
        <v/>
      </c>
      <c r="N22" s="87" t="str">
        <f>IFERROR(VLOOKUP(TableHandbook[[#This Row],[UDC]],TableMJRUSCRAR[],7,FALSE),"")</f>
        <v/>
      </c>
      <c r="O22" s="87" t="str">
        <f>IFERROR(VLOOKUP(TableHandbook[[#This Row],[UDC]],TableMJRUTHTRA[],7,FALSE),"")</f>
        <v/>
      </c>
    </row>
    <row r="23" spans="1:15" x14ac:dyDescent="0.25">
      <c r="A23" s="8" t="s">
        <v>97</v>
      </c>
      <c r="B23" s="9">
        <v>1</v>
      </c>
      <c r="C23" s="8"/>
      <c r="D23" s="8" t="s">
        <v>192</v>
      </c>
      <c r="E23" s="9">
        <v>25</v>
      </c>
      <c r="F23" s="73" t="s">
        <v>181</v>
      </c>
      <c r="G23" s="88" t="str">
        <f>IFERROR(IF(VLOOKUP(TableHandbook[[#This Row],[UDC]],TableAvailabilities[],2,FALSE)&gt;0,"Y",""),"")</f>
        <v/>
      </c>
      <c r="H23" s="89" t="str">
        <f>IFERROR(IF(VLOOKUP(TableHandbook[[#This Row],[UDC]],TableAvailabilities[],3,FALSE)&gt;0,"Y",""),"")</f>
        <v/>
      </c>
      <c r="I23" s="90" t="str">
        <f>IFERROR(IF(VLOOKUP(TableHandbook[[#This Row],[UDC]],TableAvailabilities[],4,FALSE)&gt;0,"Y",""),"")</f>
        <v>Y</v>
      </c>
      <c r="J23" s="91" t="str">
        <f>IFERROR(IF(VLOOKUP(TableHandbook[[#This Row],[UDC]],TableAvailabilities[],5,FALSE)&gt;0,"Y",""),"")</f>
        <v/>
      </c>
      <c r="K23" s="114"/>
      <c r="L23" s="86" t="str">
        <f>IFERROR(VLOOKUP(TableHandbook[[#This Row],[UDC]],TableBCRARTS[],7,FALSE),"")</f>
        <v/>
      </c>
      <c r="M23" s="87" t="str">
        <f>IFERROR(VLOOKUP(TableHandbook[[#This Row],[UDC]],TableMJRUFINAR[],7,FALSE),"")</f>
        <v/>
      </c>
      <c r="N23" s="87" t="str">
        <f>IFERROR(VLOOKUP(TableHandbook[[#This Row],[UDC]],TableMJRUSCRAR[],7,FALSE),"")</f>
        <v>Core</v>
      </c>
      <c r="O23" s="87" t="str">
        <f>IFERROR(VLOOKUP(TableHandbook[[#This Row],[UDC]],TableMJRUTHTRA[],7,FALSE),"")</f>
        <v/>
      </c>
    </row>
    <row r="24" spans="1:15" x14ac:dyDescent="0.25">
      <c r="A24" s="8" t="s">
        <v>117</v>
      </c>
      <c r="B24" s="9">
        <v>1</v>
      </c>
      <c r="C24" s="8"/>
      <c r="D24" s="8" t="s">
        <v>193</v>
      </c>
      <c r="E24" s="9">
        <v>25</v>
      </c>
      <c r="F24" s="73" t="s">
        <v>181</v>
      </c>
      <c r="G24" s="88" t="str">
        <f>IFERROR(IF(VLOOKUP(TableHandbook[[#This Row],[UDC]],TableAvailabilities[],2,FALSE)&gt;0,"Y",""),"")</f>
        <v/>
      </c>
      <c r="H24" s="89" t="str">
        <f>IFERROR(IF(VLOOKUP(TableHandbook[[#This Row],[UDC]],TableAvailabilities[],3,FALSE)&gt;0,"Y",""),"")</f>
        <v/>
      </c>
      <c r="I24" s="90" t="str">
        <f>IFERROR(IF(VLOOKUP(TableHandbook[[#This Row],[UDC]],TableAvailabilities[],4,FALSE)&gt;0,"Y",""),"")</f>
        <v>Y</v>
      </c>
      <c r="J24" s="91" t="str">
        <f>IFERROR(IF(VLOOKUP(TableHandbook[[#This Row],[UDC]],TableAvailabilities[],5,FALSE)&gt;0,"Y",""),"")</f>
        <v>Y</v>
      </c>
      <c r="K24" s="114"/>
      <c r="L24" s="86" t="str">
        <f>IFERROR(VLOOKUP(TableHandbook[[#This Row],[UDC]],TableBCRARTS[],7,FALSE),"")</f>
        <v/>
      </c>
      <c r="M24" s="87" t="str">
        <f>IFERROR(VLOOKUP(TableHandbook[[#This Row],[UDC]],TableMJRUFINAR[],7,FALSE),"")</f>
        <v/>
      </c>
      <c r="N24" s="87" t="str">
        <f>IFERROR(VLOOKUP(TableHandbook[[#This Row],[UDC]],TableMJRUSCRAR[],7,FALSE),"")</f>
        <v>Core</v>
      </c>
      <c r="O24" s="87" t="str">
        <f>IFERROR(VLOOKUP(TableHandbook[[#This Row],[UDC]],TableMJRUTHTRA[],7,FALSE),"")</f>
        <v/>
      </c>
    </row>
    <row r="25" spans="1:15" x14ac:dyDescent="0.25">
      <c r="A25" s="8" t="s">
        <v>90</v>
      </c>
      <c r="B25" s="9">
        <v>1</v>
      </c>
      <c r="C25" s="8"/>
      <c r="D25" s="8" t="s">
        <v>194</v>
      </c>
      <c r="E25" s="9">
        <v>25</v>
      </c>
      <c r="F25" s="73" t="s">
        <v>181</v>
      </c>
      <c r="G25" s="88" t="str">
        <f>IFERROR(IF(VLOOKUP(TableHandbook[[#This Row],[UDC]],TableAvailabilities[],2,FALSE)&gt;0,"Y",""),"")</f>
        <v>Y</v>
      </c>
      <c r="H25" s="89" t="str">
        <f>IFERROR(IF(VLOOKUP(TableHandbook[[#This Row],[UDC]],TableAvailabilities[],3,FALSE)&gt;0,"Y",""),"")</f>
        <v/>
      </c>
      <c r="I25" s="90" t="str">
        <f>IFERROR(IF(VLOOKUP(TableHandbook[[#This Row],[UDC]],TableAvailabilities[],4,FALSE)&gt;0,"Y",""),"")</f>
        <v/>
      </c>
      <c r="J25" s="91" t="str">
        <f>IFERROR(IF(VLOOKUP(TableHandbook[[#This Row],[UDC]],TableAvailabilities[],5,FALSE)&gt;0,"Y",""),"")</f>
        <v/>
      </c>
      <c r="K25" s="114"/>
      <c r="L25" s="86" t="str">
        <f>IFERROR(VLOOKUP(TableHandbook[[#This Row],[UDC]],TableBCRARTS[],7,FALSE),"")</f>
        <v/>
      </c>
      <c r="M25" s="87" t="str">
        <f>IFERROR(VLOOKUP(TableHandbook[[#This Row],[UDC]],TableMJRUFINAR[],7,FALSE),"")</f>
        <v/>
      </c>
      <c r="N25" s="87" t="str">
        <f>IFERROR(VLOOKUP(TableHandbook[[#This Row],[UDC]],TableMJRUSCRAR[],7,FALSE),"")</f>
        <v>Core</v>
      </c>
      <c r="O25" s="87" t="str">
        <f>IFERROR(VLOOKUP(TableHandbook[[#This Row],[UDC]],TableMJRUTHTRA[],7,FALSE),"")</f>
        <v/>
      </c>
    </row>
    <row r="26" spans="1:15" x14ac:dyDescent="0.25">
      <c r="A26" s="8" t="s">
        <v>109</v>
      </c>
      <c r="B26" s="9"/>
      <c r="C26" s="8"/>
      <c r="D26" s="8" t="s">
        <v>195</v>
      </c>
      <c r="E26" s="9">
        <v>25</v>
      </c>
      <c r="F26" s="73" t="s">
        <v>184</v>
      </c>
      <c r="G26" s="88" t="str">
        <f>IFERROR(IF(VLOOKUP(TableHandbook[[#This Row],[UDC]],TableAvailabilities[],2,FALSE)&gt;0,"Y",""),"")</f>
        <v/>
      </c>
      <c r="H26" s="89" t="str">
        <f>IFERROR(IF(VLOOKUP(TableHandbook[[#This Row],[UDC]],TableAvailabilities[],3,FALSE)&gt;0,"Y",""),"")</f>
        <v/>
      </c>
      <c r="I26" s="90" t="str">
        <f>IFERROR(IF(VLOOKUP(TableHandbook[[#This Row],[UDC]],TableAvailabilities[],4,FALSE)&gt;0,"Y",""),"")</f>
        <v/>
      </c>
      <c r="J26" s="91" t="str">
        <f>IFERROR(IF(VLOOKUP(TableHandbook[[#This Row],[UDC]],TableAvailabilities[],5,FALSE)&gt;0,"Y",""),"")</f>
        <v/>
      </c>
      <c r="K26" s="115"/>
      <c r="L26" s="86" t="str">
        <f>IFERROR(VLOOKUP(TableHandbook[[#This Row],[UDC]],TableBCRARTS[],7,FALSE),"")</f>
        <v>Option</v>
      </c>
      <c r="M26" s="87" t="str">
        <f>IFERROR(VLOOKUP(TableHandbook[[#This Row],[UDC]],TableMJRUFINAR[],7,FALSE),"")</f>
        <v/>
      </c>
      <c r="N26" s="87" t="str">
        <f>IFERROR(VLOOKUP(TableHandbook[[#This Row],[UDC]],TableMJRUSCRAR[],7,FALSE),"")</f>
        <v/>
      </c>
      <c r="O26" s="87" t="str">
        <f>IFERROR(VLOOKUP(TableHandbook[[#This Row],[UDC]],TableMJRUTHTRA[],7,FALSE),"")</f>
        <v/>
      </c>
    </row>
    <row r="27" spans="1:15" x14ac:dyDescent="0.25">
      <c r="A27" s="8" t="s">
        <v>155</v>
      </c>
      <c r="B27" s="156">
        <v>3</v>
      </c>
      <c r="C27" s="150"/>
      <c r="D27" s="8" t="s">
        <v>196</v>
      </c>
      <c r="E27" s="156">
        <v>25</v>
      </c>
      <c r="F27" s="157" t="s">
        <v>181</v>
      </c>
      <c r="G27" s="151" t="str">
        <f>IFERROR(IF(VLOOKUP(TableHandbook[[#This Row],[UDC]],TableAvailabilities[],2,FALSE)&gt;0,"Y",""),"")</f>
        <v>Y</v>
      </c>
      <c r="H27" s="152" t="str">
        <f>IFERROR(IF(VLOOKUP(TableHandbook[[#This Row],[UDC]],TableAvailabilities[],3,FALSE)&gt;0,"Y",""),"")</f>
        <v/>
      </c>
      <c r="I27" s="153" t="str">
        <f>IFERROR(IF(VLOOKUP(TableHandbook[[#This Row],[UDC]],TableAvailabilities[],4,FALSE)&gt;0,"Y",""),"")</f>
        <v>Y</v>
      </c>
      <c r="J27" s="154" t="str">
        <f>IFERROR(IF(VLOOKUP(TableHandbook[[#This Row],[UDC]],TableAvailabilities[],5,FALSE)&gt;0,"Y",""),"")</f>
        <v/>
      </c>
      <c r="K27" s="162"/>
      <c r="L27" s="158" t="str">
        <f>IFERROR(VLOOKUP(TableHandbook[[#This Row],[UDC]],TableBCRARTS[],7,FALSE),"")</f>
        <v>Option</v>
      </c>
      <c r="M27" s="155" t="str">
        <f>IFERROR(VLOOKUP(TableHandbook[[#This Row],[UDC]],TableMJRUFINAR[],7,FALSE),"")</f>
        <v/>
      </c>
      <c r="N27" s="155" t="str">
        <f>IFERROR(VLOOKUP(TableHandbook[[#This Row],[UDC]],TableMJRUSCRAR[],7,FALSE),"")</f>
        <v/>
      </c>
      <c r="O27" s="155" t="str">
        <f>IFERROR(VLOOKUP(TableHandbook[[#This Row],[UDC]],TableMJRUTHTRA[],7,FALSE),"")</f>
        <v/>
      </c>
    </row>
    <row r="28" spans="1:15" x14ac:dyDescent="0.25">
      <c r="A28" s="8" t="s">
        <v>197</v>
      </c>
      <c r="B28" s="9">
        <v>2</v>
      </c>
      <c r="C28" s="8"/>
      <c r="D28" s="8" t="s">
        <v>198</v>
      </c>
      <c r="E28" s="9">
        <v>25</v>
      </c>
      <c r="F28" s="73" t="s">
        <v>181</v>
      </c>
      <c r="G28" s="88" t="str">
        <f>IFERROR(IF(VLOOKUP(TableHandbook[[#This Row],[UDC]],TableAvailabilities[],2,FALSE)&gt;0,"Y",""),"")</f>
        <v/>
      </c>
      <c r="H28" s="89" t="str">
        <f>IFERROR(IF(VLOOKUP(TableHandbook[[#This Row],[UDC]],TableAvailabilities[],3,FALSE)&gt;0,"Y",""),"")</f>
        <v/>
      </c>
      <c r="I28" s="90" t="str">
        <f>IFERROR(IF(VLOOKUP(TableHandbook[[#This Row],[UDC]],TableAvailabilities[],4,FALSE)&gt;0,"Y",""),"")</f>
        <v/>
      </c>
      <c r="J28" s="91" t="str">
        <f>IFERROR(IF(VLOOKUP(TableHandbook[[#This Row],[UDC]],TableAvailabilities[],5,FALSE)&gt;0,"Y",""),"")</f>
        <v/>
      </c>
      <c r="K28" s="115"/>
      <c r="L28" s="86" t="str">
        <f>IFERROR(VLOOKUP(TableHandbook[[#This Row],[UDC]],TableBCRARTS[],7,FALSE),"")</f>
        <v/>
      </c>
      <c r="M28" s="87" t="str">
        <f>IFERROR(VLOOKUP(TableHandbook[[#This Row],[UDC]],TableMJRUFINAR[],7,FALSE),"")</f>
        <v/>
      </c>
      <c r="N28" s="87" t="str">
        <f>IFERROR(VLOOKUP(TableHandbook[[#This Row],[UDC]],TableMJRUSCRAR[],7,FALSE),"")</f>
        <v/>
      </c>
      <c r="O28" s="87" t="str">
        <f>IFERROR(VLOOKUP(TableHandbook[[#This Row],[UDC]],TableMJRUTHTRA[],7,FALSE),"")</f>
        <v/>
      </c>
    </row>
    <row r="29" spans="1:15" x14ac:dyDescent="0.25">
      <c r="A29" s="8" t="s">
        <v>161</v>
      </c>
      <c r="B29" s="9">
        <v>3</v>
      </c>
      <c r="C29" s="8"/>
      <c r="D29" s="8" t="s">
        <v>199</v>
      </c>
      <c r="E29" s="9">
        <v>25</v>
      </c>
      <c r="F29" s="73" t="s">
        <v>181</v>
      </c>
      <c r="G29" s="88" t="str">
        <f>IFERROR(IF(VLOOKUP(TableHandbook[[#This Row],[UDC]],TableAvailabilities[],2,FALSE)&gt;0,"Y",""),"")</f>
        <v>Y</v>
      </c>
      <c r="H29" s="89" t="str">
        <f>IFERROR(IF(VLOOKUP(TableHandbook[[#This Row],[UDC]],TableAvailabilities[],3,FALSE)&gt;0,"Y",""),"")</f>
        <v/>
      </c>
      <c r="I29" s="90" t="str">
        <f>IFERROR(IF(VLOOKUP(TableHandbook[[#This Row],[UDC]],TableAvailabilities[],4,FALSE)&gt;0,"Y",""),"")</f>
        <v>Y</v>
      </c>
      <c r="J29" s="91" t="str">
        <f>IFERROR(IF(VLOOKUP(TableHandbook[[#This Row],[UDC]],TableAvailabilities[],5,FALSE)&gt;0,"Y",""),"")</f>
        <v/>
      </c>
      <c r="K29" s="115"/>
      <c r="L29" s="86" t="str">
        <f>IFERROR(VLOOKUP(TableHandbook[[#This Row],[UDC]],TableBCRARTS[],7,FALSE),"")</f>
        <v>Option</v>
      </c>
      <c r="M29" s="87" t="str">
        <f>IFERROR(VLOOKUP(TableHandbook[[#This Row],[UDC]],TableMJRUFINAR[],7,FALSE),"")</f>
        <v/>
      </c>
      <c r="N29" s="87" t="str">
        <f>IFERROR(VLOOKUP(TableHandbook[[#This Row],[UDC]],TableMJRUSCRAR[],7,FALSE),"")</f>
        <v/>
      </c>
      <c r="O29" s="87" t="str">
        <f>IFERROR(VLOOKUP(TableHandbook[[#This Row],[UDC]],TableMJRUTHTRA[],7,FALSE),"")</f>
        <v/>
      </c>
    </row>
    <row r="30" spans="1:15" x14ac:dyDescent="0.25">
      <c r="A30" s="8" t="s">
        <v>148</v>
      </c>
      <c r="B30" s="9">
        <v>3</v>
      </c>
      <c r="C30" s="8"/>
      <c r="D30" s="8" t="s">
        <v>200</v>
      </c>
      <c r="E30" s="9">
        <v>25</v>
      </c>
      <c r="F30" s="73" t="s">
        <v>181</v>
      </c>
      <c r="G30" s="88" t="str">
        <f>IFERROR(IF(VLOOKUP(TableHandbook[[#This Row],[UDC]],TableAvailabilities[],2,FALSE)&gt;0,"Y",""),"")</f>
        <v>Y</v>
      </c>
      <c r="H30" s="89" t="str">
        <f>IFERROR(IF(VLOOKUP(TableHandbook[[#This Row],[UDC]],TableAvailabilities[],3,FALSE)&gt;0,"Y",""),"")</f>
        <v/>
      </c>
      <c r="I30" s="90" t="str">
        <f>IFERROR(IF(VLOOKUP(TableHandbook[[#This Row],[UDC]],TableAvailabilities[],4,FALSE)&gt;0,"Y",""),"")</f>
        <v/>
      </c>
      <c r="J30" s="91" t="str">
        <f>IFERROR(IF(VLOOKUP(TableHandbook[[#This Row],[UDC]],TableAvailabilities[],5,FALSE)&gt;0,"Y",""),"")</f>
        <v/>
      </c>
      <c r="K30" s="115"/>
      <c r="L30" s="86" t="str">
        <f>IFERROR(VLOOKUP(TableHandbook[[#This Row],[UDC]],TableBCRARTS[],7,FALSE),"")</f>
        <v/>
      </c>
      <c r="M30" s="87" t="str">
        <f>IFERROR(VLOOKUP(TableHandbook[[#This Row],[UDC]],TableMJRUFINAR[],7,FALSE),"")</f>
        <v/>
      </c>
      <c r="N30" s="87" t="str">
        <f>IFERROR(VLOOKUP(TableHandbook[[#This Row],[UDC]],TableMJRUSCRAR[],7,FALSE),"")</f>
        <v>Option</v>
      </c>
      <c r="O30" s="87" t="str">
        <f>IFERROR(VLOOKUP(TableHandbook[[#This Row],[UDC]],TableMJRUTHTRA[],7,FALSE),"")</f>
        <v/>
      </c>
    </row>
    <row r="31" spans="1:15" x14ac:dyDescent="0.25">
      <c r="A31" s="8" t="s">
        <v>96</v>
      </c>
      <c r="B31" s="9">
        <v>2</v>
      </c>
      <c r="C31" s="8"/>
      <c r="D31" s="8" t="s">
        <v>201</v>
      </c>
      <c r="E31" s="9">
        <v>25</v>
      </c>
      <c r="F31" s="165" t="s">
        <v>202</v>
      </c>
      <c r="G31" s="88" t="str">
        <f>IFERROR(IF(VLOOKUP(TableHandbook[[#This Row],[UDC]],TableAvailabilities[],2,FALSE)&gt;0,"Y",""),"")</f>
        <v>Y</v>
      </c>
      <c r="H31" s="89" t="str">
        <f>IFERROR(IF(VLOOKUP(TableHandbook[[#This Row],[UDC]],TableAvailabilities[],3,FALSE)&gt;0,"Y",""),"")</f>
        <v/>
      </c>
      <c r="I31" s="90" t="str">
        <f>IFERROR(IF(VLOOKUP(TableHandbook[[#This Row],[UDC]],TableAvailabilities[],4,FALSE)&gt;0,"Y",""),"")</f>
        <v/>
      </c>
      <c r="J31" s="91" t="str">
        <f>IFERROR(IF(VLOOKUP(TableHandbook[[#This Row],[UDC]],TableAvailabilities[],5,FALSE)&gt;0,"Y",""),"")</f>
        <v/>
      </c>
      <c r="K31" s="115"/>
      <c r="L31" s="86" t="str">
        <f>IFERROR(VLOOKUP(TableHandbook[[#This Row],[UDC]],TableBCRARTS[],7,FALSE),"")</f>
        <v/>
      </c>
      <c r="M31" s="87" t="str">
        <f>IFERROR(VLOOKUP(TableHandbook[[#This Row],[UDC]],TableMJRUFINAR[],7,FALSE),"")</f>
        <v/>
      </c>
      <c r="N31" s="87" t="str">
        <f>IFERROR(VLOOKUP(TableHandbook[[#This Row],[UDC]],TableMJRUSCRAR[],7,FALSE),"")</f>
        <v>Core</v>
      </c>
      <c r="O31" s="87" t="str">
        <f>IFERROR(VLOOKUP(TableHandbook[[#This Row],[UDC]],TableMJRUTHTRA[],7,FALSE),"")</f>
        <v/>
      </c>
    </row>
    <row r="32" spans="1:15" x14ac:dyDescent="0.25">
      <c r="A32" s="8" t="s">
        <v>91</v>
      </c>
      <c r="B32" s="9">
        <v>1</v>
      </c>
      <c r="C32" s="8"/>
      <c r="D32" s="8" t="s">
        <v>203</v>
      </c>
      <c r="E32" s="9">
        <v>25</v>
      </c>
      <c r="F32" s="165" t="s">
        <v>202</v>
      </c>
      <c r="G32" s="88" t="str">
        <f>IFERROR(IF(VLOOKUP(TableHandbook[[#This Row],[UDC]],TableAvailabilities[],2,FALSE)&gt;0,"Y",""),"")</f>
        <v/>
      </c>
      <c r="H32" s="89" t="str">
        <f>IFERROR(IF(VLOOKUP(TableHandbook[[#This Row],[UDC]],TableAvailabilities[],3,FALSE)&gt;0,"Y",""),"")</f>
        <v/>
      </c>
      <c r="I32" s="90" t="str">
        <f>IFERROR(IF(VLOOKUP(TableHandbook[[#This Row],[UDC]],TableAvailabilities[],4,FALSE)&gt;0,"Y",""),"")</f>
        <v>Y</v>
      </c>
      <c r="J32" s="91" t="str">
        <f>IFERROR(IF(VLOOKUP(TableHandbook[[#This Row],[UDC]],TableAvailabilities[],5,FALSE)&gt;0,"Y",""),"")</f>
        <v/>
      </c>
      <c r="K32" s="115"/>
      <c r="L32" s="86" t="str">
        <f>IFERROR(VLOOKUP(TableHandbook[[#This Row],[UDC]],TableBCRARTS[],7,FALSE),"")</f>
        <v/>
      </c>
      <c r="M32" s="87" t="str">
        <f>IFERROR(VLOOKUP(TableHandbook[[#This Row],[UDC]],TableMJRUFINAR[],7,FALSE),"")</f>
        <v/>
      </c>
      <c r="N32" s="87" t="str">
        <f>IFERROR(VLOOKUP(TableHandbook[[#This Row],[UDC]],TableMJRUSCRAR[],7,FALSE),"")</f>
        <v>Core</v>
      </c>
      <c r="O32" s="87" t="str">
        <f>IFERROR(VLOOKUP(TableHandbook[[#This Row],[UDC]],TableMJRUTHTRA[],7,FALSE),"")</f>
        <v/>
      </c>
    </row>
    <row r="33" spans="1:15" ht="26.25" x14ac:dyDescent="0.25">
      <c r="A33" s="8" t="s">
        <v>149</v>
      </c>
      <c r="B33" s="9">
        <v>2</v>
      </c>
      <c r="C33" s="8"/>
      <c r="D33" s="8" t="s">
        <v>204</v>
      </c>
      <c r="E33" s="9">
        <v>25</v>
      </c>
      <c r="F33" s="165" t="s">
        <v>205</v>
      </c>
      <c r="G33" s="116" t="str">
        <f>IFERROR(IF(VLOOKUP(TableHandbook[[#This Row],[UDC]],TableAvailabilities[],2,FALSE)&gt;0,"Y",""),"")</f>
        <v>Y</v>
      </c>
      <c r="H33" s="117" t="str">
        <f>IFERROR(IF(VLOOKUP(TableHandbook[[#This Row],[UDC]],TableAvailabilities[],3,FALSE)&gt;0,"Y",""),"")</f>
        <v/>
      </c>
      <c r="I33" s="117" t="str">
        <f>IFERROR(IF(VLOOKUP(TableHandbook[[#This Row],[UDC]],TableAvailabilities[],4,FALSE)&gt;0,"Y",""),"")</f>
        <v/>
      </c>
      <c r="J33" s="118" t="str">
        <f>IFERROR(IF(VLOOKUP(TableHandbook[[#This Row],[UDC]],TableAvailabilities[],5,FALSE)&gt;0,"Y",""),"")</f>
        <v/>
      </c>
      <c r="K33" s="133" t="s">
        <v>206</v>
      </c>
      <c r="L33" s="86" t="str">
        <f>IFERROR(VLOOKUP(TableHandbook[[#This Row],[UDC]],TableBCRARTS[],7,FALSE),"")</f>
        <v/>
      </c>
      <c r="M33" s="87" t="str">
        <f>IFERROR(VLOOKUP(TableHandbook[[#This Row],[UDC]],TableMJRUFINAR[],7,FALSE),"")</f>
        <v/>
      </c>
      <c r="N33" s="87" t="str">
        <f>IFERROR(VLOOKUP(TableHandbook[[#This Row],[UDC]],TableMJRUSCRAR[],7,FALSE),"")</f>
        <v>Option</v>
      </c>
      <c r="O33" s="87" t="str">
        <f>IFERROR(VLOOKUP(TableHandbook[[#This Row],[UDC]],TableMJRUTHTRA[],7,FALSE),"")</f>
        <v/>
      </c>
    </row>
    <row r="34" spans="1:15" x14ac:dyDescent="0.25">
      <c r="A34" s="8" t="s">
        <v>142</v>
      </c>
      <c r="B34" s="9">
        <v>5</v>
      </c>
      <c r="C34" s="8"/>
      <c r="D34" s="8" t="s">
        <v>207</v>
      </c>
      <c r="E34" s="9">
        <v>25</v>
      </c>
      <c r="F34" s="165" t="s">
        <v>208</v>
      </c>
      <c r="G34" s="88" t="str">
        <f>IFERROR(IF(VLOOKUP(TableHandbook[[#This Row],[UDC]],TableAvailabilities[],2,FALSE)&gt;0,"Y",""),"")</f>
        <v>Y</v>
      </c>
      <c r="H34" s="89" t="str">
        <f>IFERROR(IF(VLOOKUP(TableHandbook[[#This Row],[UDC]],TableAvailabilities[],3,FALSE)&gt;0,"Y",""),"")</f>
        <v/>
      </c>
      <c r="I34" s="90" t="str">
        <f>IFERROR(IF(VLOOKUP(TableHandbook[[#This Row],[UDC]],TableAvailabilities[],4,FALSE)&gt;0,"Y",""),"")</f>
        <v/>
      </c>
      <c r="J34" s="91" t="str">
        <f>IFERROR(IF(VLOOKUP(TableHandbook[[#This Row],[UDC]],TableAvailabilities[],5,FALSE)&gt;0,"Y",""),"")</f>
        <v/>
      </c>
      <c r="K34" s="115"/>
      <c r="L34" s="86" t="str">
        <f>IFERROR(VLOOKUP(TableHandbook[[#This Row],[UDC]],TableBCRARTS[],7,FALSE),"")</f>
        <v/>
      </c>
      <c r="M34" s="87" t="str">
        <f>IFERROR(VLOOKUP(TableHandbook[[#This Row],[UDC]],TableMJRUFINAR[],7,FALSE),"")</f>
        <v/>
      </c>
      <c r="N34" s="87" t="str">
        <f>IFERROR(VLOOKUP(TableHandbook[[#This Row],[UDC]],TableMJRUSCRAR[],7,FALSE),"")</f>
        <v>AltCore</v>
      </c>
      <c r="O34" s="87" t="str">
        <f>IFERROR(VLOOKUP(TableHandbook[[#This Row],[UDC]],TableMJRUTHTRA[],7,FALSE),"")</f>
        <v/>
      </c>
    </row>
    <row r="35" spans="1:15" ht="51.75" x14ac:dyDescent="0.25">
      <c r="A35" s="6" t="s">
        <v>146</v>
      </c>
      <c r="B35" s="98">
        <v>1</v>
      </c>
      <c r="C35" s="6"/>
      <c r="D35" s="6" t="s">
        <v>209</v>
      </c>
      <c r="E35" s="9">
        <v>25</v>
      </c>
      <c r="F35" s="165" t="s">
        <v>210</v>
      </c>
      <c r="G35" s="88" t="str">
        <f>IFERROR(IF(VLOOKUP(TableHandbook[[#This Row],[UDC]],TableAvailabilities[],2,FALSE)&gt;0,"Y",""),"")</f>
        <v>Y</v>
      </c>
      <c r="H35" s="89" t="str">
        <f>IFERROR(IF(VLOOKUP(TableHandbook[[#This Row],[UDC]],TableAvailabilities[],3,FALSE)&gt;0,"Y",""),"")</f>
        <v/>
      </c>
      <c r="I35" s="90" t="str">
        <f>IFERROR(IF(VLOOKUP(TableHandbook[[#This Row],[UDC]],TableAvailabilities[],4,FALSE)&gt;0,"Y",""),"")</f>
        <v/>
      </c>
      <c r="J35" s="91" t="str">
        <f>IFERROR(IF(VLOOKUP(TableHandbook[[#This Row],[UDC]],TableAvailabilities[],5,FALSE)&gt;0,"Y",""),"")</f>
        <v/>
      </c>
      <c r="K35" s="130" t="s">
        <v>211</v>
      </c>
      <c r="L35" s="86" t="str">
        <f>IFERROR(VLOOKUP(TableHandbook[[#This Row],[UDC]],TableBCRARTS[],7,FALSE),"")</f>
        <v/>
      </c>
      <c r="M35" s="87" t="str">
        <f>IFERROR(VLOOKUP(TableHandbook[[#This Row],[UDC]],TableMJRUFINAR[],7,FALSE),"")</f>
        <v/>
      </c>
      <c r="N35" s="87" t="str">
        <f>IFERROR(VLOOKUP(TableHandbook[[#This Row],[UDC]],TableMJRUSCRAR[],7,FALSE),"")</f>
        <v>AltCore</v>
      </c>
      <c r="O35" s="87" t="str">
        <f>IFERROR(VLOOKUP(TableHandbook[[#This Row],[UDC]],TableMJRUTHTRA[],7,FALSE),"")</f>
        <v/>
      </c>
    </row>
    <row r="36" spans="1:15" x14ac:dyDescent="0.25">
      <c r="A36" s="6" t="s">
        <v>150</v>
      </c>
      <c r="B36" s="98">
        <v>1</v>
      </c>
      <c r="C36" s="6"/>
      <c r="D36" s="6" t="s">
        <v>212</v>
      </c>
      <c r="E36" s="9">
        <v>25</v>
      </c>
      <c r="F36" s="165" t="s">
        <v>91</v>
      </c>
      <c r="G36" s="88" t="str">
        <f>IFERROR(IF(VLOOKUP(TableHandbook[[#This Row],[UDC]],TableAvailabilities[],2,FALSE)&gt;0,"Y",""),"")</f>
        <v>Y</v>
      </c>
      <c r="H36" s="89" t="str">
        <f>IFERROR(IF(VLOOKUP(TableHandbook[[#This Row],[UDC]],TableAvailabilities[],3,FALSE)&gt;0,"Y",""),"")</f>
        <v/>
      </c>
      <c r="I36" s="90" t="str">
        <f>IFERROR(IF(VLOOKUP(TableHandbook[[#This Row],[UDC]],TableAvailabilities[],4,FALSE)&gt;0,"Y",""),"")</f>
        <v>Y</v>
      </c>
      <c r="J36" s="91" t="str">
        <f>IFERROR(IF(VLOOKUP(TableHandbook[[#This Row],[UDC]],TableAvailabilities[],5,FALSE)&gt;0,"Y",""),"")</f>
        <v/>
      </c>
      <c r="K36" s="130"/>
      <c r="L36" s="86" t="str">
        <f>IFERROR(VLOOKUP(TableHandbook[[#This Row],[UDC]],TableBCRARTS[],7,FALSE),"")</f>
        <v/>
      </c>
      <c r="M36" s="87" t="str">
        <f>IFERROR(VLOOKUP(TableHandbook[[#This Row],[UDC]],TableMJRUFINAR[],7,FALSE),"")</f>
        <v/>
      </c>
      <c r="N36" s="87" t="str">
        <f>IFERROR(VLOOKUP(TableHandbook[[#This Row],[UDC]],TableMJRUSCRAR[],7,FALSE),"")</f>
        <v>Option</v>
      </c>
      <c r="O36" s="87" t="str">
        <f>IFERROR(VLOOKUP(TableHandbook[[#This Row],[UDC]],TableMJRUTHTRA[],7,FALSE),"")</f>
        <v/>
      </c>
    </row>
    <row r="37" spans="1:15" x14ac:dyDescent="0.25">
      <c r="A37" s="8" t="s">
        <v>156</v>
      </c>
      <c r="B37" s="9">
        <v>1</v>
      </c>
      <c r="C37" s="8"/>
      <c r="D37" s="8" t="s">
        <v>213</v>
      </c>
      <c r="E37" s="9">
        <v>25</v>
      </c>
      <c r="F37" s="73" t="s">
        <v>181</v>
      </c>
      <c r="G37" s="88" t="str">
        <f>IFERROR(IF(VLOOKUP(TableHandbook[[#This Row],[UDC]],TableAvailabilities[],2,FALSE)&gt;0,"Y",""),"")</f>
        <v>Y</v>
      </c>
      <c r="H37" s="89" t="str">
        <f>IFERROR(IF(VLOOKUP(TableHandbook[[#This Row],[UDC]],TableAvailabilities[],3,FALSE)&gt;0,"Y",""),"")</f>
        <v/>
      </c>
      <c r="I37" s="90" t="str">
        <f>IFERROR(IF(VLOOKUP(TableHandbook[[#This Row],[UDC]],TableAvailabilities[],4,FALSE)&gt;0,"Y",""),"")</f>
        <v/>
      </c>
      <c r="J37" s="91" t="str">
        <f>IFERROR(IF(VLOOKUP(TableHandbook[[#This Row],[UDC]],TableAvailabilities[],5,FALSE)&gt;0,"Y",""),"")</f>
        <v/>
      </c>
      <c r="K37" s="115"/>
      <c r="L37" s="86" t="str">
        <f>IFERROR(VLOOKUP(TableHandbook[[#This Row],[UDC]],TableBCRARTS[],7,FALSE),"")</f>
        <v>Option</v>
      </c>
      <c r="M37" s="87" t="str">
        <f>IFERROR(VLOOKUP(TableHandbook[[#This Row],[UDC]],TableMJRUFINAR[],7,FALSE),"")</f>
        <v/>
      </c>
      <c r="N37" s="87" t="str">
        <f>IFERROR(VLOOKUP(TableHandbook[[#This Row],[UDC]],TableMJRUSCRAR[],7,FALSE),"")</f>
        <v/>
      </c>
      <c r="O37" s="87" t="str">
        <f>IFERROR(VLOOKUP(TableHandbook[[#This Row],[UDC]],TableMJRUTHTRA[],7,FALSE),"")</f>
        <v/>
      </c>
    </row>
    <row r="38" spans="1:15" x14ac:dyDescent="0.25">
      <c r="A38" s="8" t="s">
        <v>157</v>
      </c>
      <c r="B38" s="9">
        <v>1</v>
      </c>
      <c r="C38" s="8"/>
      <c r="D38" s="8" t="s">
        <v>214</v>
      </c>
      <c r="E38" s="9">
        <v>25</v>
      </c>
      <c r="F38" s="73" t="s">
        <v>181</v>
      </c>
      <c r="G38" s="88" t="str">
        <f>IFERROR(IF(VLOOKUP(TableHandbook[[#This Row],[UDC]],TableAvailabilities[],2,FALSE)&gt;0,"Y",""),"")</f>
        <v/>
      </c>
      <c r="H38" s="89" t="str">
        <f>IFERROR(IF(VLOOKUP(TableHandbook[[#This Row],[UDC]],TableAvailabilities[],3,FALSE)&gt;0,"Y",""),"")</f>
        <v/>
      </c>
      <c r="I38" s="90" t="str">
        <f>IFERROR(IF(VLOOKUP(TableHandbook[[#This Row],[UDC]],TableAvailabilities[],4,FALSE)&gt;0,"Y",""),"")</f>
        <v>Y</v>
      </c>
      <c r="J38" s="91" t="str">
        <f>IFERROR(IF(VLOOKUP(TableHandbook[[#This Row],[UDC]],TableAvailabilities[],5,FALSE)&gt;0,"Y",""),"")</f>
        <v/>
      </c>
      <c r="K38" s="115"/>
      <c r="L38" s="86" t="str">
        <f>IFERROR(VLOOKUP(TableHandbook[[#This Row],[UDC]],TableBCRARTS[],7,FALSE),"")</f>
        <v>Option</v>
      </c>
      <c r="M38" s="87" t="str">
        <f>IFERROR(VLOOKUP(TableHandbook[[#This Row],[UDC]],TableMJRUFINAR[],7,FALSE),"")</f>
        <v/>
      </c>
      <c r="N38" s="87" t="str">
        <f>IFERROR(VLOOKUP(TableHandbook[[#This Row],[UDC]],TableMJRUSCRAR[],7,FALSE),"")</f>
        <v/>
      </c>
      <c r="O38" s="87" t="str">
        <f>IFERROR(VLOOKUP(TableHandbook[[#This Row],[UDC]],TableMJRUTHTRA[],7,FALSE),"")</f>
        <v/>
      </c>
    </row>
    <row r="39" spans="1:15" x14ac:dyDescent="0.25">
      <c r="A39" s="8" t="s">
        <v>93</v>
      </c>
      <c r="B39" s="9">
        <v>1</v>
      </c>
      <c r="C39" s="8"/>
      <c r="D39" s="8" t="s">
        <v>215</v>
      </c>
      <c r="E39" s="9">
        <v>25</v>
      </c>
      <c r="F39" s="73" t="s">
        <v>181</v>
      </c>
      <c r="G39" s="88" t="str">
        <f>IFERROR(IF(VLOOKUP(TableHandbook[[#This Row],[UDC]],TableAvailabilities[],2,FALSE)&gt;0,"Y",""),"")</f>
        <v/>
      </c>
      <c r="H39" s="89" t="str">
        <f>IFERROR(IF(VLOOKUP(TableHandbook[[#This Row],[UDC]],TableAvailabilities[],3,FALSE)&gt;0,"Y",""),"")</f>
        <v/>
      </c>
      <c r="I39" s="90" t="str">
        <f>IFERROR(IF(VLOOKUP(TableHandbook[[#This Row],[UDC]],TableAvailabilities[],4,FALSE)&gt;0,"Y",""),"")</f>
        <v>Y</v>
      </c>
      <c r="J39" s="91" t="str">
        <f>IFERROR(IF(VLOOKUP(TableHandbook[[#This Row],[UDC]],TableAvailabilities[],5,FALSE)&gt;0,"Y",""),"")</f>
        <v/>
      </c>
      <c r="K39" s="115"/>
      <c r="L39" s="86" t="str">
        <f>IFERROR(VLOOKUP(TableHandbook[[#This Row],[UDC]],TableBCRARTS[],7,FALSE),"")</f>
        <v/>
      </c>
      <c r="M39" s="87" t="str">
        <f>IFERROR(VLOOKUP(TableHandbook[[#This Row],[UDC]],TableMJRUFINAR[],7,FALSE),"")</f>
        <v/>
      </c>
      <c r="N39" s="87" t="str">
        <f>IFERROR(VLOOKUP(TableHandbook[[#This Row],[UDC]],TableMJRUSCRAR[],7,FALSE),"")</f>
        <v/>
      </c>
      <c r="O39" s="87" t="str">
        <f>IFERROR(VLOOKUP(TableHandbook[[#This Row],[UDC]],TableMJRUTHTRA[],7,FALSE),"")</f>
        <v>Core</v>
      </c>
    </row>
    <row r="40" spans="1:15" x14ac:dyDescent="0.25">
      <c r="A40" s="8" t="s">
        <v>92</v>
      </c>
      <c r="B40" s="9">
        <v>1</v>
      </c>
      <c r="C40" s="8"/>
      <c r="D40" s="8" t="s">
        <v>216</v>
      </c>
      <c r="E40" s="9">
        <v>25</v>
      </c>
      <c r="F40" s="73" t="s">
        <v>181</v>
      </c>
      <c r="G40" s="88" t="str">
        <f>IFERROR(IF(VLOOKUP(TableHandbook[[#This Row],[UDC]],TableAvailabilities[],2,FALSE)&gt;0,"Y",""),"")</f>
        <v>Y</v>
      </c>
      <c r="H40" s="89" t="str">
        <f>IFERROR(IF(VLOOKUP(TableHandbook[[#This Row],[UDC]],TableAvailabilities[],3,FALSE)&gt;0,"Y",""),"")</f>
        <v/>
      </c>
      <c r="I40" s="90" t="str">
        <f>IFERROR(IF(VLOOKUP(TableHandbook[[#This Row],[UDC]],TableAvailabilities[],4,FALSE)&gt;0,"Y",""),"")</f>
        <v>Y</v>
      </c>
      <c r="J40" s="91" t="str">
        <f>IFERROR(IF(VLOOKUP(TableHandbook[[#This Row],[UDC]],TableAvailabilities[],5,FALSE)&gt;0,"Y",""),"")</f>
        <v/>
      </c>
      <c r="K40" s="115"/>
      <c r="L40" s="86" t="str">
        <f>IFERROR(VLOOKUP(TableHandbook[[#This Row],[UDC]],TableBCRARTS[],7,FALSE),"")</f>
        <v/>
      </c>
      <c r="M40" s="87" t="str">
        <f>IFERROR(VLOOKUP(TableHandbook[[#This Row],[UDC]],TableMJRUFINAR[],7,FALSE),"")</f>
        <v/>
      </c>
      <c r="N40" s="87" t="str">
        <f>IFERROR(VLOOKUP(TableHandbook[[#This Row],[UDC]],TableMJRUSCRAR[],7,FALSE),"")</f>
        <v/>
      </c>
      <c r="O40" s="87" t="str">
        <f>IFERROR(VLOOKUP(TableHandbook[[#This Row],[UDC]],TableMJRUTHTRA[],7,FALSE),"")</f>
        <v>Core</v>
      </c>
    </row>
    <row r="41" spans="1:15" x14ac:dyDescent="0.25">
      <c r="A41" s="8" t="s">
        <v>99</v>
      </c>
      <c r="B41" s="9">
        <v>1</v>
      </c>
      <c r="C41" s="8"/>
      <c r="D41" s="8" t="s">
        <v>217</v>
      </c>
      <c r="E41" s="9">
        <v>25</v>
      </c>
      <c r="F41" s="73" t="s">
        <v>181</v>
      </c>
      <c r="G41" s="88" t="str">
        <f>IFERROR(IF(VLOOKUP(TableHandbook[[#This Row],[UDC]],TableAvailabilities[],2,FALSE)&gt;0,"Y",""),"")</f>
        <v/>
      </c>
      <c r="H41" s="89" t="str">
        <f>IFERROR(IF(VLOOKUP(TableHandbook[[#This Row],[UDC]],TableAvailabilities[],3,FALSE)&gt;0,"Y",""),"")</f>
        <v/>
      </c>
      <c r="I41" s="90" t="str">
        <f>IFERROR(IF(VLOOKUP(TableHandbook[[#This Row],[UDC]],TableAvailabilities[],4,FALSE)&gt;0,"Y",""),"")</f>
        <v>Y</v>
      </c>
      <c r="J41" s="91" t="str">
        <f>IFERROR(IF(VLOOKUP(TableHandbook[[#This Row],[UDC]],TableAvailabilities[],5,FALSE)&gt;0,"Y",""),"")</f>
        <v/>
      </c>
      <c r="K41" s="115"/>
      <c r="L41" s="86" t="str">
        <f>IFERROR(VLOOKUP(TableHandbook[[#This Row],[UDC]],TableBCRARTS[],7,FALSE),"")</f>
        <v/>
      </c>
      <c r="M41" s="87" t="str">
        <f>IFERROR(VLOOKUP(TableHandbook[[#This Row],[UDC]],TableMJRUFINAR[],7,FALSE),"")</f>
        <v/>
      </c>
      <c r="N41" s="87" t="str">
        <f>IFERROR(VLOOKUP(TableHandbook[[#This Row],[UDC]],TableMJRUSCRAR[],7,FALSE),"")</f>
        <v/>
      </c>
      <c r="O41" s="87" t="str">
        <f>IFERROR(VLOOKUP(TableHandbook[[#This Row],[UDC]],TableMJRUTHTRA[],7,FALSE),"")</f>
        <v>Core</v>
      </c>
    </row>
    <row r="42" spans="1:15" x14ac:dyDescent="0.25">
      <c r="A42" s="8" t="s">
        <v>143</v>
      </c>
      <c r="B42" s="9">
        <v>1</v>
      </c>
      <c r="C42" s="8"/>
      <c r="D42" s="8" t="s">
        <v>218</v>
      </c>
      <c r="E42" s="9">
        <v>25</v>
      </c>
      <c r="F42" s="73" t="s">
        <v>181</v>
      </c>
      <c r="G42" s="88" t="str">
        <f>IFERROR(IF(VLOOKUP(TableHandbook[[#This Row],[UDC]],TableAvailabilities[],2,FALSE)&gt;0,"Y",""),"")</f>
        <v>Y</v>
      </c>
      <c r="H42" s="89" t="str">
        <f>IFERROR(IF(VLOOKUP(TableHandbook[[#This Row],[UDC]],TableAvailabilities[],3,FALSE)&gt;0,"Y",""),"")</f>
        <v/>
      </c>
      <c r="I42" s="90" t="str">
        <f>IFERROR(IF(VLOOKUP(TableHandbook[[#This Row],[UDC]],TableAvailabilities[],4,FALSE)&gt;0,"Y",""),"")</f>
        <v/>
      </c>
      <c r="J42" s="91" t="str">
        <f>IFERROR(IF(VLOOKUP(TableHandbook[[#This Row],[UDC]],TableAvailabilities[],5,FALSE)&gt;0,"Y",""),"")</f>
        <v/>
      </c>
      <c r="K42" s="115"/>
      <c r="L42" s="86" t="str">
        <f>IFERROR(VLOOKUP(TableHandbook[[#This Row],[UDC]],TableBCRARTS[],7,FALSE),"")</f>
        <v/>
      </c>
      <c r="M42" s="87" t="str">
        <f>IFERROR(VLOOKUP(TableHandbook[[#This Row],[UDC]],TableMJRUFINAR[],7,FALSE),"")</f>
        <v/>
      </c>
      <c r="N42" s="87" t="str">
        <f>IFERROR(VLOOKUP(TableHandbook[[#This Row],[UDC]],TableMJRUSCRAR[],7,FALSE),"")</f>
        <v/>
      </c>
      <c r="O42" s="87" t="str">
        <f>IFERROR(VLOOKUP(TableHandbook[[#This Row],[UDC]],TableMJRUTHTRA[],7,FALSE),"")</f>
        <v>Option</v>
      </c>
    </row>
    <row r="43" spans="1:15" x14ac:dyDescent="0.25">
      <c r="A43" s="8" t="s">
        <v>162</v>
      </c>
      <c r="B43" s="9">
        <v>1</v>
      </c>
      <c r="C43" s="8"/>
      <c r="D43" s="8" t="s">
        <v>219</v>
      </c>
      <c r="E43" s="9">
        <v>25</v>
      </c>
      <c r="F43" s="73" t="s">
        <v>181</v>
      </c>
      <c r="G43" s="88" t="str">
        <f>IFERROR(IF(VLOOKUP(TableHandbook[[#This Row],[UDC]],TableAvailabilities[],2,FALSE)&gt;0,"Y",""),"")</f>
        <v>Y</v>
      </c>
      <c r="H43" s="89" t="str">
        <f>IFERROR(IF(VLOOKUP(TableHandbook[[#This Row],[UDC]],TableAvailabilities[],3,FALSE)&gt;0,"Y",""),"")</f>
        <v/>
      </c>
      <c r="I43" s="90" t="str">
        <f>IFERROR(IF(VLOOKUP(TableHandbook[[#This Row],[UDC]],TableAvailabilities[],4,FALSE)&gt;0,"Y",""),"")</f>
        <v/>
      </c>
      <c r="J43" s="91" t="str">
        <f>IFERROR(IF(VLOOKUP(TableHandbook[[#This Row],[UDC]],TableAvailabilities[],5,FALSE)&gt;0,"Y",""),"")</f>
        <v/>
      </c>
      <c r="K43" s="115"/>
      <c r="L43" s="86" t="str">
        <f>IFERROR(VLOOKUP(TableHandbook[[#This Row],[UDC]],TableBCRARTS[],7,FALSE),"")</f>
        <v>Option</v>
      </c>
      <c r="M43" s="87" t="str">
        <f>IFERROR(VLOOKUP(TableHandbook[[#This Row],[UDC]],TableMJRUFINAR[],7,FALSE),"")</f>
        <v/>
      </c>
      <c r="N43" s="87" t="str">
        <f>IFERROR(VLOOKUP(TableHandbook[[#This Row],[UDC]],TableMJRUSCRAR[],7,FALSE),"")</f>
        <v/>
      </c>
      <c r="O43" s="87" t="str">
        <f>IFERROR(VLOOKUP(TableHandbook[[#This Row],[UDC]],TableMJRUTHTRA[],7,FALSE),"")</f>
        <v/>
      </c>
    </row>
    <row r="44" spans="1:15" x14ac:dyDescent="0.25">
      <c r="A44" s="8" t="s">
        <v>118</v>
      </c>
      <c r="B44" s="9">
        <v>1</v>
      </c>
      <c r="C44" s="8"/>
      <c r="D44" s="8" t="s">
        <v>220</v>
      </c>
      <c r="E44" s="9">
        <v>25</v>
      </c>
      <c r="F44" s="165" t="s">
        <v>221</v>
      </c>
      <c r="G44" s="88" t="str">
        <f>IFERROR(IF(VLOOKUP(TableHandbook[[#This Row],[UDC]],TableAvailabilities[],2,FALSE)&gt;0,"Y",""),"")</f>
        <v>Y</v>
      </c>
      <c r="H44" s="89" t="str">
        <f>IFERROR(IF(VLOOKUP(TableHandbook[[#This Row],[UDC]],TableAvailabilities[],3,FALSE)&gt;0,"Y",""),"")</f>
        <v/>
      </c>
      <c r="I44" s="90" t="str">
        <f>IFERROR(IF(VLOOKUP(TableHandbook[[#This Row],[UDC]],TableAvailabilities[],4,FALSE)&gt;0,"Y",""),"")</f>
        <v/>
      </c>
      <c r="J44" s="91" t="str">
        <f>IFERROR(IF(VLOOKUP(TableHandbook[[#This Row],[UDC]],TableAvailabilities[],5,FALSE)&gt;0,"Y",""),"")</f>
        <v/>
      </c>
      <c r="K44" s="115"/>
      <c r="L44" s="86" t="str">
        <f>IFERROR(VLOOKUP(TableHandbook[[#This Row],[UDC]],TableBCRARTS[],7,FALSE),"")</f>
        <v/>
      </c>
      <c r="M44" s="87" t="str">
        <f>IFERROR(VLOOKUP(TableHandbook[[#This Row],[UDC]],TableMJRUFINAR[],7,FALSE),"")</f>
        <v/>
      </c>
      <c r="N44" s="87" t="str">
        <f>IFERROR(VLOOKUP(TableHandbook[[#This Row],[UDC]],TableMJRUSCRAR[],7,FALSE),"")</f>
        <v/>
      </c>
      <c r="O44" s="87" t="str">
        <f>IFERROR(VLOOKUP(TableHandbook[[#This Row],[UDC]],TableMJRUTHTRA[],7,FALSE),"")</f>
        <v>Core</v>
      </c>
    </row>
    <row r="45" spans="1:15" x14ac:dyDescent="0.25">
      <c r="A45" s="8" t="s">
        <v>123</v>
      </c>
      <c r="B45" s="9">
        <v>1</v>
      </c>
      <c r="C45" s="8"/>
      <c r="D45" s="8" t="s">
        <v>222</v>
      </c>
      <c r="E45" s="9">
        <v>25</v>
      </c>
      <c r="F45" s="165" t="s">
        <v>223</v>
      </c>
      <c r="G45" s="88" t="str">
        <f>IFERROR(IF(VLOOKUP(TableHandbook[[#This Row],[UDC]],TableAvailabilities[],2,FALSE)&gt;0,"Y",""),"")</f>
        <v>Y</v>
      </c>
      <c r="H45" s="89" t="str">
        <f>IFERROR(IF(VLOOKUP(TableHandbook[[#This Row],[UDC]],TableAvailabilities[],3,FALSE)&gt;0,"Y",""),"")</f>
        <v/>
      </c>
      <c r="I45" s="90" t="str">
        <f>IFERROR(IF(VLOOKUP(TableHandbook[[#This Row],[UDC]],TableAvailabilities[],4,FALSE)&gt;0,"Y",""),"")</f>
        <v/>
      </c>
      <c r="J45" s="91" t="str">
        <f>IFERROR(IF(VLOOKUP(TableHandbook[[#This Row],[UDC]],TableAvailabilities[],5,FALSE)&gt;0,"Y",""),"")</f>
        <v/>
      </c>
      <c r="K45" s="115"/>
      <c r="L45" s="86" t="str">
        <f>IFERROR(VLOOKUP(TableHandbook[[#This Row],[UDC]],TableBCRARTS[],7,FALSE),"")</f>
        <v/>
      </c>
      <c r="M45" s="87" t="str">
        <f>IFERROR(VLOOKUP(TableHandbook[[#This Row],[UDC]],TableMJRUFINAR[],7,FALSE),"")</f>
        <v/>
      </c>
      <c r="N45" s="87" t="str">
        <f>IFERROR(VLOOKUP(TableHandbook[[#This Row],[UDC]],TableMJRUSCRAR[],7,FALSE),"")</f>
        <v/>
      </c>
      <c r="O45" s="87" t="str">
        <f>IFERROR(VLOOKUP(TableHandbook[[#This Row],[UDC]],TableMJRUTHTRA[],7,FALSE),"")</f>
        <v>Core</v>
      </c>
    </row>
    <row r="46" spans="1:15" x14ac:dyDescent="0.25">
      <c r="A46" s="8" t="s">
        <v>119</v>
      </c>
      <c r="B46" s="9">
        <v>1</v>
      </c>
      <c r="C46" s="8"/>
      <c r="D46" s="8" t="s">
        <v>224</v>
      </c>
      <c r="E46" s="9">
        <v>25</v>
      </c>
      <c r="F46" s="165" t="s">
        <v>223</v>
      </c>
      <c r="G46" s="88" t="str">
        <f>IFERROR(IF(VLOOKUP(TableHandbook[[#This Row],[UDC]],TableAvailabilities[],2,FALSE)&gt;0,"Y",""),"")</f>
        <v/>
      </c>
      <c r="H46" s="89" t="str">
        <f>IFERROR(IF(VLOOKUP(TableHandbook[[#This Row],[UDC]],TableAvailabilities[],3,FALSE)&gt;0,"Y",""),"")</f>
        <v/>
      </c>
      <c r="I46" s="90" t="str">
        <f>IFERROR(IF(VLOOKUP(TableHandbook[[#This Row],[UDC]],TableAvailabilities[],4,FALSE)&gt;0,"Y",""),"")</f>
        <v>Y</v>
      </c>
      <c r="J46" s="91" t="str">
        <f>IFERROR(IF(VLOOKUP(TableHandbook[[#This Row],[UDC]],TableAvailabilities[],5,FALSE)&gt;0,"Y",""),"")</f>
        <v/>
      </c>
      <c r="K46" s="115"/>
      <c r="L46" s="86" t="str">
        <f>IFERROR(VLOOKUP(TableHandbook[[#This Row],[UDC]],TableBCRARTS[],7,FALSE),"")</f>
        <v/>
      </c>
      <c r="M46" s="87" t="str">
        <f>IFERROR(VLOOKUP(TableHandbook[[#This Row],[UDC]],TableMJRUFINAR[],7,FALSE),"")</f>
        <v/>
      </c>
      <c r="N46" s="87" t="str">
        <f>IFERROR(VLOOKUP(TableHandbook[[#This Row],[UDC]],TableMJRUSCRAR[],7,FALSE),"")</f>
        <v/>
      </c>
      <c r="O46" s="87" t="str">
        <f>IFERROR(VLOOKUP(TableHandbook[[#This Row],[UDC]],TableMJRUTHTRA[],7,FALSE),"")</f>
        <v>Core</v>
      </c>
    </row>
    <row r="47" spans="1:15" x14ac:dyDescent="0.25">
      <c r="A47" s="8" t="s">
        <v>124</v>
      </c>
      <c r="B47" s="9">
        <v>2</v>
      </c>
      <c r="C47" s="8"/>
      <c r="D47" s="8" t="s">
        <v>225</v>
      </c>
      <c r="E47" s="9">
        <v>25</v>
      </c>
      <c r="F47" s="165" t="s">
        <v>226</v>
      </c>
      <c r="G47" s="88" t="str">
        <f>IFERROR(IF(VLOOKUP(TableHandbook[[#This Row],[UDC]],TableAvailabilities[],2,FALSE)&gt;0,"Y",""),"")</f>
        <v/>
      </c>
      <c r="H47" s="89" t="str">
        <f>IFERROR(IF(VLOOKUP(TableHandbook[[#This Row],[UDC]],TableAvailabilities[],3,FALSE)&gt;0,"Y",""),"")</f>
        <v/>
      </c>
      <c r="I47" s="90" t="str">
        <f>IFERROR(IF(VLOOKUP(TableHandbook[[#This Row],[UDC]],TableAvailabilities[],4,FALSE)&gt;0,"Y",""),"")</f>
        <v>Y</v>
      </c>
      <c r="J47" s="91" t="str">
        <f>IFERROR(IF(VLOOKUP(TableHandbook[[#This Row],[UDC]],TableAvailabilities[],5,FALSE)&gt;0,"Y",""),"")</f>
        <v/>
      </c>
      <c r="K47" s="115"/>
      <c r="L47" s="86" t="str">
        <f>IFERROR(VLOOKUP(TableHandbook[[#This Row],[UDC]],TableBCRARTS[],7,FALSE),"")</f>
        <v/>
      </c>
      <c r="M47" s="87" t="str">
        <f>IFERROR(VLOOKUP(TableHandbook[[#This Row],[UDC]],TableMJRUFINAR[],7,FALSE),"")</f>
        <v/>
      </c>
      <c r="N47" s="87" t="str">
        <f>IFERROR(VLOOKUP(TableHandbook[[#This Row],[UDC]],TableMJRUSCRAR[],7,FALSE),"")</f>
        <v/>
      </c>
      <c r="O47" s="87" t="str">
        <f>IFERROR(VLOOKUP(TableHandbook[[#This Row],[UDC]],TableMJRUTHTRA[],7,FALSE),"")</f>
        <v>Core</v>
      </c>
    </row>
    <row r="48" spans="1:15" x14ac:dyDescent="0.25">
      <c r="A48" s="8" t="s">
        <v>158</v>
      </c>
      <c r="B48" s="9">
        <v>2</v>
      </c>
      <c r="C48" s="8"/>
      <c r="D48" s="8" t="s">
        <v>227</v>
      </c>
      <c r="E48" s="9">
        <v>25</v>
      </c>
      <c r="F48" s="73" t="s">
        <v>181</v>
      </c>
      <c r="G48" s="88" t="str">
        <f>IFERROR(IF(VLOOKUP(TableHandbook[[#This Row],[UDC]],TableAvailabilities[],2,FALSE)&gt;0,"Y",""),"")</f>
        <v/>
      </c>
      <c r="H48" s="89" t="str">
        <f>IFERROR(IF(VLOOKUP(TableHandbook[[#This Row],[UDC]],TableAvailabilities[],3,FALSE)&gt;0,"Y",""),"")</f>
        <v/>
      </c>
      <c r="I48" s="90" t="str">
        <f>IFERROR(IF(VLOOKUP(TableHandbook[[#This Row],[UDC]],TableAvailabilities[],4,FALSE)&gt;0,"Y",""),"")</f>
        <v>Y</v>
      </c>
      <c r="J48" s="91" t="str">
        <f>IFERROR(IF(VLOOKUP(TableHandbook[[#This Row],[UDC]],TableAvailabilities[],5,FALSE)&gt;0,"Y",""),"")</f>
        <v/>
      </c>
      <c r="K48" s="115"/>
      <c r="L48" s="86" t="str">
        <f>IFERROR(VLOOKUP(TableHandbook[[#This Row],[UDC]],TableBCRARTS[],7,FALSE),"")</f>
        <v>Option</v>
      </c>
      <c r="M48" s="87" t="str">
        <f>IFERROR(VLOOKUP(TableHandbook[[#This Row],[UDC]],TableMJRUFINAR[],7,FALSE),"")</f>
        <v/>
      </c>
      <c r="N48" s="87" t="str">
        <f>IFERROR(VLOOKUP(TableHandbook[[#This Row],[UDC]],TableMJRUSCRAR[],7,FALSE),"")</f>
        <v/>
      </c>
      <c r="O48" s="87" t="str">
        <f>IFERROR(VLOOKUP(TableHandbook[[#This Row],[UDC]],TableMJRUTHTRA[],7,FALSE),"")</f>
        <v/>
      </c>
    </row>
    <row r="49" spans="1:15" x14ac:dyDescent="0.25">
      <c r="A49" s="8" t="s">
        <v>159</v>
      </c>
      <c r="B49" s="9">
        <v>2</v>
      </c>
      <c r="C49" s="8"/>
      <c r="D49" s="8" t="s">
        <v>228</v>
      </c>
      <c r="E49" s="9">
        <v>25</v>
      </c>
      <c r="F49" s="73" t="s">
        <v>181</v>
      </c>
      <c r="G49" s="88" t="str">
        <f>IFERROR(IF(VLOOKUP(TableHandbook[[#This Row],[UDC]],TableAvailabilities[],2,FALSE)&gt;0,"Y",""),"")</f>
        <v>Y</v>
      </c>
      <c r="H49" s="89" t="str">
        <f>IFERROR(IF(VLOOKUP(TableHandbook[[#This Row],[UDC]],TableAvailabilities[],3,FALSE)&gt;0,"Y",""),"")</f>
        <v/>
      </c>
      <c r="I49" s="90" t="str">
        <f>IFERROR(IF(VLOOKUP(TableHandbook[[#This Row],[UDC]],TableAvailabilities[],4,FALSE)&gt;0,"Y",""),"")</f>
        <v/>
      </c>
      <c r="J49" s="91" t="str">
        <f>IFERROR(IF(VLOOKUP(TableHandbook[[#This Row],[UDC]],TableAvailabilities[],5,FALSE)&gt;0,"Y",""),"")</f>
        <v/>
      </c>
      <c r="K49" s="115"/>
      <c r="L49" s="86" t="str">
        <f>IFERROR(VLOOKUP(TableHandbook[[#This Row],[UDC]],TableBCRARTS[],7,FALSE),"")</f>
        <v>Option</v>
      </c>
      <c r="M49" s="87" t="str">
        <f>IFERROR(VLOOKUP(TableHandbook[[#This Row],[UDC]],TableMJRUFINAR[],7,FALSE),"")</f>
        <v/>
      </c>
      <c r="N49" s="87" t="str">
        <f>IFERROR(VLOOKUP(TableHandbook[[#This Row],[UDC]],TableMJRUSCRAR[],7,FALSE),"")</f>
        <v/>
      </c>
      <c r="O49" s="87" t="str">
        <f>IFERROR(VLOOKUP(TableHandbook[[#This Row],[UDC]],TableMJRUTHTRA[],7,FALSE),"")</f>
        <v/>
      </c>
    </row>
    <row r="50" spans="1:15" x14ac:dyDescent="0.25">
      <c r="A50" s="8" t="s">
        <v>68</v>
      </c>
      <c r="B50" s="9">
        <v>1</v>
      </c>
      <c r="C50" s="8"/>
      <c r="D50" s="8" t="s">
        <v>229</v>
      </c>
      <c r="E50" s="9">
        <v>25</v>
      </c>
      <c r="F50" s="73" t="s">
        <v>181</v>
      </c>
      <c r="G50" s="88" t="str">
        <f>IFERROR(IF(VLOOKUP(TableHandbook[[#This Row],[UDC]],TableAvailabilities[],2,FALSE)&gt;0,"Y",""),"")</f>
        <v>Y</v>
      </c>
      <c r="H50" s="89" t="str">
        <f>IFERROR(IF(VLOOKUP(TableHandbook[[#This Row],[UDC]],TableAvailabilities[],3,FALSE)&gt;0,"Y",""),"")</f>
        <v/>
      </c>
      <c r="I50" s="90" t="str">
        <f>IFERROR(IF(VLOOKUP(TableHandbook[[#This Row],[UDC]],TableAvailabilities[],4,FALSE)&gt;0,"Y",""),"")</f>
        <v/>
      </c>
      <c r="J50" s="91" t="str">
        <f>IFERROR(IF(VLOOKUP(TableHandbook[[#This Row],[UDC]],TableAvailabilities[],5,FALSE)&gt;0,"Y",""),"")</f>
        <v/>
      </c>
      <c r="K50" s="115"/>
      <c r="L50" s="86" t="str">
        <f>IFERROR(VLOOKUP(TableHandbook[[#This Row],[UDC]],TableBCRARTS[],7,FALSE),"")</f>
        <v>Core</v>
      </c>
      <c r="M50" s="87" t="str">
        <f>IFERROR(VLOOKUP(TableHandbook[[#This Row],[UDC]],TableMJRUFINAR[],7,FALSE),"")</f>
        <v/>
      </c>
      <c r="N50" s="87" t="str">
        <f>IFERROR(VLOOKUP(TableHandbook[[#This Row],[UDC]],TableMJRUSCRAR[],7,FALSE),"")</f>
        <v/>
      </c>
      <c r="O50" s="87" t="str">
        <f>IFERROR(VLOOKUP(TableHandbook[[#This Row],[UDC]],TableMJRUTHTRA[],7,FALSE),"")</f>
        <v/>
      </c>
    </row>
    <row r="51" spans="1:15" x14ac:dyDescent="0.25">
      <c r="A51" s="8" t="s">
        <v>69</v>
      </c>
      <c r="B51" s="9">
        <v>1</v>
      </c>
      <c r="C51" s="8"/>
      <c r="D51" s="8" t="s">
        <v>230</v>
      </c>
      <c r="E51" s="9">
        <v>25</v>
      </c>
      <c r="F51" s="73" t="s">
        <v>181</v>
      </c>
      <c r="G51" s="88" t="str">
        <f>IFERROR(IF(VLOOKUP(TableHandbook[[#This Row],[UDC]],TableAvailabilities[],2,FALSE)&gt;0,"Y",""),"")</f>
        <v/>
      </c>
      <c r="H51" s="89" t="str">
        <f>IFERROR(IF(VLOOKUP(TableHandbook[[#This Row],[UDC]],TableAvailabilities[],3,FALSE)&gt;0,"Y",""),"")</f>
        <v/>
      </c>
      <c r="I51" s="90" t="str">
        <f>IFERROR(IF(VLOOKUP(TableHandbook[[#This Row],[UDC]],TableAvailabilities[],4,FALSE)&gt;0,"Y",""),"")</f>
        <v>Y</v>
      </c>
      <c r="J51" s="91" t="str">
        <f>IFERROR(IF(VLOOKUP(TableHandbook[[#This Row],[UDC]],TableAvailabilities[],5,FALSE)&gt;0,"Y",""),"")</f>
        <v/>
      </c>
      <c r="K51" s="115"/>
      <c r="L51" s="86" t="str">
        <f>IFERROR(VLOOKUP(TableHandbook[[#This Row],[UDC]],TableBCRARTS[],7,FALSE),"")</f>
        <v>Core</v>
      </c>
      <c r="M51" s="87" t="str">
        <f>IFERROR(VLOOKUP(TableHandbook[[#This Row],[UDC]],TableMJRUFINAR[],7,FALSE),"")</f>
        <v/>
      </c>
      <c r="N51" s="87" t="str">
        <f>IFERROR(VLOOKUP(TableHandbook[[#This Row],[UDC]],TableMJRUSCRAR[],7,FALSE),"")</f>
        <v/>
      </c>
      <c r="O51" s="87" t="str">
        <f>IFERROR(VLOOKUP(TableHandbook[[#This Row],[UDC]],TableMJRUTHTRA[],7,FALSE),"")</f>
        <v/>
      </c>
    </row>
    <row r="52" spans="1:15" x14ac:dyDescent="0.25">
      <c r="A52" s="8" t="s">
        <v>88</v>
      </c>
      <c r="B52" s="9">
        <v>2</v>
      </c>
      <c r="C52" s="8"/>
      <c r="D52" s="8" t="s">
        <v>231</v>
      </c>
      <c r="E52" s="9">
        <v>25</v>
      </c>
      <c r="F52" s="165" t="s">
        <v>232</v>
      </c>
      <c r="G52" s="88" t="str">
        <f>IFERROR(IF(VLOOKUP(TableHandbook[[#This Row],[UDC]],TableAvailabilities[],2,FALSE)&gt;0,"Y",""),"")</f>
        <v>Y</v>
      </c>
      <c r="H52" s="89" t="str">
        <f>IFERROR(IF(VLOOKUP(TableHandbook[[#This Row],[UDC]],TableAvailabilities[],3,FALSE)&gt;0,"Y",""),"")</f>
        <v/>
      </c>
      <c r="I52" s="90" t="str">
        <f>IFERROR(IF(VLOOKUP(TableHandbook[[#This Row],[UDC]],TableAvailabilities[],4,FALSE)&gt;0,"Y",""),"")</f>
        <v/>
      </c>
      <c r="J52" s="91" t="str">
        <f>IFERROR(IF(VLOOKUP(TableHandbook[[#This Row],[UDC]],TableAvailabilities[],5,FALSE)&gt;0,"Y",""),"")</f>
        <v/>
      </c>
      <c r="K52" s="115"/>
      <c r="L52" s="86" t="str">
        <f>IFERROR(VLOOKUP(TableHandbook[[#This Row],[UDC]],TableBCRARTS[],7,FALSE),"")</f>
        <v/>
      </c>
      <c r="M52" s="87" t="str">
        <f>IFERROR(VLOOKUP(TableHandbook[[#This Row],[UDC]],TableMJRUFINAR[],7,FALSE),"")</f>
        <v>Core</v>
      </c>
      <c r="N52" s="87" t="str">
        <f>IFERROR(VLOOKUP(TableHandbook[[#This Row],[UDC]],TableMJRUSCRAR[],7,FALSE),"")</f>
        <v/>
      </c>
      <c r="O52" s="87" t="str">
        <f>IFERROR(VLOOKUP(TableHandbook[[#This Row],[UDC]],TableMJRUTHTRA[],7,FALSE),"")</f>
        <v/>
      </c>
    </row>
    <row r="53" spans="1:15" x14ac:dyDescent="0.25">
      <c r="A53" s="8" t="s">
        <v>163</v>
      </c>
      <c r="B53" s="9">
        <v>2</v>
      </c>
      <c r="C53" s="8"/>
      <c r="D53" s="8" t="s">
        <v>233</v>
      </c>
      <c r="E53" s="9">
        <v>25</v>
      </c>
      <c r="F53" s="165" t="s">
        <v>232</v>
      </c>
      <c r="G53" s="126" t="str">
        <f>IFERROR(IF(VLOOKUP(TableHandbook[[#This Row],[UDC]],TableAvailabilities[],2,FALSE)&gt;0,"Y",""),"")</f>
        <v>Y</v>
      </c>
      <c r="H53" s="127" t="str">
        <f>IFERROR(IF(VLOOKUP(TableHandbook[[#This Row],[UDC]],TableAvailabilities[],3,FALSE)&gt;0,"Y",""),"")</f>
        <v/>
      </c>
      <c r="I53" s="128" t="str">
        <f>IFERROR(IF(VLOOKUP(TableHandbook[[#This Row],[UDC]],TableAvailabilities[],4,FALSE)&gt;0,"Y",""),"")</f>
        <v/>
      </c>
      <c r="J53" s="129" t="str">
        <f>IFERROR(IF(VLOOKUP(TableHandbook[[#This Row],[UDC]],TableAvailabilities[],5,FALSE)&gt;0,"Y",""),"")</f>
        <v/>
      </c>
      <c r="K53" s="125"/>
      <c r="L53" s="124" t="str">
        <f>IFERROR(VLOOKUP(TableHandbook[[#This Row],[UDC]],TableBCRARTS[],7,FALSE),"")</f>
        <v>Option</v>
      </c>
      <c r="M53" s="87" t="str">
        <f>IFERROR(VLOOKUP(TableHandbook[[#This Row],[UDC]],TableMJRUFINAR[],7,FALSE),"")</f>
        <v/>
      </c>
      <c r="N53" s="72" t="str">
        <f>IFERROR(VLOOKUP(TableHandbook[[#This Row],[UDC]],TableMJRUSCRAR[],7,FALSE),"")</f>
        <v/>
      </c>
      <c r="O53" s="72" t="str">
        <f>IFERROR(VLOOKUP(TableHandbook[[#This Row],[UDC]],TableMJRUTHTRA[],7,FALSE),"")</f>
        <v/>
      </c>
    </row>
    <row r="54" spans="1:15" x14ac:dyDescent="0.25">
      <c r="A54" s="8" t="s">
        <v>111</v>
      </c>
      <c r="B54" s="9">
        <v>2</v>
      </c>
      <c r="C54" s="8"/>
      <c r="D54" s="8" t="s">
        <v>234</v>
      </c>
      <c r="E54" s="9">
        <v>25</v>
      </c>
      <c r="F54" s="165" t="s">
        <v>235</v>
      </c>
      <c r="G54" s="88" t="str">
        <f>IFERROR(IF(VLOOKUP(TableHandbook[[#This Row],[UDC]],TableAvailabilities[],2,FALSE)&gt;0,"Y",""),"")</f>
        <v/>
      </c>
      <c r="H54" s="89" t="str">
        <f>IFERROR(IF(VLOOKUP(TableHandbook[[#This Row],[UDC]],TableAvailabilities[],3,FALSE)&gt;0,"Y",""),"")</f>
        <v/>
      </c>
      <c r="I54" s="90" t="str">
        <f>IFERROR(IF(VLOOKUP(TableHandbook[[#This Row],[UDC]],TableAvailabilities[],4,FALSE)&gt;0,"Y",""),"")</f>
        <v>Y</v>
      </c>
      <c r="J54" s="91" t="str">
        <f>IFERROR(IF(VLOOKUP(TableHandbook[[#This Row],[UDC]],TableAvailabilities[],5,FALSE)&gt;0,"Y",""),"")</f>
        <v/>
      </c>
      <c r="K54" s="115"/>
      <c r="L54" s="124" t="str">
        <f>IFERROR(VLOOKUP(TableHandbook[[#This Row],[UDC]],TableBCRARTS[],7,FALSE),"")</f>
        <v/>
      </c>
      <c r="M54" s="87" t="str">
        <f>IFERROR(VLOOKUP(TableHandbook[[#This Row],[UDC]],TableMJRUFINAR[],7,FALSE),"")</f>
        <v>Core</v>
      </c>
      <c r="N54" s="72" t="str">
        <f>IFERROR(VLOOKUP(TableHandbook[[#This Row],[UDC]],TableMJRUSCRAR[],7,FALSE),"")</f>
        <v/>
      </c>
      <c r="O54" s="72" t="str">
        <f>IFERROR(VLOOKUP(TableHandbook[[#This Row],[UDC]],TableMJRUTHTRA[],7,FALSE),"")</f>
        <v/>
      </c>
    </row>
    <row r="55" spans="1:15" x14ac:dyDescent="0.25">
      <c r="A55" s="8" t="s">
        <v>112</v>
      </c>
      <c r="B55" s="9">
        <v>2</v>
      </c>
      <c r="C55" s="8"/>
      <c r="D55" s="8" t="s">
        <v>236</v>
      </c>
      <c r="E55" s="9">
        <v>25</v>
      </c>
      <c r="F55" s="165" t="s">
        <v>237</v>
      </c>
      <c r="G55" s="126" t="str">
        <f>IFERROR(IF(VLOOKUP(TableHandbook[[#This Row],[UDC]],TableAvailabilities[],2,FALSE)&gt;0,"Y",""),"")</f>
        <v/>
      </c>
      <c r="H55" s="127" t="str">
        <f>IFERROR(IF(VLOOKUP(TableHandbook[[#This Row],[UDC]],TableAvailabilities[],3,FALSE)&gt;0,"Y",""),"")</f>
        <v/>
      </c>
      <c r="I55" s="128" t="str">
        <f>IFERROR(IF(VLOOKUP(TableHandbook[[#This Row],[UDC]],TableAvailabilities[],4,FALSE)&gt;0,"Y",""),"")</f>
        <v>Y</v>
      </c>
      <c r="J55" s="129" t="str">
        <f>IFERROR(IF(VLOOKUP(TableHandbook[[#This Row],[UDC]],TableAvailabilities[],5,FALSE)&gt;0,"Y",""),"")</f>
        <v/>
      </c>
      <c r="K55" s="125"/>
      <c r="L55" s="124" t="str">
        <f>IFERROR(VLOOKUP(TableHandbook[[#This Row],[UDC]],TableBCRARTS[],7,FALSE),"")</f>
        <v/>
      </c>
      <c r="M55" s="87" t="str">
        <f>IFERROR(VLOOKUP(TableHandbook[[#This Row],[UDC]],TableMJRUFINAR[],7,FALSE),"")</f>
        <v>Core</v>
      </c>
      <c r="N55" s="87" t="str">
        <f>IFERROR(VLOOKUP(TableHandbook[[#This Row],[UDC]],TableMJRUSCRAR[],7,FALSE),"")</f>
        <v/>
      </c>
      <c r="O55" s="87" t="str">
        <f>IFERROR(VLOOKUP(TableHandbook[[#This Row],[UDC]],TableMJRUTHTRA[],7,FALSE),"")</f>
        <v/>
      </c>
    </row>
    <row r="56" spans="1:15" x14ac:dyDescent="0.25">
      <c r="A56" s="8" t="s">
        <v>95</v>
      </c>
      <c r="B56" s="9">
        <v>2</v>
      </c>
      <c r="C56" s="8"/>
      <c r="D56" s="8" t="s">
        <v>238</v>
      </c>
      <c r="E56" s="9">
        <v>25</v>
      </c>
      <c r="F56" s="165" t="s">
        <v>232</v>
      </c>
      <c r="G56" s="126" t="str">
        <f>IFERROR(IF(VLOOKUP(TableHandbook[[#This Row],[UDC]],TableAvailabilities[],2,FALSE)&gt;0,"Y",""),"")</f>
        <v>Y</v>
      </c>
      <c r="H56" s="127" t="str">
        <f>IFERROR(IF(VLOOKUP(TableHandbook[[#This Row],[UDC]],TableAvailabilities[],3,FALSE)&gt;0,"Y",""),"")</f>
        <v/>
      </c>
      <c r="I56" s="128" t="str">
        <f>IFERROR(IF(VLOOKUP(TableHandbook[[#This Row],[UDC]],TableAvailabilities[],4,FALSE)&gt;0,"Y",""),"")</f>
        <v/>
      </c>
      <c r="J56" s="129" t="str">
        <f>IFERROR(IF(VLOOKUP(TableHandbook[[#This Row],[UDC]],TableAvailabilities[],5,FALSE)&gt;0,"Y",""),"")</f>
        <v/>
      </c>
      <c r="K56" s="125"/>
      <c r="L56" s="124" t="str">
        <f>IFERROR(VLOOKUP(TableHandbook[[#This Row],[UDC]],TableBCRARTS[],7,FALSE),"")</f>
        <v/>
      </c>
      <c r="M56" s="87" t="str">
        <f>IFERROR(VLOOKUP(TableHandbook[[#This Row],[UDC]],TableMJRUFINAR[],7,FALSE),"")</f>
        <v>Core</v>
      </c>
      <c r="N56" s="72" t="str">
        <f>IFERROR(VLOOKUP(TableHandbook[[#This Row],[UDC]],TableMJRUSCRAR[],7,FALSE),"")</f>
        <v/>
      </c>
      <c r="O56" s="72" t="str">
        <f>IFERROR(VLOOKUP(TableHandbook[[#This Row],[UDC]],TableMJRUTHTRA[],7,FALSE),"")</f>
        <v/>
      </c>
    </row>
    <row r="57" spans="1:15" x14ac:dyDescent="0.25">
      <c r="A57" s="8" t="s">
        <v>105</v>
      </c>
      <c r="B57" s="9">
        <v>1</v>
      </c>
      <c r="C57" s="8"/>
      <c r="D57" s="8" t="s">
        <v>239</v>
      </c>
      <c r="E57" s="9">
        <v>25</v>
      </c>
      <c r="F57" s="165" t="s">
        <v>69</v>
      </c>
      <c r="G57" s="88" t="str">
        <f>IFERROR(IF(VLOOKUP(TableHandbook[[#This Row],[UDC]],TableAvailabilities[],2,FALSE)&gt;0,"Y",""),"")</f>
        <v/>
      </c>
      <c r="H57" s="89" t="str">
        <f>IFERROR(IF(VLOOKUP(TableHandbook[[#This Row],[UDC]],TableAvailabilities[],3,FALSE)&gt;0,"Y",""),"")</f>
        <v/>
      </c>
      <c r="I57" s="90" t="str">
        <f>IFERROR(IF(VLOOKUP(TableHandbook[[#This Row],[UDC]],TableAvailabilities[],4,FALSE)&gt;0,"Y",""),"")</f>
        <v>Y</v>
      </c>
      <c r="J57" s="91" t="str">
        <f>IFERROR(IF(VLOOKUP(TableHandbook[[#This Row],[UDC]],TableAvailabilities[],5,FALSE)&gt;0,"Y",""),"")</f>
        <v/>
      </c>
      <c r="K57" s="115"/>
      <c r="L57" s="124" t="str">
        <f>IFERROR(VLOOKUP(TableHandbook[[#This Row],[UDC]],TableBCRARTS[],7,FALSE),"")</f>
        <v>Core</v>
      </c>
      <c r="M57" s="87" t="str">
        <f>IFERROR(VLOOKUP(TableHandbook[[#This Row],[UDC]],TableMJRUFINAR[],7,FALSE),"")</f>
        <v/>
      </c>
      <c r="N57" s="72" t="str">
        <f>IFERROR(VLOOKUP(TableHandbook[[#This Row],[UDC]],TableMJRUSCRAR[],7,FALSE),"")</f>
        <v/>
      </c>
      <c r="O57" s="72" t="str">
        <f>IFERROR(VLOOKUP(TableHandbook[[#This Row],[UDC]],TableMJRUTHTRA[],7,FALSE),"")</f>
        <v/>
      </c>
    </row>
    <row r="58" spans="1:15" x14ac:dyDescent="0.25">
      <c r="A58" s="8" t="s">
        <v>145</v>
      </c>
      <c r="B58" s="9">
        <v>2</v>
      </c>
      <c r="C58" s="8"/>
      <c r="D58" s="8" t="s">
        <v>240</v>
      </c>
      <c r="E58" s="9">
        <v>25</v>
      </c>
      <c r="F58" s="73" t="s">
        <v>181</v>
      </c>
      <c r="G58" s="126" t="str">
        <f>IFERROR(IF(VLOOKUP(TableHandbook[[#This Row],[UDC]],TableAvailabilities[],2,FALSE)&gt;0,"Y",""),"")</f>
        <v>Y</v>
      </c>
      <c r="H58" s="127" t="str">
        <f>IFERROR(IF(VLOOKUP(TableHandbook[[#This Row],[UDC]],TableAvailabilities[],3,FALSE)&gt;0,"Y",""),"")</f>
        <v/>
      </c>
      <c r="I58" s="128" t="str">
        <f>IFERROR(IF(VLOOKUP(TableHandbook[[#This Row],[UDC]],TableAvailabilities[],4,FALSE)&gt;0,"Y",""),"")</f>
        <v>Y</v>
      </c>
      <c r="J58" s="129" t="str">
        <f>IFERROR(IF(VLOOKUP(TableHandbook[[#This Row],[UDC]],TableAvailabilities[],5,FALSE)&gt;0,"Y",""),"")</f>
        <v/>
      </c>
      <c r="K58" s="125"/>
      <c r="L58" s="124" t="str">
        <f>IFERROR(VLOOKUP(TableHandbook[[#This Row],[UDC]],TableBCRARTS[],7,FALSE),"")</f>
        <v/>
      </c>
      <c r="M58" s="87" t="str">
        <f>IFERROR(VLOOKUP(TableHandbook[[#This Row],[UDC]],TableMJRUFINAR[],7,FALSE),"")</f>
        <v>AltCore</v>
      </c>
      <c r="N58" s="87" t="str">
        <f>IFERROR(VLOOKUP(TableHandbook[[#This Row],[UDC]],TableMJRUSCRAR[],7,FALSE),"")</f>
        <v>Option</v>
      </c>
      <c r="O58" s="87" t="str">
        <f>IFERROR(VLOOKUP(TableHandbook[[#This Row],[UDC]],TableMJRUTHTRA[],7,FALSE),"")</f>
        <v>Option</v>
      </c>
    </row>
    <row r="59" spans="1:15" x14ac:dyDescent="0.25">
      <c r="A59" s="8" t="s">
        <v>141</v>
      </c>
      <c r="B59" s="9">
        <v>2</v>
      </c>
      <c r="C59" s="8"/>
      <c r="D59" s="8" t="s">
        <v>241</v>
      </c>
      <c r="E59" s="9">
        <v>25</v>
      </c>
      <c r="F59" s="165" t="s">
        <v>242</v>
      </c>
      <c r="G59" s="126" t="str">
        <f>IFERROR(IF(VLOOKUP(TableHandbook[[#This Row],[UDC]],TableAvailabilities[],2,FALSE)&gt;0,"Y",""),"")</f>
        <v>Y</v>
      </c>
      <c r="H59" s="127" t="str">
        <f>IFERROR(IF(VLOOKUP(TableHandbook[[#This Row],[UDC]],TableAvailabilities[],3,FALSE)&gt;0,"Y",""),"")</f>
        <v/>
      </c>
      <c r="I59" s="128" t="str">
        <f>IFERROR(IF(VLOOKUP(TableHandbook[[#This Row],[UDC]],TableAvailabilities[],4,FALSE)&gt;0,"Y",""),"")</f>
        <v/>
      </c>
      <c r="J59" s="129" t="str">
        <f>IFERROR(IF(VLOOKUP(TableHandbook[[#This Row],[UDC]],TableAvailabilities[],5,FALSE)&gt;0,"Y",""),"")</f>
        <v/>
      </c>
      <c r="K59" s="125"/>
      <c r="L59" s="124" t="str">
        <f>IFERROR(VLOOKUP(TableHandbook[[#This Row],[UDC]],TableBCRARTS[],7,FALSE),"")</f>
        <v/>
      </c>
      <c r="M59" s="87" t="str">
        <f>IFERROR(VLOOKUP(TableHandbook[[#This Row],[UDC]],TableMJRUFINAR[],7,FALSE),"")</f>
        <v>AltCore</v>
      </c>
      <c r="N59" s="72" t="str">
        <f>IFERROR(VLOOKUP(TableHandbook[[#This Row],[UDC]],TableMJRUSCRAR[],7,FALSE),"")</f>
        <v/>
      </c>
      <c r="O59" s="72" t="str">
        <f>IFERROR(VLOOKUP(TableHandbook[[#This Row],[UDC]],TableMJRUTHTRA[],7,FALSE),"")</f>
        <v/>
      </c>
    </row>
    <row r="60" spans="1:15" x14ac:dyDescent="0.25">
      <c r="A60" s="8" t="s">
        <v>114</v>
      </c>
      <c r="B60" s="9">
        <v>2</v>
      </c>
      <c r="C60" s="8"/>
      <c r="D60" s="8" t="s">
        <v>243</v>
      </c>
      <c r="E60" s="9">
        <v>25</v>
      </c>
      <c r="F60" s="165" t="s">
        <v>244</v>
      </c>
      <c r="G60" s="126" t="str">
        <f>IFERROR(IF(VLOOKUP(TableHandbook[[#This Row],[UDC]],TableAvailabilities[],2,FALSE)&gt;0,"Y",""),"")</f>
        <v>Y</v>
      </c>
      <c r="H60" s="127" t="str">
        <f>IFERROR(IF(VLOOKUP(TableHandbook[[#This Row],[UDC]],TableAvailabilities[],3,FALSE)&gt;0,"Y",""),"")</f>
        <v/>
      </c>
      <c r="I60" s="128" t="str">
        <f>IFERROR(IF(VLOOKUP(TableHandbook[[#This Row],[UDC]],TableAvailabilities[],4,FALSE)&gt;0,"Y",""),"")</f>
        <v/>
      </c>
      <c r="J60" s="129" t="str">
        <f>IFERROR(IF(VLOOKUP(TableHandbook[[#This Row],[UDC]],TableAvailabilities[],5,FALSE)&gt;0,"Y",""),"")</f>
        <v/>
      </c>
      <c r="K60" s="125"/>
      <c r="L60" s="124" t="str">
        <f>IFERROR(VLOOKUP(TableHandbook[[#This Row],[UDC]],TableBCRARTS[],7,FALSE),"")</f>
        <v/>
      </c>
      <c r="M60" s="87" t="str">
        <f>IFERROR(VLOOKUP(TableHandbook[[#This Row],[UDC]],TableMJRUFINAR[],7,FALSE),"")</f>
        <v>Core</v>
      </c>
      <c r="N60" s="72" t="str">
        <f>IFERROR(VLOOKUP(TableHandbook[[#This Row],[UDC]],TableMJRUSCRAR[],7,FALSE),"")</f>
        <v/>
      </c>
      <c r="O60" s="72" t="str">
        <f>IFERROR(VLOOKUP(TableHandbook[[#This Row],[UDC]],TableMJRUTHTRA[],7,FALSE),"")</f>
        <v/>
      </c>
    </row>
    <row r="61" spans="1:15" x14ac:dyDescent="0.25">
      <c r="A61" s="8" t="s">
        <v>120</v>
      </c>
      <c r="B61" s="9">
        <v>2</v>
      </c>
      <c r="C61" s="8"/>
      <c r="D61" s="8" t="s">
        <v>245</v>
      </c>
      <c r="E61" s="9">
        <v>25</v>
      </c>
      <c r="F61" s="165" t="s">
        <v>111</v>
      </c>
      <c r="G61" s="126" t="str">
        <f>IFERROR(IF(VLOOKUP(TableHandbook[[#This Row],[UDC]],TableAvailabilities[],2,FALSE)&gt;0,"Y",""),"")</f>
        <v>Y</v>
      </c>
      <c r="H61" s="127" t="str">
        <f>IFERROR(IF(VLOOKUP(TableHandbook[[#This Row],[UDC]],TableAvailabilities[],3,FALSE)&gt;0,"Y",""),"")</f>
        <v/>
      </c>
      <c r="I61" s="128" t="str">
        <f>IFERROR(IF(VLOOKUP(TableHandbook[[#This Row],[UDC]],TableAvailabilities[],4,FALSE)&gt;0,"Y",""),"")</f>
        <v/>
      </c>
      <c r="J61" s="129" t="str">
        <f>IFERROR(IF(VLOOKUP(TableHandbook[[#This Row],[UDC]],TableAvailabilities[],5,FALSE)&gt;0,"Y",""),"")</f>
        <v/>
      </c>
      <c r="K61" s="125"/>
      <c r="L61" s="124" t="str">
        <f>IFERROR(VLOOKUP(TableHandbook[[#This Row],[UDC]],TableBCRARTS[],7,FALSE),"")</f>
        <v/>
      </c>
      <c r="M61" s="87" t="str">
        <f>IFERROR(VLOOKUP(TableHandbook[[#This Row],[UDC]],TableMJRUFINAR[],7,FALSE),"")</f>
        <v>Core</v>
      </c>
      <c r="N61" s="72" t="str">
        <f>IFERROR(VLOOKUP(TableHandbook[[#This Row],[UDC]],TableMJRUSCRAR[],7,FALSE),"")</f>
        <v/>
      </c>
      <c r="O61" s="72" t="str">
        <f>IFERROR(VLOOKUP(TableHandbook[[#This Row],[UDC]],TableMJRUTHTRA[],7,FALSE),"")</f>
        <v/>
      </c>
    </row>
    <row r="62" spans="1:15" ht="26.25" x14ac:dyDescent="0.25">
      <c r="A62" s="8" t="s">
        <v>132</v>
      </c>
      <c r="B62" s="9">
        <v>1</v>
      </c>
      <c r="C62" s="8"/>
      <c r="D62" s="8" t="s">
        <v>246</v>
      </c>
      <c r="E62" s="9">
        <v>25</v>
      </c>
      <c r="F62" s="165" t="s">
        <v>247</v>
      </c>
      <c r="G62" s="126" t="str">
        <f>IFERROR(IF(VLOOKUP(TableHandbook[[#This Row],[UDC]],TableAvailabilities[],2,FALSE)&gt;0,"Y",""),"")</f>
        <v/>
      </c>
      <c r="H62" s="127" t="str">
        <f>IFERROR(IF(VLOOKUP(TableHandbook[[#This Row],[UDC]],TableAvailabilities[],3,FALSE)&gt;0,"Y",""),"")</f>
        <v/>
      </c>
      <c r="I62" s="128" t="str">
        <f>IFERROR(IF(VLOOKUP(TableHandbook[[#This Row],[UDC]],TableAvailabilities[],4,FALSE)&gt;0,"Y",""),"")</f>
        <v>Y</v>
      </c>
      <c r="J62" s="129" t="str">
        <f>IFERROR(IF(VLOOKUP(TableHandbook[[#This Row],[UDC]],TableAvailabilities[],5,FALSE)&gt;0,"Y",""),"")</f>
        <v/>
      </c>
      <c r="K62" s="125"/>
      <c r="L62" s="124" t="str">
        <f>IFERROR(VLOOKUP(TableHandbook[[#This Row],[UDC]],TableBCRARTS[],7,FALSE),"")</f>
        <v/>
      </c>
      <c r="M62" s="87" t="str">
        <f>IFERROR(VLOOKUP(TableHandbook[[#This Row],[UDC]],TableMJRUFINAR[],7,FALSE),"")</f>
        <v>Core</v>
      </c>
      <c r="N62" s="72" t="str">
        <f>IFERROR(VLOOKUP(TableHandbook[[#This Row],[UDC]],TableMJRUSCRAR[],7,FALSE),"")</f>
        <v/>
      </c>
      <c r="O62" s="72" t="str">
        <f>IFERROR(VLOOKUP(TableHandbook[[#This Row],[UDC]],TableMJRUTHTRA[],7,FALSE),"")</f>
        <v/>
      </c>
    </row>
    <row r="63" spans="1:15" x14ac:dyDescent="0.25">
      <c r="A63" s="8" t="s">
        <v>128</v>
      </c>
      <c r="B63" s="9">
        <v>1</v>
      </c>
      <c r="C63" s="8"/>
      <c r="D63" s="8" t="s">
        <v>248</v>
      </c>
      <c r="E63" s="9">
        <v>50</v>
      </c>
      <c r="F63" s="165" t="s">
        <v>105</v>
      </c>
      <c r="G63" s="126" t="str">
        <f>IFERROR(IF(VLOOKUP(TableHandbook[[#This Row],[UDC]],TableAvailabilities[],2,FALSE)&gt;0,"Y",""),"")</f>
        <v/>
      </c>
      <c r="H63" s="127" t="str">
        <f>IFERROR(IF(VLOOKUP(TableHandbook[[#This Row],[UDC]],TableAvailabilities[],3,FALSE)&gt;0,"Y",""),"")</f>
        <v/>
      </c>
      <c r="I63" s="128" t="str">
        <f>IFERROR(IF(VLOOKUP(TableHandbook[[#This Row],[UDC]],TableAvailabilities[],4,FALSE)&gt;0,"Y",""),"")</f>
        <v>Y</v>
      </c>
      <c r="J63" s="129" t="str">
        <f>IFERROR(IF(VLOOKUP(TableHandbook[[#This Row],[UDC]],TableAvailabilities[],5,FALSE)&gt;0,"Y",""),"")</f>
        <v/>
      </c>
      <c r="K63" s="125"/>
      <c r="L63" s="124" t="str">
        <f>IFERROR(VLOOKUP(TableHandbook[[#This Row],[UDC]],TableBCRARTS[],7,FALSE),"")</f>
        <v>Core</v>
      </c>
      <c r="M63" s="87" t="str">
        <f>IFERROR(VLOOKUP(TableHandbook[[#This Row],[UDC]],TableMJRUFINAR[],7,FALSE),"")</f>
        <v/>
      </c>
      <c r="N63" s="72" t="str">
        <f>IFERROR(VLOOKUP(TableHandbook[[#This Row],[UDC]],TableMJRUSCRAR[],7,FALSE),"")</f>
        <v/>
      </c>
      <c r="O63" s="72" t="str">
        <f>IFERROR(VLOOKUP(TableHandbook[[#This Row],[UDC]],TableMJRUTHTRA[],7,FALSE),"")</f>
        <v/>
      </c>
    </row>
  </sheetData>
  <sortState xmlns:xlrd2="http://schemas.microsoft.com/office/spreadsheetml/2017/richdata2" ref="A24:D37">
    <sortCondition ref="A24"/>
  </sortState>
  <conditionalFormatting sqref="A1:A1048576">
    <cfRule type="duplicateValues" dxfId="16" priority="2"/>
  </conditionalFormatting>
  <conditionalFormatting sqref="A4:A63">
    <cfRule type="duplicateValues" dxfId="15" priority="56"/>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7"/>
  <sheetViews>
    <sheetView zoomScale="70" zoomScaleNormal="70" workbookViewId="0">
      <selection activeCell="B27" sqref="B27"/>
    </sheetView>
  </sheetViews>
  <sheetFormatPr defaultRowHeight="15.75" x14ac:dyDescent="0.25"/>
  <cols>
    <col min="1" max="1" width="16.125" bestFit="1" customWidth="1"/>
    <col min="2" max="2" width="6.875" style="2" bestFit="1" customWidth="1"/>
    <col min="3" max="3" width="12" bestFit="1" customWidth="1"/>
    <col min="4" max="4" width="61.8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55.25" bestFit="1" customWidth="1"/>
    <col min="13" max="13" width="14.75" bestFit="1" customWidth="1"/>
    <col min="14" max="14" width="12.5" bestFit="1" customWidth="1"/>
    <col min="15" max="15" width="11.25" bestFit="1" customWidth="1"/>
    <col min="16" max="16" width="10.125" bestFit="1" customWidth="1"/>
    <col min="17" max="17" width="16.25" bestFit="1" customWidth="1"/>
    <col min="18" max="18" width="7.125" bestFit="1" customWidth="1"/>
  </cols>
  <sheetData>
    <row r="1" spans="1:18" x14ac:dyDescent="0.25">
      <c r="B1"/>
      <c r="E1"/>
      <c r="F1" s="50"/>
      <c r="G1" s="51" t="s">
        <v>249</v>
      </c>
      <c r="H1" s="146">
        <v>43831</v>
      </c>
      <c r="I1" s="141"/>
      <c r="J1" s="147" t="s">
        <v>64</v>
      </c>
      <c r="K1" s="148" t="s">
        <v>65</v>
      </c>
      <c r="L1" s="50" t="s">
        <v>11</v>
      </c>
      <c r="N1" s="120" t="s">
        <v>250</v>
      </c>
      <c r="O1" s="119">
        <v>45580</v>
      </c>
      <c r="P1" s="140">
        <v>45292</v>
      </c>
    </row>
    <row r="2" spans="1:18" x14ac:dyDescent="0.25">
      <c r="A2" t="s">
        <v>0</v>
      </c>
      <c r="B2" s="2" t="s">
        <v>251</v>
      </c>
      <c r="C2" t="s">
        <v>252</v>
      </c>
      <c r="D2" t="s">
        <v>3</v>
      </c>
      <c r="E2" s="52" t="s">
        <v>253</v>
      </c>
      <c r="F2" t="s">
        <v>254</v>
      </c>
      <c r="G2" t="s">
        <v>255</v>
      </c>
      <c r="H2" t="s">
        <v>256</v>
      </c>
      <c r="I2" t="s">
        <v>21</v>
      </c>
      <c r="J2" t="s">
        <v>257</v>
      </c>
      <c r="K2" t="s">
        <v>1</v>
      </c>
      <c r="L2" t="s">
        <v>46</v>
      </c>
      <c r="M2" t="s">
        <v>57</v>
      </c>
      <c r="N2" t="s">
        <v>258</v>
      </c>
      <c r="O2" t="s">
        <v>259</v>
      </c>
      <c r="Q2" t="s">
        <v>260</v>
      </c>
      <c r="R2" t="s">
        <v>1</v>
      </c>
    </row>
    <row r="3" spans="1:18" x14ac:dyDescent="0.25">
      <c r="A3" t="str">
        <f>TableBCRARTS[[#This Row],[Study Package Code]]</f>
        <v>COMS1010</v>
      </c>
      <c r="B3" s="2">
        <f>TableBCRARTS[[#This Row],[Ver]]</f>
        <v>2</v>
      </c>
      <c r="D3" t="str">
        <f>TableBCRARTS[[#This Row],[Structure Line]]</f>
        <v>Academic and Professional Communications</v>
      </c>
      <c r="E3" s="52">
        <f>TableBCRARTS[[#This Row],[Credit Points]]</f>
        <v>25</v>
      </c>
      <c r="F3">
        <v>1</v>
      </c>
      <c r="G3" t="s">
        <v>261</v>
      </c>
      <c r="H3">
        <v>1</v>
      </c>
      <c r="I3" t="s">
        <v>262</v>
      </c>
      <c r="J3" t="s">
        <v>60</v>
      </c>
      <c r="K3">
        <v>2</v>
      </c>
      <c r="L3" t="s">
        <v>182</v>
      </c>
      <c r="M3">
        <v>25</v>
      </c>
      <c r="N3" s="119">
        <v>42917</v>
      </c>
      <c r="O3" s="119"/>
      <c r="Q3" t="s">
        <v>60</v>
      </c>
      <c r="R3">
        <v>2</v>
      </c>
    </row>
    <row r="4" spans="1:18" x14ac:dyDescent="0.25">
      <c r="A4" t="str">
        <f>TableBCRARTS[[#This Row],[Study Package Code]]</f>
        <v>VISA1015</v>
      </c>
      <c r="B4" s="2">
        <f>TableBCRARTS[[#This Row],[Ver]]</f>
        <v>1</v>
      </c>
      <c r="D4" t="str">
        <f>TableBCRARTS[[#This Row],[Structure Line]]</f>
        <v>Introduction to Creative Arts</v>
      </c>
      <c r="E4" s="52">
        <f>TableBCRARTS[[#This Row],[Credit Points]]</f>
        <v>25</v>
      </c>
      <c r="F4">
        <v>2</v>
      </c>
      <c r="G4" t="s">
        <v>261</v>
      </c>
      <c r="H4">
        <v>1</v>
      </c>
      <c r="I4" t="s">
        <v>262</v>
      </c>
      <c r="J4" t="s">
        <v>68</v>
      </c>
      <c r="K4">
        <v>1</v>
      </c>
      <c r="L4" t="s">
        <v>229</v>
      </c>
      <c r="M4">
        <v>25</v>
      </c>
      <c r="N4" s="119">
        <v>43831</v>
      </c>
      <c r="O4" s="119"/>
      <c r="Q4" t="s">
        <v>68</v>
      </c>
      <c r="R4">
        <v>1</v>
      </c>
    </row>
    <row r="5" spans="1:18" x14ac:dyDescent="0.25">
      <c r="A5" t="str">
        <f>TableBCRARTS[[#This Row],[Study Package Code]]</f>
        <v>VISA1016</v>
      </c>
      <c r="B5" s="2">
        <f>TableBCRARTS[[#This Row],[Ver]]</f>
        <v>1</v>
      </c>
      <c r="D5" t="str">
        <f>TableBCRARTS[[#This Row],[Structure Line]]</f>
        <v>Creative Arts Practice</v>
      </c>
      <c r="E5" s="52">
        <f>TableBCRARTS[[#This Row],[Credit Points]]</f>
        <v>25</v>
      </c>
      <c r="F5">
        <v>3</v>
      </c>
      <c r="G5" t="s">
        <v>261</v>
      </c>
      <c r="H5">
        <v>1</v>
      </c>
      <c r="I5" t="s">
        <v>263</v>
      </c>
      <c r="J5" t="s">
        <v>69</v>
      </c>
      <c r="K5">
        <v>1</v>
      </c>
      <c r="L5" t="s">
        <v>230</v>
      </c>
      <c r="M5">
        <v>25</v>
      </c>
      <c r="N5" s="119">
        <v>43831</v>
      </c>
      <c r="O5" s="119"/>
      <c r="Q5" t="s">
        <v>69</v>
      </c>
      <c r="R5">
        <v>1</v>
      </c>
    </row>
    <row r="6" spans="1:18" x14ac:dyDescent="0.25">
      <c r="A6" t="str">
        <f>TableBCRARTS[[#This Row],[Study Package Code]]</f>
        <v>COMS1003</v>
      </c>
      <c r="B6" s="2">
        <f>TableBCRARTS[[#This Row],[Ver]]</f>
        <v>3</v>
      </c>
      <c r="D6" t="str">
        <f>TableBCRARTS[[#This Row],[Structure Line]]</f>
        <v>Culture to Cultures</v>
      </c>
      <c r="E6" s="52">
        <f>TableBCRARTS[[#This Row],[Credit Points]]</f>
        <v>25</v>
      </c>
      <c r="F6">
        <v>4</v>
      </c>
      <c r="G6" t="s">
        <v>261</v>
      </c>
      <c r="H6">
        <v>1</v>
      </c>
      <c r="I6" t="s">
        <v>263</v>
      </c>
      <c r="J6" t="s">
        <v>63</v>
      </c>
      <c r="K6">
        <v>3</v>
      </c>
      <c r="L6" t="s">
        <v>180</v>
      </c>
      <c r="M6">
        <v>25</v>
      </c>
      <c r="N6" s="119">
        <v>44562</v>
      </c>
      <c r="O6" s="119"/>
      <c r="Q6" t="s">
        <v>63</v>
      </c>
      <c r="R6">
        <v>3</v>
      </c>
    </row>
    <row r="7" spans="1:18" x14ac:dyDescent="0.25">
      <c r="A7" t="str">
        <f>TableBCRARTS[[#This Row],[Study Package Code]]</f>
        <v>Opt-Y1</v>
      </c>
      <c r="B7" s="2">
        <f>TableBCRARTS[[#This Row],[Ver]]</f>
        <v>0</v>
      </c>
      <c r="D7" t="str">
        <f>TableBCRARTS[[#This Row],[Structure Line]]</f>
        <v>Choose two first year options</v>
      </c>
      <c r="E7" s="52">
        <f>TableBCRARTS[[#This Row],[Credit Points]]</f>
        <v>50</v>
      </c>
      <c r="F7">
        <v>5</v>
      </c>
      <c r="G7" t="s">
        <v>264</v>
      </c>
      <c r="H7">
        <v>1</v>
      </c>
      <c r="I7" t="s">
        <v>265</v>
      </c>
      <c r="J7" t="s">
        <v>153</v>
      </c>
      <c r="K7">
        <v>0</v>
      </c>
      <c r="L7" t="s">
        <v>266</v>
      </c>
      <c r="M7">
        <v>50</v>
      </c>
      <c r="N7" s="119"/>
      <c r="O7" s="119"/>
      <c r="Q7" t="s">
        <v>153</v>
      </c>
      <c r="R7">
        <v>0</v>
      </c>
    </row>
    <row r="8" spans="1:18" x14ac:dyDescent="0.25">
      <c r="A8" t="str">
        <f>TableBCRARTS[[#This Row],[Study Package Code]]</f>
        <v>Elective</v>
      </c>
      <c r="B8" s="2">
        <f>TableBCRARTS[[#This Row],[Ver]]</f>
        <v>0</v>
      </c>
      <c r="D8" t="str">
        <f>TableBCRARTS[[#This Row],[Structure Line]]</f>
        <v>Choose electives</v>
      </c>
      <c r="E8" s="52">
        <f>TableBCRARTS[[#This Row],[Credit Points]]</f>
        <v>50</v>
      </c>
      <c r="F8">
        <v>6</v>
      </c>
      <c r="G8" t="s">
        <v>77</v>
      </c>
      <c r="H8">
        <v>1</v>
      </c>
      <c r="I8" s="75" t="s">
        <v>265</v>
      </c>
      <c r="J8" s="75" t="s">
        <v>77</v>
      </c>
      <c r="K8" s="75">
        <v>0</v>
      </c>
      <c r="L8" s="75" t="s">
        <v>267</v>
      </c>
      <c r="M8">
        <v>50</v>
      </c>
      <c r="N8" s="119"/>
      <c r="O8" s="119"/>
      <c r="Q8" t="s">
        <v>77</v>
      </c>
      <c r="R8">
        <v>0</v>
      </c>
    </row>
    <row r="9" spans="1:18" x14ac:dyDescent="0.25">
      <c r="A9" t="str">
        <f>TableBCRARTS[[#This Row],[Study Package Code]]</f>
        <v>AC-Major</v>
      </c>
      <c r="B9" s="2">
        <f>TableBCRARTS[[#This Row],[Ver]]</f>
        <v>0</v>
      </c>
      <c r="D9" t="str">
        <f>TableBCRARTS[[#This Row],[Structure Line]]</f>
        <v>Choose your major</v>
      </c>
      <c r="E9" s="52">
        <f>TableBCRARTS[[#This Row],[Credit Points]]</f>
        <v>200</v>
      </c>
      <c r="F9">
        <v>7</v>
      </c>
      <c r="G9" t="s">
        <v>268</v>
      </c>
      <c r="H9">
        <v>0</v>
      </c>
      <c r="I9" s="75" t="s">
        <v>265</v>
      </c>
      <c r="J9" s="75" t="s">
        <v>177</v>
      </c>
      <c r="K9" s="75">
        <v>0</v>
      </c>
      <c r="L9" s="75" t="s">
        <v>178</v>
      </c>
      <c r="M9">
        <v>200</v>
      </c>
      <c r="N9" s="119"/>
      <c r="O9" s="119"/>
      <c r="Q9" t="s">
        <v>177</v>
      </c>
      <c r="R9">
        <v>0</v>
      </c>
    </row>
    <row r="10" spans="1:18" x14ac:dyDescent="0.25">
      <c r="A10" t="str">
        <f>TableBCRARTS[[#This Row],[Study Package Code]]</f>
        <v>Opt-Y2</v>
      </c>
      <c r="B10" s="2">
        <f>TableBCRARTS[[#This Row],[Ver]]</f>
        <v>0</v>
      </c>
      <c r="D10" t="str">
        <f>TableBCRARTS[[#This Row],[Structure Line]]</f>
        <v>Choose one second year option</v>
      </c>
      <c r="E10" s="52">
        <f>TableBCRARTS[[#This Row],[Credit Points]]</f>
        <v>25</v>
      </c>
      <c r="F10">
        <v>8</v>
      </c>
      <c r="G10" t="s">
        <v>264</v>
      </c>
      <c r="H10">
        <v>2</v>
      </c>
      <c r="I10" s="75" t="s">
        <v>265</v>
      </c>
      <c r="J10" s="75" t="s">
        <v>160</v>
      </c>
      <c r="K10" s="75">
        <v>0</v>
      </c>
      <c r="L10" s="75" t="s">
        <v>269</v>
      </c>
      <c r="M10">
        <v>25</v>
      </c>
      <c r="N10" s="119"/>
      <c r="O10" s="119"/>
      <c r="Q10" t="s">
        <v>160</v>
      </c>
      <c r="R10">
        <v>0</v>
      </c>
    </row>
    <row r="11" spans="1:18" x14ac:dyDescent="0.25">
      <c r="A11" t="str">
        <f>TableBCRARTS[[#This Row],[Study Package Code]]</f>
        <v>VISA3024</v>
      </c>
      <c r="B11" s="2">
        <f>TableBCRARTS[[#This Row],[Ver]]</f>
        <v>1</v>
      </c>
      <c r="D11" t="str">
        <f>TableBCRARTS[[#This Row],[Structure Line]]</f>
        <v>Creative Arts Advanced Project</v>
      </c>
      <c r="E11" s="52">
        <f>TableBCRARTS[[#This Row],[Credit Points]]</f>
        <v>50</v>
      </c>
      <c r="F11">
        <v>9</v>
      </c>
      <c r="G11" t="s">
        <v>261</v>
      </c>
      <c r="H11">
        <v>3</v>
      </c>
      <c r="I11" s="75" t="s">
        <v>263</v>
      </c>
      <c r="J11" s="75" t="s">
        <v>128</v>
      </c>
      <c r="K11" s="75">
        <v>1</v>
      </c>
      <c r="L11" s="75" t="s">
        <v>248</v>
      </c>
      <c r="M11">
        <v>50</v>
      </c>
      <c r="N11" s="119">
        <v>43831</v>
      </c>
      <c r="O11" s="119"/>
      <c r="Q11" t="s">
        <v>128</v>
      </c>
      <c r="R11">
        <v>1</v>
      </c>
    </row>
    <row r="12" spans="1:18" x14ac:dyDescent="0.25">
      <c r="A12" t="str">
        <f>TableBCRARTS[[#This Row],[Study Package Code]]</f>
        <v>SpecElect</v>
      </c>
      <c r="B12" s="2">
        <f>TableBCRARTS[[#This Row],[Ver]]</f>
        <v>0</v>
      </c>
      <c r="D12" t="str">
        <f>TableBCRARTS[[#This Row],[Structure Line]]</f>
        <v>Personalise your degree</v>
      </c>
      <c r="E12" s="52">
        <f>TableBCRARTS[[#This Row],[Credit Points]]</f>
        <v>100</v>
      </c>
      <c r="F12">
        <v>10</v>
      </c>
      <c r="G12" t="s">
        <v>264</v>
      </c>
      <c r="H12">
        <v>0</v>
      </c>
      <c r="I12" t="s">
        <v>265</v>
      </c>
      <c r="J12" t="s">
        <v>109</v>
      </c>
      <c r="L12" t="s">
        <v>270</v>
      </c>
      <c r="M12">
        <v>100</v>
      </c>
      <c r="N12" s="119"/>
      <c r="O12" s="119"/>
      <c r="Q12" t="s">
        <v>109</v>
      </c>
    </row>
    <row r="13" spans="1:18" x14ac:dyDescent="0.25">
      <c r="A13" t="str">
        <f>TableBCRARTS[[#This Row],[Study Package Code]]</f>
        <v>VISA2028</v>
      </c>
      <c r="B13" s="2">
        <f>TableBCRARTS[[#This Row],[Ver]]</f>
        <v>1</v>
      </c>
      <c r="D13" t="str">
        <f>TableBCRARTS[[#This Row],[Structure Line]]</f>
        <v>Creative Arts Project</v>
      </c>
      <c r="E13" s="52">
        <f>TableBCRARTS[[#This Row],[Credit Points]]</f>
        <v>25</v>
      </c>
      <c r="F13">
        <v>11</v>
      </c>
      <c r="G13" t="s">
        <v>261</v>
      </c>
      <c r="H13">
        <v>2</v>
      </c>
      <c r="I13" t="s">
        <v>263</v>
      </c>
      <c r="J13" t="s">
        <v>105</v>
      </c>
      <c r="K13">
        <v>1</v>
      </c>
      <c r="L13" t="s">
        <v>239</v>
      </c>
      <c r="M13">
        <v>25</v>
      </c>
      <c r="N13" s="119">
        <v>43831</v>
      </c>
      <c r="O13" s="119"/>
      <c r="Q13" t="s">
        <v>105</v>
      </c>
      <c r="R13">
        <v>1</v>
      </c>
    </row>
    <row r="14" spans="1:18" x14ac:dyDescent="0.25">
      <c r="A14" t="str">
        <f>TableBCRARTS[[#This Row],[Study Package Code]]</f>
        <v>SCST1000</v>
      </c>
      <c r="B14" s="2">
        <f>TableBCRARTS[[#This Row],[Ver]]</f>
        <v>2</v>
      </c>
      <c r="D14" t="str">
        <f>TableBCRARTS[[#This Row],[Structure Line]]</f>
        <v>Introduction to Screen Creativity</v>
      </c>
      <c r="E14" s="52">
        <f>TableBCRARTS[[#This Row],[Credit Points]]</f>
        <v>25</v>
      </c>
      <c r="F14">
        <v>5</v>
      </c>
      <c r="G14" t="s">
        <v>264</v>
      </c>
      <c r="H14">
        <v>1</v>
      </c>
      <c r="I14" t="s">
        <v>265</v>
      </c>
      <c r="J14" t="s">
        <v>154</v>
      </c>
      <c r="K14">
        <v>2</v>
      </c>
      <c r="L14" t="s">
        <v>271</v>
      </c>
      <c r="M14">
        <v>25</v>
      </c>
      <c r="N14" s="119">
        <v>43831</v>
      </c>
      <c r="O14" s="119"/>
      <c r="Q14" t="s">
        <v>154</v>
      </c>
      <c r="R14">
        <v>2</v>
      </c>
    </row>
    <row r="15" spans="1:18" x14ac:dyDescent="0.25">
      <c r="A15" t="str">
        <f>TableBCRARTS[[#This Row],[Study Package Code]]</f>
        <v>SPRO1000</v>
      </c>
      <c r="B15" s="2">
        <f>TableBCRARTS[[#This Row],[Ver]]</f>
        <v>3</v>
      </c>
      <c r="D15" t="str">
        <f>TableBCRARTS[[#This Row],[Structure Line]]</f>
        <v>Introduction to Screen Practice</v>
      </c>
      <c r="E15" s="52">
        <f>TableBCRARTS[[#This Row],[Credit Points]]</f>
        <v>25</v>
      </c>
      <c r="F15">
        <v>5</v>
      </c>
      <c r="G15" t="s">
        <v>264</v>
      </c>
      <c r="H15">
        <v>1</v>
      </c>
      <c r="I15" t="s">
        <v>265</v>
      </c>
      <c r="J15" t="s">
        <v>155</v>
      </c>
      <c r="K15" s="75">
        <v>3</v>
      </c>
      <c r="L15" s="75" t="s">
        <v>272</v>
      </c>
      <c r="M15">
        <v>25</v>
      </c>
      <c r="N15" s="119">
        <v>45658</v>
      </c>
      <c r="O15" s="119"/>
      <c r="Q15" t="s">
        <v>155</v>
      </c>
      <c r="R15">
        <v>2</v>
      </c>
    </row>
    <row r="16" spans="1:18" x14ac:dyDescent="0.25">
      <c r="A16" t="str">
        <f>TableBCRARTS[[#This Row],[Study Package Code]]</f>
        <v>THTR1001</v>
      </c>
      <c r="B16" s="2">
        <f>TableBCRARTS[[#This Row],[Ver]]</f>
        <v>1</v>
      </c>
      <c r="D16" t="str">
        <f>TableBCRARTS[[#This Row],[Structure Line]]</f>
        <v>Acting Fundamentals</v>
      </c>
      <c r="E16" s="52">
        <f>TableBCRARTS[[#This Row],[Credit Points]]</f>
        <v>25</v>
      </c>
      <c r="F16">
        <v>5</v>
      </c>
      <c r="G16" t="s">
        <v>264</v>
      </c>
      <c r="H16">
        <v>1</v>
      </c>
      <c r="I16" t="s">
        <v>265</v>
      </c>
      <c r="J16" t="s">
        <v>156</v>
      </c>
      <c r="K16">
        <v>1</v>
      </c>
      <c r="L16" t="s">
        <v>273</v>
      </c>
      <c r="M16">
        <v>25</v>
      </c>
      <c r="N16" s="119">
        <v>42005</v>
      </c>
      <c r="O16" s="119"/>
      <c r="Q16" t="s">
        <v>156</v>
      </c>
      <c r="R16">
        <v>1</v>
      </c>
    </row>
    <row r="17" spans="1:18" x14ac:dyDescent="0.25">
      <c r="A17" t="str">
        <f>TableBCRARTS[[#This Row],[Study Package Code]]</f>
        <v>THTR1002</v>
      </c>
      <c r="B17" s="2">
        <f>TableBCRARTS[[#This Row],[Ver]]</f>
        <v>1</v>
      </c>
      <c r="D17" t="str">
        <f>TableBCRARTS[[#This Row],[Structure Line]]</f>
        <v>Devising Fundamentals</v>
      </c>
      <c r="E17" s="52">
        <f>TableBCRARTS[[#This Row],[Credit Points]]</f>
        <v>25</v>
      </c>
      <c r="F17">
        <v>5</v>
      </c>
      <c r="G17" t="s">
        <v>264</v>
      </c>
      <c r="H17">
        <v>1</v>
      </c>
      <c r="I17" t="s">
        <v>265</v>
      </c>
      <c r="J17" t="s">
        <v>157</v>
      </c>
      <c r="K17">
        <v>1</v>
      </c>
      <c r="L17" t="s">
        <v>274</v>
      </c>
      <c r="M17">
        <v>25</v>
      </c>
      <c r="N17" s="119">
        <v>43647</v>
      </c>
      <c r="O17" s="119"/>
      <c r="Q17" t="s">
        <v>157</v>
      </c>
      <c r="R17">
        <v>1</v>
      </c>
    </row>
    <row r="18" spans="1:18" x14ac:dyDescent="0.25">
      <c r="A18" t="str">
        <f>TableBCRARTS[[#This Row],[Study Package Code]]</f>
        <v>VISA1004</v>
      </c>
      <c r="B18" s="2">
        <f>TableBCRARTS[[#This Row],[Ver]]</f>
        <v>2</v>
      </c>
      <c r="D18" t="str">
        <f>TableBCRARTS[[#This Row],[Structure Line]]</f>
        <v>Fine Art Studio Methods</v>
      </c>
      <c r="E18" s="52">
        <f>TableBCRARTS[[#This Row],[Credit Points]]</f>
        <v>25</v>
      </c>
      <c r="F18">
        <v>5</v>
      </c>
      <c r="G18" t="s">
        <v>264</v>
      </c>
      <c r="H18">
        <v>1</v>
      </c>
      <c r="I18" t="s">
        <v>265</v>
      </c>
      <c r="J18" t="s">
        <v>158</v>
      </c>
      <c r="K18">
        <v>2</v>
      </c>
      <c r="L18" t="s">
        <v>275</v>
      </c>
      <c r="M18">
        <v>25</v>
      </c>
      <c r="N18" s="119">
        <v>42370</v>
      </c>
      <c r="O18" s="119"/>
      <c r="Q18" t="s">
        <v>158</v>
      </c>
      <c r="R18">
        <v>2</v>
      </c>
    </row>
    <row r="19" spans="1:18" x14ac:dyDescent="0.25">
      <c r="A19" t="str">
        <f>TableBCRARTS[[#This Row],[Study Package Code]]</f>
        <v>VISA1005</v>
      </c>
      <c r="B19" s="2">
        <f>TableBCRARTS[[#This Row],[Ver]]</f>
        <v>2</v>
      </c>
      <c r="D19" t="str">
        <f>TableBCRARTS[[#This Row],[Structure Line]]</f>
        <v>Fine Art Studio Materials</v>
      </c>
      <c r="E19" s="52">
        <f>TableBCRARTS[[#This Row],[Credit Points]]</f>
        <v>25</v>
      </c>
      <c r="F19">
        <v>5</v>
      </c>
      <c r="G19" t="s">
        <v>264</v>
      </c>
      <c r="H19">
        <v>1</v>
      </c>
      <c r="I19" t="s">
        <v>265</v>
      </c>
      <c r="J19" t="s">
        <v>159</v>
      </c>
      <c r="K19">
        <v>2</v>
      </c>
      <c r="L19" t="s">
        <v>276</v>
      </c>
      <c r="M19">
        <v>25</v>
      </c>
      <c r="N19" s="119">
        <v>42370</v>
      </c>
      <c r="O19" s="119"/>
      <c r="Q19" t="s">
        <v>159</v>
      </c>
      <c r="R19">
        <v>2</v>
      </c>
    </row>
    <row r="20" spans="1:18" x14ac:dyDescent="0.25">
      <c r="A20" t="str">
        <f>TableBCRARTS[[#This Row],[Study Package Code]]</f>
        <v>MJRU-FINAR</v>
      </c>
      <c r="B20" s="2">
        <f>TableBCRARTS[[#This Row],[Ver]]</f>
        <v>2</v>
      </c>
      <c r="D20" t="str">
        <f>TableBCRARTS[[#This Row],[Structure Line]]</f>
        <v>Fine Art Major (BCA)</v>
      </c>
      <c r="E20" s="52">
        <f>TableBCRARTS[[#This Row],[Credit Points]]</f>
        <v>200</v>
      </c>
      <c r="F20">
        <v>7</v>
      </c>
      <c r="G20" t="s">
        <v>268</v>
      </c>
      <c r="H20">
        <v>0</v>
      </c>
      <c r="I20" s="75" t="s">
        <v>265</v>
      </c>
      <c r="J20" s="75" t="s">
        <v>80</v>
      </c>
      <c r="K20" s="75">
        <v>2</v>
      </c>
      <c r="L20" t="s">
        <v>79</v>
      </c>
      <c r="M20">
        <v>200</v>
      </c>
      <c r="N20" s="119">
        <v>45658</v>
      </c>
      <c r="O20" s="119"/>
      <c r="Q20" t="s">
        <v>80</v>
      </c>
      <c r="R20">
        <v>1</v>
      </c>
    </row>
    <row r="21" spans="1:18" x14ac:dyDescent="0.25">
      <c r="A21" t="str">
        <f>TableBCRARTS[[#This Row],[Study Package Code]]</f>
        <v>MJRU-SCRAR</v>
      </c>
      <c r="B21" s="2">
        <f>TableBCRARTS[[#This Row],[Ver]]</f>
        <v>1</v>
      </c>
      <c r="D21" t="str">
        <f>TableBCRARTS[[#This Row],[Structure Line]]</f>
        <v>Screen Arts Major (BCA)</v>
      </c>
      <c r="E21" s="52">
        <f>TableBCRARTS[[#This Row],[Credit Points]]</f>
        <v>200</v>
      </c>
      <c r="F21">
        <v>7</v>
      </c>
      <c r="G21" t="s">
        <v>268</v>
      </c>
      <c r="H21">
        <v>0</v>
      </c>
      <c r="I21" s="75" t="s">
        <v>265</v>
      </c>
      <c r="J21" t="s">
        <v>84</v>
      </c>
      <c r="K21">
        <v>1</v>
      </c>
      <c r="L21" t="s">
        <v>83</v>
      </c>
      <c r="M21">
        <v>200</v>
      </c>
      <c r="N21" s="119">
        <v>43831</v>
      </c>
      <c r="O21" s="119"/>
      <c r="Q21" t="s">
        <v>84</v>
      </c>
      <c r="R21">
        <v>1</v>
      </c>
    </row>
    <row r="22" spans="1:18" x14ac:dyDescent="0.25">
      <c r="A22" t="str">
        <f>TableBCRARTS[[#This Row],[Study Package Code]]</f>
        <v>MJRU-THTRA</v>
      </c>
      <c r="B22" s="2">
        <f>TableBCRARTS[[#This Row],[Ver]]</f>
        <v>1</v>
      </c>
      <c r="D22" t="str">
        <f>TableBCRARTS[[#This Row],[Structure Line]]</f>
        <v>Theatre Arts Major (BCA)</v>
      </c>
      <c r="E22" s="52">
        <f>TableBCRARTS[[#This Row],[Credit Points]]</f>
        <v>200</v>
      </c>
      <c r="F22">
        <v>7</v>
      </c>
      <c r="G22" t="s">
        <v>268</v>
      </c>
      <c r="H22">
        <v>0</v>
      </c>
      <c r="I22" s="75" t="s">
        <v>265</v>
      </c>
      <c r="J22" t="s">
        <v>86</v>
      </c>
      <c r="K22">
        <v>1</v>
      </c>
      <c r="L22" t="s">
        <v>14</v>
      </c>
      <c r="M22">
        <v>200</v>
      </c>
      <c r="N22" s="119">
        <v>43831</v>
      </c>
      <c r="O22" s="119"/>
      <c r="Q22" t="s">
        <v>86</v>
      </c>
      <c r="R22">
        <v>1</v>
      </c>
    </row>
    <row r="23" spans="1:18" x14ac:dyDescent="0.25">
      <c r="A23" t="str">
        <f>TableBCRARTS[[#This Row],[Study Package Code]]</f>
        <v>SPRO2000</v>
      </c>
      <c r="B23" s="2">
        <f>TableBCRARTS[[#This Row],[Ver]]</f>
        <v>3</v>
      </c>
      <c r="D23" t="str">
        <f>TableBCRARTS[[#This Row],[Structure Line]]</f>
        <v>Studio Production</v>
      </c>
      <c r="E23" s="52">
        <f>TableBCRARTS[[#This Row],[Credit Points]]</f>
        <v>25</v>
      </c>
      <c r="F23">
        <v>8</v>
      </c>
      <c r="G23" t="s">
        <v>264</v>
      </c>
      <c r="H23">
        <v>2</v>
      </c>
      <c r="I23" s="75" t="s">
        <v>265</v>
      </c>
      <c r="J23" t="s">
        <v>161</v>
      </c>
      <c r="K23">
        <v>3</v>
      </c>
      <c r="L23" t="s">
        <v>277</v>
      </c>
      <c r="M23">
        <v>25</v>
      </c>
      <c r="N23" s="119">
        <v>44927</v>
      </c>
      <c r="O23" s="119"/>
      <c r="Q23" t="s">
        <v>161</v>
      </c>
      <c r="R23">
        <v>3</v>
      </c>
    </row>
    <row r="24" spans="1:18" x14ac:dyDescent="0.25">
      <c r="A24" t="str">
        <f>TableBCRARTS[[#This Row],[Study Package Code]]</f>
        <v>THTR2005</v>
      </c>
      <c r="B24" s="2">
        <f>TableBCRARTS[[#This Row],[Ver]]</f>
        <v>1</v>
      </c>
      <c r="D24" t="str">
        <f>TableBCRARTS[[#This Row],[Structure Line]]</f>
        <v>Collaborative Theatre Practice</v>
      </c>
      <c r="E24" s="52">
        <f>TableBCRARTS[[#This Row],[Credit Points]]</f>
        <v>25</v>
      </c>
      <c r="F24">
        <v>8</v>
      </c>
      <c r="G24" t="s">
        <v>264</v>
      </c>
      <c r="H24">
        <v>2</v>
      </c>
      <c r="I24" s="75" t="s">
        <v>265</v>
      </c>
      <c r="J24" t="s">
        <v>162</v>
      </c>
      <c r="K24">
        <v>1</v>
      </c>
      <c r="L24" t="s">
        <v>278</v>
      </c>
      <c r="M24">
        <v>25</v>
      </c>
      <c r="N24" s="119">
        <v>43831</v>
      </c>
      <c r="O24" s="119"/>
      <c r="Q24" t="s">
        <v>162</v>
      </c>
      <c r="R24">
        <v>1</v>
      </c>
    </row>
    <row r="25" spans="1:18" x14ac:dyDescent="0.25">
      <c r="A25" t="str">
        <f>TableBCRARTS[[#This Row],[Study Package Code]]</f>
        <v>VISA2005</v>
      </c>
      <c r="B25" s="2">
        <f>TableBCRARTS[[#This Row],[Ver]]</f>
        <v>2</v>
      </c>
      <c r="D25" t="str">
        <f>TableBCRARTS[[#This Row],[Structure Line]]</f>
        <v>Fine Art Studio Processes</v>
      </c>
      <c r="E25" s="52">
        <f>TableBCRARTS[[#This Row],[Credit Points]]</f>
        <v>25</v>
      </c>
      <c r="F25">
        <v>8</v>
      </c>
      <c r="G25" t="s">
        <v>264</v>
      </c>
      <c r="H25">
        <v>2</v>
      </c>
      <c r="I25" s="75" t="s">
        <v>265</v>
      </c>
      <c r="J25" t="s">
        <v>163</v>
      </c>
      <c r="K25">
        <v>2</v>
      </c>
      <c r="L25" t="s">
        <v>279</v>
      </c>
      <c r="M25">
        <v>25</v>
      </c>
      <c r="N25" s="119">
        <v>42370</v>
      </c>
      <c r="O25" s="119"/>
      <c r="Q25" t="s">
        <v>163</v>
      </c>
      <c r="R25">
        <v>2</v>
      </c>
    </row>
    <row r="27" spans="1:18" x14ac:dyDescent="0.25">
      <c r="B27"/>
      <c r="E27"/>
      <c r="F27" s="50"/>
      <c r="G27" s="51" t="s">
        <v>249</v>
      </c>
      <c r="H27" s="160">
        <v>45658</v>
      </c>
      <c r="I27" s="102"/>
      <c r="J27" s="149" t="s">
        <v>80</v>
      </c>
      <c r="K27" s="161" t="s">
        <v>81</v>
      </c>
      <c r="L27" s="102" t="s">
        <v>79</v>
      </c>
      <c r="M27" s="102"/>
      <c r="N27" s="120" t="s">
        <v>250</v>
      </c>
      <c r="O27" s="119">
        <v>45580</v>
      </c>
    </row>
    <row r="28" spans="1:18" x14ac:dyDescent="0.25">
      <c r="A28" t="s">
        <v>0</v>
      </c>
      <c r="B28" s="2" t="s">
        <v>251</v>
      </c>
      <c r="C28" t="s">
        <v>252</v>
      </c>
      <c r="D28" t="s">
        <v>3</v>
      </c>
      <c r="E28" s="52" t="s">
        <v>253</v>
      </c>
      <c r="F28" t="s">
        <v>254</v>
      </c>
      <c r="G28" t="s">
        <v>255</v>
      </c>
      <c r="H28" t="s">
        <v>256</v>
      </c>
      <c r="I28" t="s">
        <v>21</v>
      </c>
      <c r="J28" t="s">
        <v>257</v>
      </c>
      <c r="K28" t="s">
        <v>1</v>
      </c>
      <c r="L28" t="s">
        <v>46</v>
      </c>
      <c r="M28" t="s">
        <v>57</v>
      </c>
      <c r="N28" t="s">
        <v>258</v>
      </c>
      <c r="O28" t="s">
        <v>259</v>
      </c>
      <c r="Q28" t="s">
        <v>260</v>
      </c>
      <c r="R28" t="s">
        <v>1</v>
      </c>
    </row>
    <row r="29" spans="1:18" x14ac:dyDescent="0.25">
      <c r="A29" t="str">
        <f>TableMJRUFINAR[[#This Row],[Study Package Code]]</f>
        <v>VISA2004</v>
      </c>
      <c r="B29" s="2">
        <f>TableMJRUFINAR[[#This Row],[Ver]]</f>
        <v>2</v>
      </c>
      <c r="D29" t="str">
        <f>TableMJRUFINAR[[#This Row],[Structure Line]]</f>
        <v>Fine Art Studio Strategies</v>
      </c>
      <c r="E29" s="52">
        <f>TableMJRUFINAR[[#This Row],[Credit Points]]</f>
        <v>25</v>
      </c>
      <c r="F29">
        <v>1</v>
      </c>
      <c r="G29" t="s">
        <v>261</v>
      </c>
      <c r="H29">
        <v>2</v>
      </c>
      <c r="I29" t="s">
        <v>262</v>
      </c>
      <c r="J29" t="s">
        <v>88</v>
      </c>
      <c r="K29">
        <v>2</v>
      </c>
      <c r="L29" t="s">
        <v>231</v>
      </c>
      <c r="M29">
        <v>25</v>
      </c>
      <c r="N29" s="119">
        <v>42370</v>
      </c>
      <c r="O29" s="119"/>
      <c r="Q29" t="s">
        <v>88</v>
      </c>
      <c r="R29">
        <v>2</v>
      </c>
    </row>
    <row r="30" spans="1:18" x14ac:dyDescent="0.25">
      <c r="A30" t="str">
        <f>TableMJRUFINAR[[#This Row],[Study Package Code]]</f>
        <v>VISA2023</v>
      </c>
      <c r="B30" s="2">
        <f>TableMJRUFINAR[[#This Row],[Ver]]</f>
        <v>2</v>
      </c>
      <c r="D30" t="str">
        <f>TableMJRUFINAR[[#This Row],[Structure Line]]</f>
        <v>Fine Art Theory and Criticism</v>
      </c>
      <c r="E30" s="52">
        <f>TableMJRUFINAR[[#This Row],[Credit Points]]</f>
        <v>25</v>
      </c>
      <c r="F30">
        <v>2</v>
      </c>
      <c r="G30" t="s">
        <v>261</v>
      </c>
      <c r="H30">
        <v>2</v>
      </c>
      <c r="I30" t="s">
        <v>262</v>
      </c>
      <c r="J30" t="s">
        <v>95</v>
      </c>
      <c r="K30">
        <v>2</v>
      </c>
      <c r="L30" t="s">
        <v>238</v>
      </c>
      <c r="M30">
        <v>25</v>
      </c>
      <c r="N30" s="119">
        <v>43831</v>
      </c>
      <c r="O30" s="119"/>
      <c r="Q30" t="s">
        <v>95</v>
      </c>
      <c r="R30">
        <v>2</v>
      </c>
    </row>
    <row r="31" spans="1:18" x14ac:dyDescent="0.25">
      <c r="A31" t="str">
        <f>TableMJRUFINAR[[#This Row],[Study Package Code]]</f>
        <v>VISA2007</v>
      </c>
      <c r="B31" s="2">
        <f>TableMJRUFINAR[[#This Row],[Ver]]</f>
        <v>2</v>
      </c>
      <c r="D31" t="str">
        <f>TableMJRUFINAR[[#This Row],[Structure Line]]</f>
        <v>Fine Art Project</v>
      </c>
      <c r="E31" s="52">
        <f>TableMJRUFINAR[[#This Row],[Credit Points]]</f>
        <v>25</v>
      </c>
      <c r="F31">
        <v>3</v>
      </c>
      <c r="G31" t="s">
        <v>261</v>
      </c>
      <c r="H31">
        <v>2</v>
      </c>
      <c r="I31" t="s">
        <v>263</v>
      </c>
      <c r="J31" t="s">
        <v>112</v>
      </c>
      <c r="K31">
        <v>2</v>
      </c>
      <c r="L31" t="s">
        <v>236</v>
      </c>
      <c r="M31">
        <v>25</v>
      </c>
      <c r="N31" s="119">
        <v>42370</v>
      </c>
      <c r="O31" s="119"/>
      <c r="Q31" t="s">
        <v>111</v>
      </c>
      <c r="R31">
        <v>2</v>
      </c>
    </row>
    <row r="32" spans="1:18" x14ac:dyDescent="0.25">
      <c r="A32" t="str">
        <f>TableMJRUFINAR[[#This Row],[Study Package Code]]</f>
        <v>VISA2006</v>
      </c>
      <c r="B32" s="2">
        <f>TableMJRUFINAR[[#This Row],[Ver]]</f>
        <v>2</v>
      </c>
      <c r="D32" t="str">
        <f>TableMJRUFINAR[[#This Row],[Structure Line]]</f>
        <v>Fine Art Studio Extension</v>
      </c>
      <c r="E32" s="52">
        <f>TableMJRUFINAR[[#This Row],[Credit Points]]</f>
        <v>25</v>
      </c>
      <c r="F32">
        <v>4</v>
      </c>
      <c r="G32" t="s">
        <v>261</v>
      </c>
      <c r="H32">
        <v>2</v>
      </c>
      <c r="I32" t="s">
        <v>263</v>
      </c>
      <c r="J32" t="s">
        <v>111</v>
      </c>
      <c r="K32">
        <v>2</v>
      </c>
      <c r="L32" t="s">
        <v>234</v>
      </c>
      <c r="M32">
        <v>25</v>
      </c>
      <c r="N32" s="119">
        <v>42370</v>
      </c>
      <c r="O32" s="119"/>
      <c r="Q32" t="s">
        <v>112</v>
      </c>
      <c r="R32">
        <v>2</v>
      </c>
    </row>
    <row r="33" spans="1:18" x14ac:dyDescent="0.25">
      <c r="A33" t="str">
        <f>TableMJRUFINAR[[#This Row],[Study Package Code]]</f>
        <v>AC-FINAR</v>
      </c>
      <c r="B33" s="2">
        <f>TableMJRUFINAR[[#This Row],[Ver]]</f>
        <v>0</v>
      </c>
      <c r="D33" t="str">
        <f>TableMJRUFINAR[[#This Row],[Structure Line]]</f>
        <v>Choose VISA3006 or VISA3005</v>
      </c>
      <c r="E33" s="52" t="str">
        <f>TableMJRUFINAR[[#This Row],[Credit Points]]</f>
        <v/>
      </c>
      <c r="F33">
        <v>5</v>
      </c>
      <c r="G33" t="s">
        <v>268</v>
      </c>
      <c r="H33">
        <v>3</v>
      </c>
      <c r="I33" t="s">
        <v>265</v>
      </c>
      <c r="J33" t="s">
        <v>137</v>
      </c>
      <c r="K33">
        <v>0</v>
      </c>
      <c r="L33" t="s">
        <v>280</v>
      </c>
      <c r="M33" t="s">
        <v>281</v>
      </c>
      <c r="N33" s="119"/>
      <c r="O33" s="119"/>
      <c r="Q33" t="s">
        <v>114</v>
      </c>
      <c r="R33">
        <v>2</v>
      </c>
    </row>
    <row r="34" spans="1:18" x14ac:dyDescent="0.25">
      <c r="A34" t="str">
        <f>TableMJRUFINAR[[#This Row],[Study Package Code]]</f>
        <v>VISA3009</v>
      </c>
      <c r="B34" s="2">
        <f>TableMJRUFINAR[[#This Row],[Ver]]</f>
        <v>2</v>
      </c>
      <c r="D34" t="str">
        <f>TableMJRUFINAR[[#This Row],[Structure Line]]</f>
        <v>Fine Art Project Development</v>
      </c>
      <c r="E34" s="52">
        <f>TableMJRUFINAR[[#This Row],[Credit Points]]</f>
        <v>25</v>
      </c>
      <c r="F34">
        <v>6</v>
      </c>
      <c r="G34" t="s">
        <v>261</v>
      </c>
      <c r="H34">
        <v>3</v>
      </c>
      <c r="I34" t="s">
        <v>262</v>
      </c>
      <c r="J34" t="s">
        <v>114</v>
      </c>
      <c r="K34">
        <v>2</v>
      </c>
      <c r="L34" t="s">
        <v>243</v>
      </c>
      <c r="M34">
        <v>25</v>
      </c>
      <c r="N34" s="119">
        <v>42370</v>
      </c>
      <c r="O34" s="119"/>
      <c r="Q34" t="s">
        <v>141</v>
      </c>
      <c r="R34">
        <v>2</v>
      </c>
    </row>
    <row r="35" spans="1:18" x14ac:dyDescent="0.25">
      <c r="A35" t="str">
        <f>TableMJRUFINAR[[#This Row],[Study Package Code]]</f>
        <v>VISA3010</v>
      </c>
      <c r="B35" s="2">
        <f>TableMJRUFINAR[[#This Row],[Ver]]</f>
        <v>2</v>
      </c>
      <c r="D35" t="str">
        <f>TableMJRUFINAR[[#This Row],[Structure Line]]</f>
        <v>Fine Art Studio Practice</v>
      </c>
      <c r="E35" s="52">
        <f>TableMJRUFINAR[[#This Row],[Credit Points]]</f>
        <v>25</v>
      </c>
      <c r="F35">
        <v>7</v>
      </c>
      <c r="G35" t="s">
        <v>261</v>
      </c>
      <c r="H35">
        <v>3</v>
      </c>
      <c r="I35" t="s">
        <v>262</v>
      </c>
      <c r="J35" t="s">
        <v>120</v>
      </c>
      <c r="K35">
        <v>2</v>
      </c>
      <c r="L35" t="s">
        <v>245</v>
      </c>
      <c r="M35">
        <v>25</v>
      </c>
      <c r="N35" s="119">
        <v>42370</v>
      </c>
      <c r="O35" s="119"/>
      <c r="Q35" t="s">
        <v>120</v>
      </c>
      <c r="R35">
        <v>2</v>
      </c>
    </row>
    <row r="36" spans="1:18" x14ac:dyDescent="0.25">
      <c r="A36" t="str">
        <f>TableMJRUFINAR[[#This Row],[Study Package Code]]</f>
        <v>VISA3023</v>
      </c>
      <c r="B36" s="2">
        <f>TableMJRUFINAR[[#This Row],[Ver]]</f>
        <v>1</v>
      </c>
      <c r="D36" t="str">
        <f>TableMJRUFINAR[[#This Row],[Structure Line]]</f>
        <v>Fine Art Project Advanced</v>
      </c>
      <c r="E36" s="52">
        <f>TableMJRUFINAR[[#This Row],[Credit Points]]</f>
        <v>25</v>
      </c>
      <c r="F36">
        <v>8</v>
      </c>
      <c r="G36" t="s">
        <v>261</v>
      </c>
      <c r="H36">
        <v>3</v>
      </c>
      <c r="I36" t="s">
        <v>263</v>
      </c>
      <c r="J36" t="s">
        <v>132</v>
      </c>
      <c r="K36">
        <v>1</v>
      </c>
      <c r="L36" t="s">
        <v>246</v>
      </c>
      <c r="M36">
        <v>25</v>
      </c>
      <c r="N36" s="119">
        <v>43831</v>
      </c>
      <c r="O36" s="119"/>
      <c r="Q36" t="s">
        <v>132</v>
      </c>
      <c r="R36">
        <v>1</v>
      </c>
    </row>
    <row r="37" spans="1:18" x14ac:dyDescent="0.25">
      <c r="A37" t="str">
        <f>TableMJRUFINAR[[#This Row],[Study Package Code]]</f>
        <v>VISA3005</v>
      </c>
      <c r="B37" s="2">
        <f>TableMJRUFINAR[[#This Row],[Ver]]</f>
        <v>2</v>
      </c>
      <c r="D37" t="str">
        <f>TableMJRUFINAR[[#This Row],[Structure Line]]</f>
        <v>Creative Arts Professional Practicum</v>
      </c>
      <c r="E37" s="52">
        <f>TableMJRUFINAR[[#This Row],[Credit Points]]</f>
        <v>25</v>
      </c>
      <c r="F37">
        <v>5</v>
      </c>
      <c r="G37" t="s">
        <v>268</v>
      </c>
      <c r="H37">
        <v>3</v>
      </c>
      <c r="I37" t="s">
        <v>265</v>
      </c>
      <c r="J37" t="s">
        <v>145</v>
      </c>
      <c r="K37">
        <v>2</v>
      </c>
      <c r="L37" t="s">
        <v>240</v>
      </c>
      <c r="M37">
        <v>25</v>
      </c>
      <c r="N37" s="119">
        <v>43831</v>
      </c>
      <c r="O37" s="119"/>
    </row>
    <row r="38" spans="1:18" x14ac:dyDescent="0.25">
      <c r="A38" t="str">
        <f>TableMJRUFINAR[[#This Row],[Study Package Code]]</f>
        <v>VISA3006</v>
      </c>
      <c r="B38" s="2">
        <f>TableMJRUFINAR[[#This Row],[Ver]]</f>
        <v>2</v>
      </c>
      <c r="D38" t="str">
        <f>TableMJRUFINAR[[#This Row],[Structure Line]]</f>
        <v>Fine Art Concepts and Contexts</v>
      </c>
      <c r="E38" s="52">
        <f>TableMJRUFINAR[[#This Row],[Credit Points]]</f>
        <v>25</v>
      </c>
      <c r="F38">
        <v>5</v>
      </c>
      <c r="G38" t="s">
        <v>268</v>
      </c>
      <c r="H38">
        <v>3</v>
      </c>
      <c r="I38" t="s">
        <v>265</v>
      </c>
      <c r="J38" t="s">
        <v>141</v>
      </c>
      <c r="K38">
        <v>2</v>
      </c>
      <c r="L38" t="s">
        <v>282</v>
      </c>
      <c r="M38">
        <v>25</v>
      </c>
      <c r="N38" s="119">
        <v>43831</v>
      </c>
      <c r="O38" s="119"/>
    </row>
    <row r="39" spans="1:18" x14ac:dyDescent="0.25">
      <c r="B39"/>
      <c r="E39"/>
      <c r="F39" s="50"/>
      <c r="G39" s="51" t="s">
        <v>249</v>
      </c>
      <c r="H39" s="146">
        <v>43831</v>
      </c>
      <c r="I39" s="102"/>
      <c r="J39" s="149" t="s">
        <v>84</v>
      </c>
      <c r="K39" s="148" t="s">
        <v>65</v>
      </c>
      <c r="L39" s="102" t="s">
        <v>83</v>
      </c>
      <c r="M39" s="102"/>
      <c r="N39" s="120" t="s">
        <v>250</v>
      </c>
      <c r="O39" s="119">
        <v>45548</v>
      </c>
    </row>
    <row r="40" spans="1:18" x14ac:dyDescent="0.25">
      <c r="A40" t="s">
        <v>0</v>
      </c>
      <c r="B40" s="2" t="s">
        <v>251</v>
      </c>
      <c r="C40" t="s">
        <v>252</v>
      </c>
      <c r="D40" t="s">
        <v>3</v>
      </c>
      <c r="E40" s="52" t="s">
        <v>253</v>
      </c>
      <c r="F40" t="s">
        <v>254</v>
      </c>
      <c r="G40" t="s">
        <v>255</v>
      </c>
      <c r="H40" t="s">
        <v>256</v>
      </c>
      <c r="I40" t="s">
        <v>21</v>
      </c>
      <c r="J40" t="s">
        <v>257</v>
      </c>
      <c r="K40" t="s">
        <v>1</v>
      </c>
      <c r="L40" t="s">
        <v>46</v>
      </c>
      <c r="M40" t="s">
        <v>57</v>
      </c>
      <c r="N40" t="s">
        <v>258</v>
      </c>
      <c r="O40" t="s">
        <v>259</v>
      </c>
      <c r="Q40" t="s">
        <v>260</v>
      </c>
      <c r="R40" t="s">
        <v>1</v>
      </c>
    </row>
    <row r="41" spans="1:18" x14ac:dyDescent="0.25">
      <c r="A41" t="str">
        <f>TableMJRUSCRAR[[#This Row],[Study Package Code]]</f>
        <v>SCWR2000</v>
      </c>
      <c r="B41" s="2">
        <f>TableMJRUSCRAR[[#This Row],[Ver]]</f>
        <v>1</v>
      </c>
      <c r="D41" t="str">
        <f>TableMJRUSCRAR[[#This Row],[Structure Line]]</f>
        <v>Introduction to Screenwriting</v>
      </c>
      <c r="E41" s="52">
        <f>TableMJRUSCRAR[[#This Row],[Credit Points]]</f>
        <v>25</v>
      </c>
      <c r="F41">
        <v>1</v>
      </c>
      <c r="G41" t="s">
        <v>261</v>
      </c>
      <c r="H41">
        <v>2</v>
      </c>
      <c r="I41" t="s">
        <v>262</v>
      </c>
      <c r="J41" t="s">
        <v>90</v>
      </c>
      <c r="K41">
        <v>1</v>
      </c>
      <c r="L41" t="s">
        <v>194</v>
      </c>
      <c r="M41">
        <v>25</v>
      </c>
      <c r="N41" s="119">
        <v>42005</v>
      </c>
      <c r="O41" s="119"/>
      <c r="Q41" t="s">
        <v>90</v>
      </c>
      <c r="R41">
        <v>1</v>
      </c>
    </row>
    <row r="42" spans="1:18" x14ac:dyDescent="0.25">
      <c r="A42" t="str">
        <f>TableMJRUSCRAR[[#This Row],[Study Package Code]]</f>
        <v>SPRO2003</v>
      </c>
      <c r="B42" s="2">
        <f>TableMJRUSCRAR[[#This Row],[Ver]]</f>
        <v>2</v>
      </c>
      <c r="D42" t="str">
        <f>TableMJRUSCRAR[[#This Row],[Structure Line]]</f>
        <v>Drama Narratives</v>
      </c>
      <c r="E42" s="52">
        <f>TableMJRUSCRAR[[#This Row],[Credit Points]]</f>
        <v>25</v>
      </c>
      <c r="F42">
        <v>2</v>
      </c>
      <c r="G42" t="s">
        <v>261</v>
      </c>
      <c r="H42">
        <v>2</v>
      </c>
      <c r="I42" t="s">
        <v>262</v>
      </c>
      <c r="J42" t="s">
        <v>96</v>
      </c>
      <c r="K42">
        <v>2</v>
      </c>
      <c r="L42" t="s">
        <v>201</v>
      </c>
      <c r="M42">
        <v>25</v>
      </c>
      <c r="N42" s="119">
        <v>43831</v>
      </c>
      <c r="O42" s="119"/>
      <c r="Q42" t="s">
        <v>96</v>
      </c>
      <c r="R42">
        <v>2</v>
      </c>
    </row>
    <row r="43" spans="1:18" x14ac:dyDescent="0.25">
      <c r="A43" t="str">
        <f>TableMJRUSCRAR[[#This Row],[Study Package Code]]</f>
        <v>SPRO2004</v>
      </c>
      <c r="B43" s="2">
        <f>TableMJRUSCRAR[[#This Row],[Ver]]</f>
        <v>1</v>
      </c>
      <c r="D43" t="str">
        <f>TableMJRUSCRAR[[#This Row],[Structure Line]]</f>
        <v>Creative Documentary and Actualities</v>
      </c>
      <c r="E43" s="52">
        <f>TableMJRUSCRAR[[#This Row],[Credit Points]]</f>
        <v>25</v>
      </c>
      <c r="F43">
        <v>3</v>
      </c>
      <c r="G43" t="s">
        <v>261</v>
      </c>
      <c r="H43">
        <v>2</v>
      </c>
      <c r="I43" t="s">
        <v>263</v>
      </c>
      <c r="J43" t="s">
        <v>91</v>
      </c>
      <c r="K43">
        <v>1</v>
      </c>
      <c r="L43" t="s">
        <v>203</v>
      </c>
      <c r="M43">
        <v>25</v>
      </c>
      <c r="N43" s="119">
        <v>43831</v>
      </c>
      <c r="O43" s="119"/>
      <c r="Q43" t="s">
        <v>91</v>
      </c>
      <c r="R43">
        <v>1</v>
      </c>
    </row>
    <row r="44" spans="1:18" x14ac:dyDescent="0.25">
      <c r="A44" t="str">
        <f>TableMJRUSCRAR[[#This Row],[Study Package Code]]</f>
        <v>SCST2009</v>
      </c>
      <c r="B44" s="2">
        <f>TableMJRUSCRAR[[#This Row],[Ver]]</f>
        <v>1</v>
      </c>
      <c r="D44" t="str">
        <f>TableMJRUSCRAR[[#This Row],[Structure Line]]</f>
        <v>Experimental Screens</v>
      </c>
      <c r="E44" s="52">
        <f>TableMJRUSCRAR[[#This Row],[Credit Points]]</f>
        <v>25</v>
      </c>
      <c r="F44">
        <v>4</v>
      </c>
      <c r="G44" t="s">
        <v>261</v>
      </c>
      <c r="H44">
        <v>2</v>
      </c>
      <c r="I44" t="s">
        <v>263</v>
      </c>
      <c r="J44" t="s">
        <v>97</v>
      </c>
      <c r="K44">
        <v>1</v>
      </c>
      <c r="L44" t="s">
        <v>192</v>
      </c>
      <c r="M44">
        <v>25</v>
      </c>
      <c r="N44" s="119">
        <v>43831</v>
      </c>
      <c r="O44" s="119"/>
      <c r="Q44" t="s">
        <v>97</v>
      </c>
      <c r="R44">
        <v>1</v>
      </c>
    </row>
    <row r="45" spans="1:18" x14ac:dyDescent="0.25">
      <c r="A45" t="str">
        <f>TableMJRUSCRAR[[#This Row],[Study Package Code]]</f>
        <v>AC-SCRAR</v>
      </c>
      <c r="B45" s="2">
        <f>TableMJRUSCRAR[[#This Row],[Ver]]</f>
        <v>0</v>
      </c>
      <c r="D45" t="str">
        <f>TableMJRUSCRAR[[#This Row],[Structure Line]]</f>
        <v>Choose either SPRO3007 or SPRO3004</v>
      </c>
      <c r="E45" s="52">
        <f>TableMJRUSCRAR[[#This Row],[Credit Points]]</f>
        <v>25</v>
      </c>
      <c r="F45">
        <v>5</v>
      </c>
      <c r="G45" t="s">
        <v>268</v>
      </c>
      <c r="H45">
        <v>3</v>
      </c>
      <c r="I45" t="s">
        <v>262</v>
      </c>
      <c r="J45" t="s">
        <v>116</v>
      </c>
      <c r="K45">
        <v>0</v>
      </c>
      <c r="L45" t="s">
        <v>283</v>
      </c>
      <c r="M45">
        <v>25</v>
      </c>
      <c r="N45" s="119"/>
      <c r="O45" s="119"/>
      <c r="Q45" t="s">
        <v>116</v>
      </c>
      <c r="R45">
        <v>0</v>
      </c>
    </row>
    <row r="46" spans="1:18" x14ac:dyDescent="0.25">
      <c r="A46" t="str">
        <f>TableMJRUSCRAR[[#This Row],[Study Package Code]]</f>
        <v>SCST3010</v>
      </c>
      <c r="B46" s="2">
        <f>TableMJRUSCRAR[[#This Row],[Ver]]</f>
        <v>1</v>
      </c>
      <c r="D46" t="str">
        <f>TableMJRUSCRAR[[#This Row],[Structure Line]]</f>
        <v>Reading Screens</v>
      </c>
      <c r="E46" s="52">
        <f>TableMJRUSCRAR[[#This Row],[Credit Points]]</f>
        <v>25</v>
      </c>
      <c r="F46">
        <v>6</v>
      </c>
      <c r="G46" t="s">
        <v>261</v>
      </c>
      <c r="H46">
        <v>3</v>
      </c>
      <c r="I46" t="s">
        <v>263</v>
      </c>
      <c r="J46" t="s">
        <v>117</v>
      </c>
      <c r="K46">
        <v>1</v>
      </c>
      <c r="L46" t="s">
        <v>193</v>
      </c>
      <c r="M46">
        <v>25</v>
      </c>
      <c r="N46" s="119">
        <v>43831</v>
      </c>
      <c r="O46" s="119"/>
      <c r="Q46" t="s">
        <v>117</v>
      </c>
      <c r="R46">
        <v>1</v>
      </c>
    </row>
    <row r="47" spans="1:18" x14ac:dyDescent="0.25">
      <c r="A47" t="str">
        <f>TableMJRUSCRAR[[#This Row],[Study Package Code]]</f>
        <v>Opt-SCRARS1</v>
      </c>
      <c r="B47" s="2">
        <f>TableMJRUSCRAR[[#This Row],[Ver]]</f>
        <v>0</v>
      </c>
      <c r="D47" t="str">
        <f>TableMJRUSCRAR[[#This Row],[Structure Line]]</f>
        <v>Choose your third year optional units</v>
      </c>
      <c r="E47" s="52">
        <f>TableMJRUSCRAR[[#This Row],[Credit Points]]</f>
        <v>25</v>
      </c>
      <c r="F47">
        <v>7</v>
      </c>
      <c r="G47" t="s">
        <v>264</v>
      </c>
      <c r="H47">
        <v>3</v>
      </c>
      <c r="I47" t="s">
        <v>262</v>
      </c>
      <c r="J47" t="s">
        <v>121</v>
      </c>
      <c r="K47">
        <v>0</v>
      </c>
      <c r="L47" t="s">
        <v>284</v>
      </c>
      <c r="M47">
        <v>25</v>
      </c>
      <c r="N47" s="119"/>
      <c r="O47" s="119"/>
      <c r="Q47" t="s">
        <v>121</v>
      </c>
      <c r="R47">
        <v>0</v>
      </c>
    </row>
    <row r="48" spans="1:18" x14ac:dyDescent="0.25">
      <c r="A48" t="str">
        <f>TableMJRUSCRAR[[#This Row],[Study Package Code]]</f>
        <v>Opt-SCRARS2</v>
      </c>
      <c r="B48" s="2">
        <f>TableMJRUSCRAR[[#This Row],[Ver]]</f>
        <v>0</v>
      </c>
      <c r="D48" t="str">
        <f>TableMJRUSCRAR[[#This Row],[Structure Line]]</f>
        <v>Choose your third year optional units</v>
      </c>
      <c r="E48" s="52">
        <f>TableMJRUSCRAR[[#This Row],[Credit Points]]</f>
        <v>25</v>
      </c>
      <c r="F48">
        <v>8</v>
      </c>
      <c r="G48" t="s">
        <v>264</v>
      </c>
      <c r="H48">
        <v>3</v>
      </c>
      <c r="I48" t="s">
        <v>263</v>
      </c>
      <c r="J48" t="s">
        <v>122</v>
      </c>
      <c r="K48">
        <v>0</v>
      </c>
      <c r="L48" t="s">
        <v>284</v>
      </c>
      <c r="M48">
        <v>25</v>
      </c>
      <c r="N48" s="119"/>
      <c r="O48" s="119"/>
      <c r="Q48" t="s">
        <v>122</v>
      </c>
      <c r="R48">
        <v>0</v>
      </c>
    </row>
    <row r="49" spans="1:18" x14ac:dyDescent="0.25">
      <c r="A49" t="str">
        <f>TableMJRUSCRAR[[#This Row],[Study Package Code]]</f>
        <v>SPRO3004</v>
      </c>
      <c r="B49" s="2">
        <f>TableMJRUSCRAR[[#This Row],[Ver]]</f>
        <v>5</v>
      </c>
      <c r="D49" t="str">
        <f>TableMJRUSCRAR[[#This Row],[Structure Line]]</f>
        <v>Community Media Production</v>
      </c>
      <c r="E49" s="52">
        <f>TableMJRUSCRAR[[#This Row],[Credit Points]]</f>
        <v>25</v>
      </c>
      <c r="F49">
        <v>5</v>
      </c>
      <c r="G49" t="s">
        <v>268</v>
      </c>
      <c r="H49">
        <v>3</v>
      </c>
      <c r="I49" t="s">
        <v>262</v>
      </c>
      <c r="J49" t="s">
        <v>142</v>
      </c>
      <c r="K49">
        <v>5</v>
      </c>
      <c r="L49" t="s">
        <v>207</v>
      </c>
      <c r="M49">
        <v>25</v>
      </c>
      <c r="N49" s="119">
        <v>44197</v>
      </c>
      <c r="O49" s="119"/>
      <c r="Q49" t="s">
        <v>142</v>
      </c>
      <c r="R49">
        <v>5</v>
      </c>
    </row>
    <row r="50" spans="1:18" x14ac:dyDescent="0.25">
      <c r="A50" t="str">
        <f>TableMJRUSCRAR[[#This Row],[Study Package Code]]</f>
        <v>SPRO3007</v>
      </c>
      <c r="B50" s="2">
        <f>TableMJRUSCRAR[[#This Row],[Ver]]</f>
        <v>1</v>
      </c>
      <c r="D50" t="str">
        <f>TableMJRUSCRAR[[#This Row],[Structure Line]]</f>
        <v>Major Project Pre-production</v>
      </c>
      <c r="E50" s="52">
        <f>TableMJRUSCRAR[[#This Row],[Credit Points]]</f>
        <v>25</v>
      </c>
      <c r="F50">
        <v>5</v>
      </c>
      <c r="G50" t="s">
        <v>268</v>
      </c>
      <c r="H50">
        <v>3</v>
      </c>
      <c r="I50" t="s">
        <v>262</v>
      </c>
      <c r="J50" t="s">
        <v>146</v>
      </c>
      <c r="K50">
        <v>1</v>
      </c>
      <c r="L50" t="s">
        <v>209</v>
      </c>
      <c r="M50">
        <v>25</v>
      </c>
      <c r="N50" s="119">
        <v>42005</v>
      </c>
      <c r="O50" s="119"/>
      <c r="Q50" t="s">
        <v>146</v>
      </c>
      <c r="R50">
        <v>1</v>
      </c>
    </row>
    <row r="51" spans="1:18" x14ac:dyDescent="0.25">
      <c r="A51" t="str">
        <f>TableMJRUSCRAR[[#This Row],[Study Package Code]]</f>
        <v>SPRO2001</v>
      </c>
      <c r="B51" s="2">
        <f>TableMJRUSCRAR[[#This Row],[Ver]]</f>
        <v>3</v>
      </c>
      <c r="D51" t="str">
        <f>TableMJRUSCRAR[[#This Row],[Structure Line]]</f>
        <v>Digital FX Production</v>
      </c>
      <c r="E51" s="52">
        <f>TableMJRUSCRAR[[#This Row],[Credit Points]]</f>
        <v>25</v>
      </c>
      <c r="F51">
        <v>7</v>
      </c>
      <c r="G51" t="s">
        <v>264</v>
      </c>
      <c r="H51">
        <v>3</v>
      </c>
      <c r="I51" t="s">
        <v>262</v>
      </c>
      <c r="J51" t="s">
        <v>148</v>
      </c>
      <c r="K51">
        <v>3</v>
      </c>
      <c r="L51" t="s">
        <v>200</v>
      </c>
      <c r="M51">
        <v>25</v>
      </c>
      <c r="N51" s="119">
        <v>44927</v>
      </c>
      <c r="O51" s="119"/>
      <c r="Q51" t="s">
        <v>148</v>
      </c>
      <c r="R51">
        <v>3</v>
      </c>
    </row>
    <row r="52" spans="1:18" x14ac:dyDescent="0.25">
      <c r="A52" t="str">
        <f>TableMJRUSCRAR[[#This Row],[Study Package Code]]</f>
        <v>SPRO3004</v>
      </c>
      <c r="B52" s="2">
        <f>TableMJRUSCRAR[[#This Row],[Ver]]</f>
        <v>5</v>
      </c>
      <c r="D52" t="str">
        <f>TableMJRUSCRAR[[#This Row],[Structure Line]]</f>
        <v>Community Media Production</v>
      </c>
      <c r="E52" s="52">
        <f>TableMJRUSCRAR[[#This Row],[Credit Points]]</f>
        <v>25</v>
      </c>
      <c r="F52">
        <v>7</v>
      </c>
      <c r="G52" t="s">
        <v>264</v>
      </c>
      <c r="H52">
        <v>3</v>
      </c>
      <c r="I52" t="s">
        <v>262</v>
      </c>
      <c r="J52" t="s">
        <v>142</v>
      </c>
      <c r="K52">
        <v>5</v>
      </c>
      <c r="L52" t="s">
        <v>207</v>
      </c>
      <c r="M52">
        <v>25</v>
      </c>
      <c r="N52" s="119">
        <v>44197</v>
      </c>
      <c r="O52" s="119"/>
      <c r="Q52" t="s">
        <v>142</v>
      </c>
      <c r="R52">
        <v>5</v>
      </c>
    </row>
    <row r="53" spans="1:18" x14ac:dyDescent="0.25">
      <c r="A53" t="str">
        <f>TableMJRUSCRAR[[#This Row],[Study Package Code]]</f>
        <v>SPRO3003</v>
      </c>
      <c r="B53" s="2">
        <f>TableMJRUSCRAR[[#This Row],[Ver]]</f>
        <v>2</v>
      </c>
      <c r="D53" t="str">
        <f>TableMJRUSCRAR[[#This Row],[Structure Line]]</f>
        <v>Advanced Studio Production</v>
      </c>
      <c r="E53" s="52">
        <f>TableMJRUSCRAR[[#This Row],[Credit Points]]</f>
        <v>25</v>
      </c>
      <c r="F53">
        <v>8</v>
      </c>
      <c r="G53" t="s">
        <v>264</v>
      </c>
      <c r="H53">
        <v>3</v>
      </c>
      <c r="I53" t="s">
        <v>263</v>
      </c>
      <c r="J53" t="s">
        <v>149</v>
      </c>
      <c r="K53">
        <v>2</v>
      </c>
      <c r="L53" t="s">
        <v>204</v>
      </c>
      <c r="M53">
        <v>25</v>
      </c>
      <c r="N53" s="119">
        <v>44927</v>
      </c>
      <c r="O53" s="119"/>
      <c r="Q53" t="s">
        <v>149</v>
      </c>
      <c r="R53">
        <v>2</v>
      </c>
    </row>
    <row r="54" spans="1:18" x14ac:dyDescent="0.25">
      <c r="A54" t="str">
        <f>TableMJRUSCRAR[[#This Row],[Study Package Code]]</f>
        <v>SPRO3009</v>
      </c>
      <c r="B54" s="2">
        <f>TableMJRUSCRAR[[#This Row],[Ver]]</f>
        <v>1</v>
      </c>
      <c r="D54" t="str">
        <f>TableMJRUSCRAR[[#This Row],[Structure Line]]</f>
        <v>Sports Media Production</v>
      </c>
      <c r="E54" s="52">
        <f>TableMJRUSCRAR[[#This Row],[Credit Points]]</f>
        <v>25</v>
      </c>
      <c r="F54">
        <v>8</v>
      </c>
      <c r="G54" t="s">
        <v>264</v>
      </c>
      <c r="H54">
        <v>3</v>
      </c>
      <c r="I54" t="s">
        <v>263</v>
      </c>
      <c r="J54" t="s">
        <v>150</v>
      </c>
      <c r="K54">
        <v>1</v>
      </c>
      <c r="L54" t="s">
        <v>212</v>
      </c>
      <c r="M54">
        <v>25</v>
      </c>
      <c r="N54" s="119">
        <v>42186</v>
      </c>
      <c r="O54" s="119"/>
      <c r="Q54" t="s">
        <v>150</v>
      </c>
      <c r="R54">
        <v>1</v>
      </c>
    </row>
    <row r="55" spans="1:18" ht="15" customHeight="1" x14ac:dyDescent="0.25">
      <c r="A55" t="str">
        <f>TableMJRUSCRAR[[#This Row],[Study Package Code]]</f>
        <v>VISA3005</v>
      </c>
      <c r="B55" s="2">
        <f>TableMJRUSCRAR[[#This Row],[Ver]]</f>
        <v>2</v>
      </c>
      <c r="D55" t="str">
        <f>TableMJRUSCRAR[[#This Row],[Structure Line]]</f>
        <v>Creative Arts Professional Practicum</v>
      </c>
      <c r="E55" s="52">
        <f>TableMJRUSCRAR[[#This Row],[Credit Points]]</f>
        <v>25</v>
      </c>
      <c r="F55">
        <v>8</v>
      </c>
      <c r="G55" t="s">
        <v>264</v>
      </c>
      <c r="H55">
        <v>3</v>
      </c>
      <c r="I55" t="s">
        <v>263</v>
      </c>
      <c r="J55" t="s">
        <v>145</v>
      </c>
      <c r="K55">
        <v>2</v>
      </c>
      <c r="L55" t="s">
        <v>240</v>
      </c>
      <c r="M55">
        <v>25</v>
      </c>
      <c r="N55" s="119">
        <v>43831</v>
      </c>
      <c r="O55" s="119"/>
      <c r="Q55" t="s">
        <v>145</v>
      </c>
      <c r="R55">
        <v>2</v>
      </c>
    </row>
    <row r="56" spans="1:18" x14ac:dyDescent="0.25">
      <c r="B56"/>
      <c r="E56"/>
      <c r="F56" s="50"/>
      <c r="G56" s="51" t="s">
        <v>249</v>
      </c>
      <c r="H56" s="146">
        <v>43831</v>
      </c>
      <c r="I56" s="102"/>
      <c r="J56" s="149" t="s">
        <v>86</v>
      </c>
      <c r="K56" s="148" t="s">
        <v>65</v>
      </c>
      <c r="L56" s="102" t="s">
        <v>14</v>
      </c>
      <c r="M56" s="102"/>
      <c r="N56" s="120" t="s">
        <v>250</v>
      </c>
      <c r="O56" s="119">
        <v>45548</v>
      </c>
    </row>
    <row r="57" spans="1:18" x14ac:dyDescent="0.25">
      <c r="A57" t="s">
        <v>0</v>
      </c>
      <c r="B57" s="2" t="s">
        <v>251</v>
      </c>
      <c r="C57" t="s">
        <v>252</v>
      </c>
      <c r="D57" t="s">
        <v>3</v>
      </c>
      <c r="E57" s="52" t="s">
        <v>253</v>
      </c>
      <c r="F57" t="s">
        <v>254</v>
      </c>
      <c r="G57" t="s">
        <v>255</v>
      </c>
      <c r="H57" t="s">
        <v>256</v>
      </c>
      <c r="I57" t="s">
        <v>21</v>
      </c>
      <c r="J57" t="s">
        <v>257</v>
      </c>
      <c r="K57" t="s">
        <v>1</v>
      </c>
      <c r="L57" t="s">
        <v>46</v>
      </c>
      <c r="M57" t="s">
        <v>57</v>
      </c>
      <c r="N57" t="s">
        <v>258</v>
      </c>
      <c r="O57" t="s">
        <v>259</v>
      </c>
      <c r="Q57" t="s">
        <v>260</v>
      </c>
      <c r="R57" t="s">
        <v>1</v>
      </c>
    </row>
    <row r="58" spans="1:18" x14ac:dyDescent="0.25">
      <c r="A58" t="str">
        <f>TableMJRUTHTRA[[#This Row],[Study Package Code]]</f>
        <v>THTR2002</v>
      </c>
      <c r="B58" s="2">
        <f>TableMJRUTHTRA[[#This Row],[Ver]]</f>
        <v>1</v>
      </c>
      <c r="D58" t="str">
        <f>TableMJRUTHTRA[[#This Row],[Structure Line]]</f>
        <v>Technical Theatre Fundamentals</v>
      </c>
      <c r="E58" s="52">
        <f>TableMJRUTHTRA[[#This Row],[Credit Points]]</f>
        <v>25</v>
      </c>
      <c r="F58">
        <v>1</v>
      </c>
      <c r="G58" t="s">
        <v>261</v>
      </c>
      <c r="H58">
        <v>2</v>
      </c>
      <c r="I58" t="s">
        <v>262</v>
      </c>
      <c r="J58" t="s">
        <v>92</v>
      </c>
      <c r="K58">
        <v>1</v>
      </c>
      <c r="L58" t="s">
        <v>216</v>
      </c>
      <c r="M58">
        <v>25</v>
      </c>
      <c r="N58" s="119">
        <v>42005</v>
      </c>
      <c r="O58" s="119"/>
      <c r="Q58" t="s">
        <v>92</v>
      </c>
      <c r="R58">
        <v>1</v>
      </c>
    </row>
    <row r="59" spans="1:18" x14ac:dyDescent="0.25">
      <c r="A59" t="str">
        <f>TableMJRUTHTRA[[#This Row],[Study Package Code]]</f>
        <v>THTR2001</v>
      </c>
      <c r="B59" s="2">
        <f>TableMJRUTHTRA[[#This Row],[Ver]]</f>
        <v>1</v>
      </c>
      <c r="D59" t="str">
        <f>TableMJRUTHTRA[[#This Row],[Structure Line]]</f>
        <v>Acting</v>
      </c>
      <c r="E59" s="52">
        <f>TableMJRUTHTRA[[#This Row],[Credit Points]]</f>
        <v>25</v>
      </c>
      <c r="F59">
        <v>2</v>
      </c>
      <c r="G59" t="s">
        <v>261</v>
      </c>
      <c r="H59">
        <v>2</v>
      </c>
      <c r="I59" t="s">
        <v>263</v>
      </c>
      <c r="J59" t="s">
        <v>93</v>
      </c>
      <c r="K59">
        <v>1</v>
      </c>
      <c r="L59" t="s">
        <v>215</v>
      </c>
      <c r="M59">
        <v>25</v>
      </c>
      <c r="N59" s="119">
        <v>42005</v>
      </c>
      <c r="O59" s="119"/>
      <c r="Q59" t="s">
        <v>93</v>
      </c>
      <c r="R59">
        <v>1</v>
      </c>
    </row>
    <row r="60" spans="1:18" x14ac:dyDescent="0.25">
      <c r="A60" t="str">
        <f>TableMJRUTHTRA[[#This Row],[Study Package Code]]</f>
        <v>THTR2003</v>
      </c>
      <c r="B60" s="2">
        <f>TableMJRUTHTRA[[#This Row],[Ver]]</f>
        <v>1</v>
      </c>
      <c r="D60" t="str">
        <f>TableMJRUTHTRA[[#This Row],[Structure Line]]</f>
        <v>Movement for the Actor</v>
      </c>
      <c r="E60" s="52">
        <f>TableMJRUTHTRA[[#This Row],[Credit Points]]</f>
        <v>25</v>
      </c>
      <c r="F60">
        <v>3</v>
      </c>
      <c r="G60" t="s">
        <v>261</v>
      </c>
      <c r="H60">
        <v>2</v>
      </c>
      <c r="I60" t="s">
        <v>263</v>
      </c>
      <c r="J60" t="s">
        <v>99</v>
      </c>
      <c r="K60">
        <v>1</v>
      </c>
      <c r="L60" t="s">
        <v>217</v>
      </c>
      <c r="M60">
        <v>25</v>
      </c>
      <c r="N60" s="119">
        <v>42005</v>
      </c>
      <c r="O60" s="119"/>
      <c r="Q60" t="s">
        <v>99</v>
      </c>
      <c r="R60">
        <v>1</v>
      </c>
    </row>
    <row r="61" spans="1:18" x14ac:dyDescent="0.25">
      <c r="A61" t="str">
        <f>TableMJRUTHTRA[[#This Row],[Study Package Code]]</f>
        <v>THTR3000</v>
      </c>
      <c r="B61" s="2">
        <f>TableMJRUTHTRA[[#This Row],[Ver]]</f>
        <v>1</v>
      </c>
      <c r="D61" t="str">
        <f>TableMJRUTHTRA[[#This Row],[Structure Line]]</f>
        <v>Directing Theatre</v>
      </c>
      <c r="E61" s="52">
        <f>TableMJRUTHTRA[[#This Row],[Credit Points]]</f>
        <v>25</v>
      </c>
      <c r="F61">
        <v>4</v>
      </c>
      <c r="G61" t="s">
        <v>261</v>
      </c>
      <c r="H61">
        <v>3</v>
      </c>
      <c r="I61" t="s">
        <v>262</v>
      </c>
      <c r="J61" t="s">
        <v>118</v>
      </c>
      <c r="K61">
        <v>1</v>
      </c>
      <c r="L61" t="s">
        <v>220</v>
      </c>
      <c r="M61">
        <v>25</v>
      </c>
      <c r="N61" s="119">
        <v>42005</v>
      </c>
      <c r="O61" s="119"/>
      <c r="Q61" t="s">
        <v>118</v>
      </c>
      <c r="R61">
        <v>1</v>
      </c>
    </row>
    <row r="62" spans="1:18" x14ac:dyDescent="0.25">
      <c r="A62" t="str">
        <f>TableMJRUTHTRA[[#This Row],[Study Package Code]]</f>
        <v>THTR3003</v>
      </c>
      <c r="B62" s="2">
        <f>TableMJRUTHTRA[[#This Row],[Ver]]</f>
        <v>1</v>
      </c>
      <c r="D62" t="str">
        <f>TableMJRUTHTRA[[#This Row],[Structure Line]]</f>
        <v>International Theatre</v>
      </c>
      <c r="E62" s="52">
        <f>TableMJRUTHTRA[[#This Row],[Credit Points]]</f>
        <v>25</v>
      </c>
      <c r="F62">
        <v>5</v>
      </c>
      <c r="G62" t="s">
        <v>261</v>
      </c>
      <c r="H62">
        <v>3</v>
      </c>
      <c r="I62" t="s">
        <v>262</v>
      </c>
      <c r="J62" t="s">
        <v>123</v>
      </c>
      <c r="K62">
        <v>1</v>
      </c>
      <c r="L62" t="s">
        <v>222</v>
      </c>
      <c r="M62">
        <v>25</v>
      </c>
      <c r="N62" s="119">
        <v>42005</v>
      </c>
      <c r="O62" s="119"/>
      <c r="Q62" t="s">
        <v>123</v>
      </c>
      <c r="R62">
        <v>1</v>
      </c>
    </row>
    <row r="63" spans="1:18" x14ac:dyDescent="0.25">
      <c r="A63" t="str">
        <f>TableMJRUTHTRA[[#This Row],[Study Package Code]]</f>
        <v>THTR3004</v>
      </c>
      <c r="B63" s="2">
        <f>TableMJRUTHTRA[[#This Row],[Ver]]</f>
        <v>1</v>
      </c>
      <c r="D63" t="str">
        <f>TableMJRUTHTRA[[#This Row],[Structure Line]]</f>
        <v>Australian Theatre</v>
      </c>
      <c r="E63" s="52">
        <f>TableMJRUTHTRA[[#This Row],[Credit Points]]</f>
        <v>25</v>
      </c>
      <c r="F63">
        <v>6</v>
      </c>
      <c r="G63" t="s">
        <v>261</v>
      </c>
      <c r="H63">
        <v>3</v>
      </c>
      <c r="I63" t="s">
        <v>263</v>
      </c>
      <c r="J63" t="s">
        <v>119</v>
      </c>
      <c r="K63">
        <v>1</v>
      </c>
      <c r="L63" t="s">
        <v>224</v>
      </c>
      <c r="M63">
        <v>25</v>
      </c>
      <c r="N63" s="119">
        <v>42005</v>
      </c>
      <c r="O63" s="119"/>
      <c r="Q63" t="s">
        <v>119</v>
      </c>
      <c r="R63">
        <v>1</v>
      </c>
    </row>
    <row r="64" spans="1:18" x14ac:dyDescent="0.25">
      <c r="A64" t="str">
        <f>TableMJRUTHTRA[[#This Row],[Study Package Code]]</f>
        <v>THTR3007</v>
      </c>
      <c r="B64" s="2">
        <f>TableMJRUTHTRA[[#This Row],[Ver]]</f>
        <v>2</v>
      </c>
      <c r="D64" t="str">
        <f>TableMJRUTHTRA[[#This Row],[Structure Line]]</f>
        <v>Applied Theatre</v>
      </c>
      <c r="E64" s="52">
        <f>TableMJRUTHTRA[[#This Row],[Credit Points]]</f>
        <v>25</v>
      </c>
      <c r="F64">
        <v>7</v>
      </c>
      <c r="G64" t="s">
        <v>261</v>
      </c>
      <c r="H64">
        <v>3</v>
      </c>
      <c r="I64" t="s">
        <v>263</v>
      </c>
      <c r="J64" t="s">
        <v>124</v>
      </c>
      <c r="K64">
        <v>2</v>
      </c>
      <c r="L64" t="s">
        <v>225</v>
      </c>
      <c r="M64">
        <v>25</v>
      </c>
      <c r="N64" s="119">
        <v>44927</v>
      </c>
      <c r="O64" s="119"/>
      <c r="Q64" t="s">
        <v>124</v>
      </c>
      <c r="R64">
        <v>2</v>
      </c>
    </row>
    <row r="65" spans="1:18" x14ac:dyDescent="0.25">
      <c r="A65" t="str">
        <f>TableMJRUTHTRA[[#This Row],[Study Package Code]]</f>
        <v>Opt-THTRA</v>
      </c>
      <c r="B65" s="2">
        <f>TableMJRUTHTRA[[#This Row],[Ver]]</f>
        <v>0</v>
      </c>
      <c r="D65" t="str">
        <f>TableMJRUTHTRA[[#This Row],[Structure Line]]</f>
        <v>Choose Options for Year 2, Semester 1</v>
      </c>
      <c r="E65" s="52">
        <f>TableMJRUTHTRA[[#This Row],[Credit Points]]</f>
        <v>25</v>
      </c>
      <c r="F65">
        <v>8</v>
      </c>
      <c r="G65" t="s">
        <v>264</v>
      </c>
      <c r="H65">
        <v>2</v>
      </c>
      <c r="I65" t="s">
        <v>262</v>
      </c>
      <c r="J65" t="s">
        <v>98</v>
      </c>
      <c r="K65">
        <v>0</v>
      </c>
      <c r="L65" t="s">
        <v>285</v>
      </c>
      <c r="M65">
        <v>25</v>
      </c>
      <c r="N65" s="119"/>
      <c r="O65" s="119"/>
      <c r="Q65" t="s">
        <v>98</v>
      </c>
      <c r="R65">
        <v>0</v>
      </c>
    </row>
    <row r="66" spans="1:18" x14ac:dyDescent="0.25">
      <c r="A66" t="str">
        <f>TableMJRUTHTRA[[#This Row],[Study Package Code]]</f>
        <v>THTR2004</v>
      </c>
      <c r="B66" s="2">
        <f>TableMJRUTHTRA[[#This Row],[Ver]]</f>
        <v>1</v>
      </c>
      <c r="D66" t="str">
        <f>TableMJRUTHTRA[[#This Row],[Structure Line]]</f>
        <v>Voice for the Actor</v>
      </c>
      <c r="E66" s="52">
        <f>TableMJRUTHTRA[[#This Row],[Credit Points]]</f>
        <v>25</v>
      </c>
      <c r="F66">
        <v>8</v>
      </c>
      <c r="G66" t="s">
        <v>264</v>
      </c>
      <c r="H66">
        <v>2</v>
      </c>
      <c r="I66" t="s">
        <v>262</v>
      </c>
      <c r="J66" t="s">
        <v>143</v>
      </c>
      <c r="K66">
        <v>1</v>
      </c>
      <c r="L66" t="s">
        <v>218</v>
      </c>
      <c r="M66">
        <v>25</v>
      </c>
      <c r="N66" s="119">
        <v>42005</v>
      </c>
      <c r="O66" s="119"/>
      <c r="Q66" t="s">
        <v>143</v>
      </c>
      <c r="R66">
        <v>1</v>
      </c>
    </row>
    <row r="67" spans="1:18" x14ac:dyDescent="0.25">
      <c r="A67" t="str">
        <f>TableMJRUTHTRA[[#This Row],[Study Package Code]]</f>
        <v>VISA3005</v>
      </c>
      <c r="B67" s="2">
        <f>TableMJRUTHTRA[[#This Row],[Ver]]</f>
        <v>2</v>
      </c>
      <c r="D67" t="str">
        <f>TableMJRUTHTRA[[#This Row],[Structure Line]]</f>
        <v>Creative Arts Professional Practicum</v>
      </c>
      <c r="E67" s="52">
        <f>TableMJRUTHTRA[[#This Row],[Credit Points]]</f>
        <v>25</v>
      </c>
      <c r="F67">
        <v>8</v>
      </c>
      <c r="G67" t="s">
        <v>264</v>
      </c>
      <c r="H67">
        <v>2</v>
      </c>
      <c r="I67" t="s">
        <v>262</v>
      </c>
      <c r="J67" t="s">
        <v>145</v>
      </c>
      <c r="K67">
        <v>2</v>
      </c>
      <c r="L67" t="s">
        <v>240</v>
      </c>
      <c r="M67">
        <v>25</v>
      </c>
      <c r="N67" s="119">
        <v>43831</v>
      </c>
      <c r="O67" s="119"/>
      <c r="Q67" t="s">
        <v>145</v>
      </c>
      <c r="R67">
        <v>2</v>
      </c>
    </row>
  </sheetData>
  <conditionalFormatting sqref="J3:J25">
    <cfRule type="duplicateValues" dxfId="14" priority="50"/>
  </conditionalFormatting>
  <conditionalFormatting sqref="J29:J38">
    <cfRule type="duplicateValues" dxfId="13" priority="64"/>
  </conditionalFormatting>
  <conditionalFormatting sqref="J41:J55">
    <cfRule type="duplicateValues" dxfId="12" priority="6"/>
  </conditionalFormatting>
  <conditionalFormatting sqref="J58:J67">
    <cfRule type="duplicateValues" dxfId="11" priority="3"/>
  </conditionalFormatting>
  <conditionalFormatting sqref="N3:N25 N29:N38">
    <cfRule type="cellIs" dxfId="10" priority="23" operator="greaterThan">
      <formula>$P$1</formula>
    </cfRule>
  </conditionalFormatting>
  <conditionalFormatting sqref="N41:N55">
    <cfRule type="cellIs" dxfId="9" priority="4" operator="greaterThan">
      <formula>$P$1</formula>
    </cfRule>
  </conditionalFormatting>
  <conditionalFormatting sqref="N58:N67">
    <cfRule type="cellIs" dxfId="8" priority="1" operator="greaterThan">
      <formula>$P$1</formula>
    </cfRule>
  </conditionalFormatting>
  <conditionalFormatting sqref="O3:O25 O29:O38">
    <cfRule type="notContainsBlanks" dxfId="7" priority="24">
      <formula>LEN(TRIM(O3))&gt;0</formula>
    </cfRule>
  </conditionalFormatting>
  <conditionalFormatting sqref="O41:O55">
    <cfRule type="notContainsBlanks" dxfId="6" priority="5">
      <formula>LEN(TRIM(O41))&gt;0</formula>
    </cfRule>
  </conditionalFormatting>
  <conditionalFormatting sqref="O58:O67">
    <cfRule type="notContainsBlanks" dxfId="5" priority="2">
      <formula>LEN(TRIM(O58))&gt;0</formula>
    </cfRule>
  </conditionalFormatting>
  <conditionalFormatting sqref="Q2:R25">
    <cfRule type="expression" dxfId="4" priority="25">
      <formula>Q2&lt;&gt;J2</formula>
    </cfRule>
  </conditionalFormatting>
  <conditionalFormatting sqref="Q29:R36">
    <cfRule type="expression" dxfId="3" priority="26">
      <formula>Q29&lt;&gt;J29</formula>
    </cfRule>
  </conditionalFormatting>
  <conditionalFormatting sqref="Q37:R38">
    <cfRule type="expression" dxfId="2" priority="66">
      <formula>Q37&lt;&gt;J38</formula>
    </cfRule>
  </conditionalFormatting>
  <conditionalFormatting sqref="Q40:R55">
    <cfRule type="expression" dxfId="1" priority="12">
      <formula>Q40&lt;&gt;J40</formula>
    </cfRule>
  </conditionalFormatting>
  <conditionalFormatting sqref="Q57:R67">
    <cfRule type="expression" dxfId="0" priority="10">
      <formula>Q57&lt;&gt;J57</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workbookViewId="0">
      <selection activeCell="B27" sqref="B27"/>
    </sheetView>
  </sheetViews>
  <sheetFormatPr defaultRowHeight="15.75" x14ac:dyDescent="0.25"/>
  <cols>
    <col min="1" max="1" width="12.375" bestFit="1" customWidth="1"/>
    <col min="2" max="5" width="5.375" bestFit="1" customWidth="1"/>
    <col min="6" max="6" width="16.125" bestFit="1" customWidth="1"/>
    <col min="7" max="7" width="10.375" bestFit="1" customWidth="1"/>
  </cols>
  <sheetData>
    <row r="1" spans="1:7" x14ac:dyDescent="0.25">
      <c r="F1" s="106" t="s">
        <v>286</v>
      </c>
      <c r="G1" s="107">
        <v>45610</v>
      </c>
    </row>
    <row r="2" spans="1:7" ht="72" x14ac:dyDescent="0.25">
      <c r="A2" t="s">
        <v>287</v>
      </c>
      <c r="B2" s="139" t="s">
        <v>288</v>
      </c>
      <c r="C2" s="139" t="s">
        <v>289</v>
      </c>
      <c r="D2" s="139" t="s">
        <v>290</v>
      </c>
      <c r="E2" s="139" t="s">
        <v>291</v>
      </c>
    </row>
    <row r="3" spans="1:7" x14ac:dyDescent="0.25">
      <c r="A3" t="s">
        <v>63</v>
      </c>
      <c r="B3" s="2">
        <v>2</v>
      </c>
      <c r="C3" s="2">
        <v>2</v>
      </c>
      <c r="D3" s="2">
        <v>2</v>
      </c>
      <c r="E3" s="2">
        <v>2</v>
      </c>
    </row>
    <row r="4" spans="1:7" x14ac:dyDescent="0.25">
      <c r="A4" t="s">
        <v>60</v>
      </c>
      <c r="B4" s="2">
        <v>2</v>
      </c>
      <c r="C4" s="2">
        <v>1</v>
      </c>
      <c r="D4" s="2">
        <v>2</v>
      </c>
      <c r="E4" s="2">
        <v>1</v>
      </c>
    </row>
    <row r="5" spans="1:7" x14ac:dyDescent="0.25">
      <c r="A5" t="s">
        <v>154</v>
      </c>
      <c r="B5" s="2">
        <v>1</v>
      </c>
      <c r="C5" s="2"/>
      <c r="D5" s="2">
        <v>1</v>
      </c>
      <c r="E5" s="2"/>
    </row>
    <row r="6" spans="1:7" x14ac:dyDescent="0.25">
      <c r="A6" t="s">
        <v>97</v>
      </c>
      <c r="B6" s="2"/>
      <c r="C6" s="2"/>
      <c r="D6" s="2">
        <v>1</v>
      </c>
      <c r="E6" s="2"/>
    </row>
    <row r="7" spans="1:7" x14ac:dyDescent="0.25">
      <c r="A7" t="s">
        <v>117</v>
      </c>
      <c r="B7" s="2"/>
      <c r="C7" s="2"/>
      <c r="D7" s="2">
        <v>1</v>
      </c>
      <c r="E7" s="2">
        <v>1</v>
      </c>
    </row>
    <row r="8" spans="1:7" x14ac:dyDescent="0.25">
      <c r="A8" t="s">
        <v>90</v>
      </c>
      <c r="B8" s="2">
        <v>1</v>
      </c>
      <c r="C8" s="2"/>
      <c r="D8" s="2"/>
      <c r="E8" s="2"/>
    </row>
    <row r="9" spans="1:7" x14ac:dyDescent="0.25">
      <c r="A9" t="s">
        <v>155</v>
      </c>
      <c r="B9" s="2">
        <v>1</v>
      </c>
      <c r="C9" s="2"/>
      <c r="D9" s="2">
        <v>1</v>
      </c>
      <c r="E9" s="2"/>
    </row>
    <row r="10" spans="1:7" x14ac:dyDescent="0.25">
      <c r="A10" t="s">
        <v>161</v>
      </c>
      <c r="B10" s="2">
        <v>1</v>
      </c>
      <c r="C10" s="2"/>
      <c r="D10" s="2">
        <v>1</v>
      </c>
      <c r="E10" s="2"/>
    </row>
    <row r="11" spans="1:7" x14ac:dyDescent="0.25">
      <c r="A11" t="s">
        <v>148</v>
      </c>
      <c r="B11" s="2">
        <v>1</v>
      </c>
      <c r="C11" s="2"/>
      <c r="D11" s="2"/>
      <c r="E11" s="2"/>
    </row>
    <row r="12" spans="1:7" x14ac:dyDescent="0.25">
      <c r="A12" t="s">
        <v>96</v>
      </c>
      <c r="B12" s="2">
        <v>1</v>
      </c>
      <c r="C12" s="2"/>
      <c r="D12" s="2"/>
      <c r="E12" s="2"/>
    </row>
    <row r="13" spans="1:7" x14ac:dyDescent="0.25">
      <c r="A13" t="s">
        <v>91</v>
      </c>
      <c r="B13" s="2"/>
      <c r="C13" s="2"/>
      <c r="D13" s="2">
        <v>1</v>
      </c>
      <c r="E13" s="2"/>
    </row>
    <row r="14" spans="1:7" x14ac:dyDescent="0.25">
      <c r="A14" t="s">
        <v>149</v>
      </c>
      <c r="B14" s="2">
        <v>1</v>
      </c>
      <c r="C14" s="2"/>
      <c r="D14" s="2"/>
      <c r="E14" s="2"/>
    </row>
    <row r="15" spans="1:7" x14ac:dyDescent="0.25">
      <c r="A15" t="s">
        <v>142</v>
      </c>
      <c r="B15" s="2">
        <v>1</v>
      </c>
      <c r="C15" s="2"/>
      <c r="D15" s="2"/>
      <c r="E15" s="2"/>
    </row>
    <row r="16" spans="1:7" x14ac:dyDescent="0.25">
      <c r="A16" t="s">
        <v>146</v>
      </c>
      <c r="B16" s="2">
        <v>1</v>
      </c>
      <c r="C16" s="2"/>
      <c r="D16" s="2"/>
      <c r="E16" s="2"/>
    </row>
    <row r="17" spans="1:5" x14ac:dyDescent="0.25">
      <c r="A17" t="s">
        <v>150</v>
      </c>
      <c r="B17" s="2">
        <v>1</v>
      </c>
      <c r="C17" s="2"/>
      <c r="D17" s="2">
        <v>1</v>
      </c>
      <c r="E17" s="2"/>
    </row>
    <row r="18" spans="1:5" x14ac:dyDescent="0.25">
      <c r="A18" t="s">
        <v>156</v>
      </c>
      <c r="B18" s="2">
        <v>1</v>
      </c>
      <c r="C18" s="2"/>
      <c r="D18" s="2"/>
      <c r="E18" s="2"/>
    </row>
    <row r="19" spans="1:5" x14ac:dyDescent="0.25">
      <c r="A19" t="s">
        <v>157</v>
      </c>
      <c r="B19" s="2"/>
      <c r="C19" s="2"/>
      <c r="D19" s="2">
        <v>1</v>
      </c>
      <c r="E19" s="2"/>
    </row>
    <row r="20" spans="1:5" x14ac:dyDescent="0.25">
      <c r="A20" t="s">
        <v>93</v>
      </c>
      <c r="B20" s="2"/>
      <c r="C20" s="2"/>
      <c r="D20" s="2">
        <v>1</v>
      </c>
      <c r="E20" s="2"/>
    </row>
    <row r="21" spans="1:5" x14ac:dyDescent="0.25">
      <c r="A21" t="s">
        <v>92</v>
      </c>
      <c r="B21" s="2">
        <v>1</v>
      </c>
      <c r="C21" s="2"/>
      <c r="D21" s="2">
        <v>1</v>
      </c>
      <c r="E21" s="2"/>
    </row>
    <row r="22" spans="1:5" x14ac:dyDescent="0.25">
      <c r="A22" t="s">
        <v>99</v>
      </c>
      <c r="B22" s="2"/>
      <c r="C22" s="2"/>
      <c r="D22" s="2">
        <v>1</v>
      </c>
      <c r="E22" s="2"/>
    </row>
    <row r="23" spans="1:5" x14ac:dyDescent="0.25">
      <c r="A23" t="s">
        <v>143</v>
      </c>
      <c r="B23" s="2">
        <v>1</v>
      </c>
      <c r="C23" s="2"/>
      <c r="D23" s="2"/>
      <c r="E23" s="2"/>
    </row>
    <row r="24" spans="1:5" x14ac:dyDescent="0.25">
      <c r="A24" t="s">
        <v>162</v>
      </c>
      <c r="B24" s="2">
        <v>1</v>
      </c>
      <c r="C24" s="2"/>
      <c r="D24" s="2"/>
      <c r="E24" s="2"/>
    </row>
    <row r="25" spans="1:5" x14ac:dyDescent="0.25">
      <c r="A25" t="s">
        <v>118</v>
      </c>
      <c r="B25" s="2">
        <v>1</v>
      </c>
      <c r="C25" s="2"/>
      <c r="D25" s="2"/>
      <c r="E25" s="2"/>
    </row>
    <row r="26" spans="1:5" x14ac:dyDescent="0.25">
      <c r="A26" t="s">
        <v>123</v>
      </c>
      <c r="B26" s="2">
        <v>1</v>
      </c>
      <c r="C26" s="2"/>
      <c r="D26" s="2"/>
      <c r="E26" s="2"/>
    </row>
    <row r="27" spans="1:5" x14ac:dyDescent="0.25">
      <c r="A27" t="s">
        <v>119</v>
      </c>
      <c r="B27" s="2"/>
      <c r="C27" s="2"/>
      <c r="D27" s="2">
        <v>1</v>
      </c>
      <c r="E27" s="2"/>
    </row>
    <row r="28" spans="1:5" x14ac:dyDescent="0.25">
      <c r="A28" t="s">
        <v>124</v>
      </c>
      <c r="B28" s="2"/>
      <c r="C28" s="2"/>
      <c r="D28" s="2">
        <v>1</v>
      </c>
      <c r="E28" s="2"/>
    </row>
    <row r="29" spans="1:5" x14ac:dyDescent="0.25">
      <c r="A29" t="s">
        <v>158</v>
      </c>
      <c r="B29" s="2"/>
      <c r="C29" s="2"/>
      <c r="D29" s="2">
        <v>1</v>
      </c>
      <c r="E29" s="2"/>
    </row>
    <row r="30" spans="1:5" x14ac:dyDescent="0.25">
      <c r="A30" t="s">
        <v>159</v>
      </c>
      <c r="B30" s="2">
        <v>1</v>
      </c>
      <c r="C30" s="2"/>
      <c r="D30" s="2"/>
      <c r="E30" s="2"/>
    </row>
    <row r="31" spans="1:5" x14ac:dyDescent="0.25">
      <c r="A31" t="s">
        <v>68</v>
      </c>
      <c r="B31" s="2">
        <v>1</v>
      </c>
      <c r="C31" s="2"/>
      <c r="D31" s="2"/>
      <c r="E31" s="2"/>
    </row>
    <row r="32" spans="1:5" x14ac:dyDescent="0.25">
      <c r="A32" t="s">
        <v>69</v>
      </c>
      <c r="B32" s="2"/>
      <c r="C32" s="2"/>
      <c r="D32" s="2">
        <v>1</v>
      </c>
      <c r="E32" s="2"/>
    </row>
    <row r="33" spans="1:5" x14ac:dyDescent="0.25">
      <c r="A33" t="s">
        <v>88</v>
      </c>
      <c r="B33" s="2">
        <v>1</v>
      </c>
      <c r="C33" s="2"/>
      <c r="D33" s="2"/>
      <c r="E33" s="2"/>
    </row>
    <row r="34" spans="1:5" x14ac:dyDescent="0.25">
      <c r="A34" t="s">
        <v>163</v>
      </c>
      <c r="B34" s="2">
        <v>1</v>
      </c>
      <c r="C34" s="2"/>
      <c r="D34" s="2"/>
      <c r="E34" s="2"/>
    </row>
    <row r="35" spans="1:5" x14ac:dyDescent="0.25">
      <c r="A35" t="s">
        <v>111</v>
      </c>
      <c r="B35" s="2"/>
      <c r="C35" s="2"/>
      <c r="D35" s="2">
        <v>1</v>
      </c>
      <c r="E35" s="2"/>
    </row>
    <row r="36" spans="1:5" x14ac:dyDescent="0.25">
      <c r="A36" t="s">
        <v>112</v>
      </c>
      <c r="B36" s="2"/>
      <c r="C36" s="2"/>
      <c r="D36" s="2">
        <v>1</v>
      </c>
      <c r="E36" s="2"/>
    </row>
    <row r="37" spans="1:5" x14ac:dyDescent="0.25">
      <c r="A37" t="s">
        <v>95</v>
      </c>
      <c r="B37" s="2">
        <v>1</v>
      </c>
      <c r="C37" s="2"/>
      <c r="D37" s="2"/>
      <c r="E37" s="2"/>
    </row>
    <row r="38" spans="1:5" x14ac:dyDescent="0.25">
      <c r="A38" t="s">
        <v>105</v>
      </c>
      <c r="B38" s="2"/>
      <c r="C38" s="2"/>
      <c r="D38" s="2">
        <v>1</v>
      </c>
      <c r="E38" s="2"/>
    </row>
    <row r="39" spans="1:5" x14ac:dyDescent="0.25">
      <c r="A39" t="s">
        <v>145</v>
      </c>
      <c r="B39" s="2">
        <v>1</v>
      </c>
      <c r="C39" s="2"/>
      <c r="D39" s="2">
        <v>1</v>
      </c>
      <c r="E39" s="2"/>
    </row>
    <row r="40" spans="1:5" x14ac:dyDescent="0.25">
      <c r="A40" t="s">
        <v>141</v>
      </c>
      <c r="B40" s="2">
        <v>1</v>
      </c>
      <c r="C40" s="2"/>
      <c r="D40" s="2"/>
      <c r="E40" s="2"/>
    </row>
    <row r="41" spans="1:5" x14ac:dyDescent="0.25">
      <c r="A41" t="s">
        <v>114</v>
      </c>
      <c r="B41" s="2">
        <v>1</v>
      </c>
      <c r="C41" s="2"/>
      <c r="D41" s="2"/>
      <c r="E41" s="2"/>
    </row>
    <row r="42" spans="1:5" x14ac:dyDescent="0.25">
      <c r="A42" t="s">
        <v>120</v>
      </c>
      <c r="B42" s="2">
        <v>1</v>
      </c>
      <c r="C42" s="2"/>
      <c r="D42" s="2"/>
      <c r="E42" s="2"/>
    </row>
    <row r="43" spans="1:5" x14ac:dyDescent="0.25">
      <c r="A43" t="s">
        <v>132</v>
      </c>
      <c r="B43" s="2"/>
      <c r="C43" s="2"/>
      <c r="D43" s="2">
        <v>1</v>
      </c>
      <c r="E43" s="2"/>
    </row>
    <row r="44" spans="1:5" x14ac:dyDescent="0.25">
      <c r="A44" t="s">
        <v>128</v>
      </c>
      <c r="B44" s="2"/>
      <c r="C44" s="2"/>
      <c r="D44" s="2">
        <v>1</v>
      </c>
      <c r="E44" s="2"/>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710b5fa5-af83-4923-9b32-0a1622da131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15" ma:contentTypeDescription="Create a new document." ma:contentTypeScope="" ma:versionID="63800a0cef20e4f4c0aa0eb5c6e741ec">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b9ea4800079b2ffc8b367c7d1f75e235"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710b5fa5-af83-4923-9b32-0a1622da1318"/>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ba69df13-0c3c-4942-8695-6ca01564010c"/>
  </ds:schemaRefs>
</ds:datastoreItem>
</file>

<file path=customXml/itemProps3.xml><?xml version="1.0" encoding="utf-8"?>
<ds:datastoreItem xmlns:ds="http://schemas.openxmlformats.org/officeDocument/2006/customXml" ds:itemID="{220070ED-F262-4FFD-8F46-DEB7296AA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B-CRARTS</vt:lpstr>
      <vt:lpstr>Unitsets</vt:lpstr>
      <vt:lpstr>Handbook</vt:lpstr>
      <vt:lpstr>Structures</vt:lpstr>
      <vt:lpstr>Availabilities</vt:lpstr>
      <vt:lpstr>'B-CRARTS'!Print_Area</vt:lpstr>
      <vt:lpstr>RangeOptions</vt:lpstr>
      <vt:lpstr>RangeUnitsetsCourse</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2024-11-20T03:11:15Z</cp:lastPrinted>
  <dcterms:created xsi:type="dcterms:W3CDTF">2022-02-28T04:48:12Z</dcterms:created>
  <dcterms:modified xsi:type="dcterms:W3CDTF">2024-11-20T03:12:56Z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